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iaballico/Documents/Programmazione/Universita/Labo_2_Anno_ottica/e_over_m/"/>
    </mc:Choice>
  </mc:AlternateContent>
  <xr:revisionPtr revIDLastSave="0" documentId="13_ncr:1_{F226A522-F949-2A47-B370-69CCB887E0B9}" xr6:coauthVersionLast="47" xr6:coauthVersionMax="47" xr10:uidLastSave="{00000000-0000-0000-0000-000000000000}"/>
  <bookViews>
    <workbookView xWindow="0" yWindow="760" windowWidth="34200" windowHeight="21380" activeTab="4" xr2:uid="{DEC3BC84-6FA5-1A49-8215-12A1C309BBAA}"/>
  </bookViews>
  <sheets>
    <sheet name="Cosa contiene questo file" sheetId="2" r:id="rId1"/>
    <sheet name="Costanti" sheetId="1" r:id="rId2"/>
    <sheet name="CM Ortogonale" sheetId="3" r:id="rId3"/>
    <sheet name="CM Parallelo" sheetId="6" r:id="rId4"/>
    <sheet name="CM AntiParallelo" sheetId="8" r:id="rId5"/>
    <sheet name="CM Terrestre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5" l="1"/>
  <c r="E16" i="5" s="1"/>
  <c r="D2" i="5"/>
  <c r="E2" i="5" s="1"/>
  <c r="I3" i="6"/>
  <c r="AE8" i="8"/>
  <c r="I14" i="8"/>
  <c r="J23" i="6"/>
  <c r="J24" i="6"/>
  <c r="J25" i="6"/>
  <c r="J26" i="6"/>
  <c r="J27" i="6"/>
  <c r="J28" i="6"/>
  <c r="J29" i="6"/>
  <c r="J30" i="6"/>
  <c r="J31" i="6"/>
  <c r="J32" i="6"/>
  <c r="J33" i="6"/>
  <c r="J34" i="6"/>
  <c r="L3" i="6"/>
  <c r="H3" i="6"/>
  <c r="I9" i="1"/>
  <c r="I8" i="1"/>
  <c r="F16" i="5" l="1"/>
  <c r="G16" i="5" s="1"/>
  <c r="F2" i="5"/>
  <c r="G2" i="5" s="1"/>
  <c r="H2" i="5" s="1"/>
  <c r="F34" i="8"/>
  <c r="E34" i="8"/>
  <c r="C34" i="8"/>
  <c r="B34" i="8"/>
  <c r="F33" i="8"/>
  <c r="E33" i="8"/>
  <c r="C33" i="8"/>
  <c r="B33" i="8"/>
  <c r="F32" i="8"/>
  <c r="E32" i="8"/>
  <c r="C32" i="8"/>
  <c r="B32" i="8"/>
  <c r="F31" i="8"/>
  <c r="E31" i="8"/>
  <c r="C31" i="8"/>
  <c r="B31" i="8"/>
  <c r="F30" i="8"/>
  <c r="E30" i="8"/>
  <c r="C30" i="8"/>
  <c r="B30" i="8"/>
  <c r="F29" i="8"/>
  <c r="E29" i="8"/>
  <c r="C29" i="8"/>
  <c r="B29" i="8"/>
  <c r="F28" i="8"/>
  <c r="E28" i="8"/>
  <c r="C28" i="8"/>
  <c r="B28" i="8"/>
  <c r="F27" i="8"/>
  <c r="E27" i="8"/>
  <c r="C27" i="8"/>
  <c r="B27" i="8"/>
  <c r="F26" i="8"/>
  <c r="E26" i="8"/>
  <c r="C26" i="8"/>
  <c r="B26" i="8"/>
  <c r="F25" i="8"/>
  <c r="E25" i="8"/>
  <c r="C25" i="8"/>
  <c r="B25" i="8"/>
  <c r="F24" i="8"/>
  <c r="E24" i="8"/>
  <c r="C24" i="8"/>
  <c r="B24" i="8"/>
  <c r="T25" i="8" s="1"/>
  <c r="F23" i="8"/>
  <c r="E23" i="8"/>
  <c r="C23" i="8"/>
  <c r="B23" i="8"/>
  <c r="T24" i="8" s="1"/>
  <c r="F22" i="8"/>
  <c r="E22" i="8"/>
  <c r="C22" i="8"/>
  <c r="B22" i="8"/>
  <c r="T16" i="8"/>
  <c r="T15" i="8"/>
  <c r="J15" i="8"/>
  <c r="J34" i="8" s="1"/>
  <c r="O34" i="8" s="1"/>
  <c r="D15" i="8"/>
  <c r="T14" i="8"/>
  <c r="J14" i="8"/>
  <c r="J33" i="8" s="1"/>
  <c r="O33" i="8" s="1"/>
  <c r="D14" i="8"/>
  <c r="D33" i="8" s="1"/>
  <c r="T13" i="8"/>
  <c r="J13" i="8"/>
  <c r="J32" i="8" s="1"/>
  <c r="O32" i="8" s="1"/>
  <c r="D13" i="8"/>
  <c r="T12" i="8"/>
  <c r="J12" i="8"/>
  <c r="J31" i="8" s="1"/>
  <c r="O31" i="8" s="1"/>
  <c r="D12" i="8"/>
  <c r="T11" i="8"/>
  <c r="J11" i="8"/>
  <c r="J30" i="8" s="1"/>
  <c r="O30" i="8" s="1"/>
  <c r="D11" i="8"/>
  <c r="T10" i="8"/>
  <c r="J10" i="8"/>
  <c r="J29" i="8" s="1"/>
  <c r="O29" i="8" s="1"/>
  <c r="D10" i="8"/>
  <c r="D29" i="8" s="1"/>
  <c r="T9" i="8"/>
  <c r="J9" i="8"/>
  <c r="J28" i="8" s="1"/>
  <c r="O28" i="8" s="1"/>
  <c r="D9" i="8"/>
  <c r="D28" i="8" s="1"/>
  <c r="T8" i="8"/>
  <c r="J8" i="8"/>
  <c r="J27" i="8" s="1"/>
  <c r="O27" i="8" s="1"/>
  <c r="D8" i="8"/>
  <c r="T7" i="8"/>
  <c r="J7" i="8"/>
  <c r="J26" i="8" s="1"/>
  <c r="O26" i="8" s="1"/>
  <c r="D7" i="8"/>
  <c r="D26" i="8" s="1"/>
  <c r="T6" i="8"/>
  <c r="J6" i="8"/>
  <c r="J25" i="8" s="1"/>
  <c r="O25" i="8" s="1"/>
  <c r="D6" i="8"/>
  <c r="D25" i="8" s="1"/>
  <c r="T5" i="8"/>
  <c r="J5" i="8"/>
  <c r="J24" i="8" s="1"/>
  <c r="O24" i="8" s="1"/>
  <c r="D5" i="8"/>
  <c r="D24" i="8" s="1"/>
  <c r="T4" i="8"/>
  <c r="J4" i="8"/>
  <c r="J23" i="8" s="1"/>
  <c r="O23" i="8" s="1"/>
  <c r="D4" i="8"/>
  <c r="D23" i="8" s="1"/>
  <c r="J3" i="8"/>
  <c r="J22" i="8" s="1"/>
  <c r="O22" i="8" s="1"/>
  <c r="D3" i="8"/>
  <c r="D22" i="8" s="1"/>
  <c r="T11" i="6"/>
  <c r="T12" i="6"/>
  <c r="T13" i="6"/>
  <c r="T14" i="6"/>
  <c r="T15" i="6"/>
  <c r="T16" i="6"/>
  <c r="T27" i="6"/>
  <c r="T10" i="6"/>
  <c r="B23" i="6"/>
  <c r="T24" i="6" s="1"/>
  <c r="C23" i="6"/>
  <c r="E23" i="6"/>
  <c r="F23" i="6"/>
  <c r="B24" i="6"/>
  <c r="T25" i="6" s="1"/>
  <c r="C24" i="6"/>
  <c r="E24" i="6"/>
  <c r="F24" i="6"/>
  <c r="B25" i="6"/>
  <c r="C25" i="6"/>
  <c r="E25" i="6"/>
  <c r="F25" i="6"/>
  <c r="B26" i="6"/>
  <c r="C26" i="6"/>
  <c r="E26" i="6"/>
  <c r="F26" i="6"/>
  <c r="B27" i="6"/>
  <c r="T28" i="6" s="1"/>
  <c r="C27" i="6"/>
  <c r="E27" i="6"/>
  <c r="F27" i="6"/>
  <c r="B28" i="6"/>
  <c r="T29" i="6" s="1"/>
  <c r="C28" i="6"/>
  <c r="E28" i="6"/>
  <c r="F28" i="6"/>
  <c r="B29" i="6"/>
  <c r="C29" i="6"/>
  <c r="E29" i="6"/>
  <c r="F29" i="6"/>
  <c r="B30" i="6"/>
  <c r="C30" i="6"/>
  <c r="E30" i="6"/>
  <c r="F30" i="6"/>
  <c r="B31" i="6"/>
  <c r="T32" i="6" s="1"/>
  <c r="C31" i="6"/>
  <c r="E31" i="6"/>
  <c r="F31" i="6"/>
  <c r="B32" i="6"/>
  <c r="T33" i="6" s="1"/>
  <c r="C32" i="6"/>
  <c r="E32" i="6"/>
  <c r="F32" i="6"/>
  <c r="B33" i="6"/>
  <c r="C33" i="6"/>
  <c r="E33" i="6"/>
  <c r="F33" i="6"/>
  <c r="B34" i="6"/>
  <c r="C34" i="6"/>
  <c r="E34" i="6"/>
  <c r="F34" i="6"/>
  <c r="C22" i="6"/>
  <c r="E22" i="6"/>
  <c r="F22" i="6"/>
  <c r="B22" i="6"/>
  <c r="T23" i="6" s="1"/>
  <c r="T5" i="6"/>
  <c r="T6" i="6"/>
  <c r="T7" i="6"/>
  <c r="T8" i="6"/>
  <c r="T9" i="6"/>
  <c r="T4" i="6"/>
  <c r="J15" i="6"/>
  <c r="O34" i="6" s="1"/>
  <c r="D15" i="6"/>
  <c r="D34" i="6" s="1"/>
  <c r="J14" i="6"/>
  <c r="O33" i="6" s="1"/>
  <c r="D14" i="6"/>
  <c r="D33" i="6" s="1"/>
  <c r="J13" i="6"/>
  <c r="O32" i="6" s="1"/>
  <c r="D13" i="6"/>
  <c r="D32" i="6" s="1"/>
  <c r="J12" i="6"/>
  <c r="O31" i="6" s="1"/>
  <c r="D12" i="6"/>
  <c r="D31" i="6" s="1"/>
  <c r="J11" i="6"/>
  <c r="O30" i="6" s="1"/>
  <c r="D11" i="6"/>
  <c r="J10" i="6"/>
  <c r="O29" i="6" s="1"/>
  <c r="D10" i="6"/>
  <c r="J9" i="6"/>
  <c r="O28" i="6" s="1"/>
  <c r="D9" i="6"/>
  <c r="J8" i="6"/>
  <c r="O27" i="6" s="1"/>
  <c r="D8" i="6"/>
  <c r="J7" i="6"/>
  <c r="O26" i="6" s="1"/>
  <c r="D7" i="6"/>
  <c r="D26" i="6" s="1"/>
  <c r="J6" i="6"/>
  <c r="O25" i="6" s="1"/>
  <c r="D6" i="6"/>
  <c r="D25" i="6" s="1"/>
  <c r="J5" i="6"/>
  <c r="O24" i="6" s="1"/>
  <c r="D5" i="6"/>
  <c r="J4" i="6"/>
  <c r="O23" i="6" s="1"/>
  <c r="D4" i="6"/>
  <c r="J3" i="6"/>
  <c r="J22" i="6" s="1"/>
  <c r="O22" i="6" s="1"/>
  <c r="D3" i="6"/>
  <c r="J4" i="3"/>
  <c r="N4" i="3" s="1"/>
  <c r="J5" i="3"/>
  <c r="N5" i="3" s="1"/>
  <c r="J6" i="3"/>
  <c r="N6" i="3" s="1"/>
  <c r="J7" i="3"/>
  <c r="N7" i="3" s="1"/>
  <c r="J8" i="3"/>
  <c r="N8" i="3" s="1"/>
  <c r="J9" i="3"/>
  <c r="N9" i="3" s="1"/>
  <c r="J10" i="3"/>
  <c r="N10" i="3" s="1"/>
  <c r="J11" i="3"/>
  <c r="N11" i="3" s="1"/>
  <c r="J12" i="3"/>
  <c r="N12" i="3" s="1"/>
  <c r="J13" i="3"/>
  <c r="N13" i="3" s="1"/>
  <c r="J14" i="3"/>
  <c r="N14" i="3" s="1"/>
  <c r="J15" i="3"/>
  <c r="N15" i="3" s="1"/>
  <c r="J3" i="3"/>
  <c r="N3" i="3" s="1"/>
  <c r="B16" i="3"/>
  <c r="D4" i="3"/>
  <c r="D5" i="3"/>
  <c r="D6" i="3"/>
  <c r="D7" i="3"/>
  <c r="D8" i="3"/>
  <c r="D9" i="3"/>
  <c r="D10" i="3"/>
  <c r="D11" i="3"/>
  <c r="D12" i="3"/>
  <c r="D13" i="3"/>
  <c r="D14" i="3"/>
  <c r="D15" i="3"/>
  <c r="D3" i="3"/>
  <c r="M8" i="1"/>
  <c r="M9" i="1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5" i="5"/>
  <c r="D14" i="5"/>
  <c r="D13" i="5"/>
  <c r="D12" i="5"/>
  <c r="D11" i="5"/>
  <c r="D10" i="5"/>
  <c r="D9" i="5"/>
  <c r="D8" i="5"/>
  <c r="D7" i="5"/>
  <c r="D6" i="5"/>
  <c r="D5" i="5"/>
  <c r="D4" i="5"/>
  <c r="N2" i="5"/>
  <c r="L2" i="5"/>
  <c r="D3" i="5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C2" i="1"/>
  <c r="C10" i="1" s="1"/>
  <c r="H16" i="5" l="1"/>
  <c r="I2" i="5" s="1"/>
  <c r="K2" i="5"/>
  <c r="E17" i="5"/>
  <c r="E3" i="5"/>
  <c r="E14" i="5"/>
  <c r="T35" i="8"/>
  <c r="T34" i="8"/>
  <c r="T33" i="8"/>
  <c r="T32" i="8"/>
  <c r="T31" i="8"/>
  <c r="T30" i="8"/>
  <c r="T29" i="8"/>
  <c r="T28" i="8"/>
  <c r="T27" i="8"/>
  <c r="T26" i="8"/>
  <c r="P26" i="8"/>
  <c r="P28" i="8"/>
  <c r="P24" i="8"/>
  <c r="T35" i="6"/>
  <c r="T34" i="6"/>
  <c r="T31" i="6"/>
  <c r="T30" i="6"/>
  <c r="T26" i="6"/>
  <c r="C4" i="1"/>
  <c r="G3" i="8" s="1"/>
  <c r="H3" i="8" s="1"/>
  <c r="G10" i="6"/>
  <c r="H10" i="6" s="1"/>
  <c r="G8" i="6"/>
  <c r="H8" i="6" s="1"/>
  <c r="G6" i="6"/>
  <c r="H6" i="6" s="1"/>
  <c r="G4" i="6"/>
  <c r="H4" i="6" s="1"/>
  <c r="I4" i="6" s="1"/>
  <c r="G14" i="8"/>
  <c r="H14" i="8" s="1"/>
  <c r="U15" i="8" s="1"/>
  <c r="G7" i="3"/>
  <c r="H7" i="3" s="1"/>
  <c r="I7" i="3" s="1"/>
  <c r="L7" i="3" s="1"/>
  <c r="G15" i="3"/>
  <c r="H15" i="3" s="1"/>
  <c r="B35" i="3" s="1"/>
  <c r="G8" i="3"/>
  <c r="H8" i="3" s="1"/>
  <c r="B28" i="3" s="1"/>
  <c r="G5" i="3"/>
  <c r="H5" i="3" s="1"/>
  <c r="B25" i="3" s="1"/>
  <c r="G10" i="8"/>
  <c r="H10" i="8" s="1"/>
  <c r="U11" i="8" s="1"/>
  <c r="G7" i="8"/>
  <c r="H7" i="8" s="1"/>
  <c r="G6" i="8"/>
  <c r="H6" i="8" s="1"/>
  <c r="G5" i="8"/>
  <c r="H5" i="8" s="1"/>
  <c r="G4" i="8"/>
  <c r="H4" i="8" s="1"/>
  <c r="G9" i="3"/>
  <c r="H9" i="3" s="1"/>
  <c r="B29" i="3" s="1"/>
  <c r="G4" i="3"/>
  <c r="H4" i="3" s="1"/>
  <c r="B24" i="3" s="1"/>
  <c r="G15" i="6"/>
  <c r="G13" i="6"/>
  <c r="H13" i="6" s="1"/>
  <c r="U14" i="6" s="1"/>
  <c r="G11" i="6"/>
  <c r="H11" i="6" s="1"/>
  <c r="G9" i="6"/>
  <c r="H9" i="6" s="1"/>
  <c r="G7" i="6"/>
  <c r="H7" i="6" s="1"/>
  <c r="U8" i="6" s="1"/>
  <c r="G5" i="6"/>
  <c r="H5" i="6" s="1"/>
  <c r="G3" i="6"/>
  <c r="G10" i="3"/>
  <c r="H10" i="3" s="1"/>
  <c r="I10" i="3" s="1"/>
  <c r="L10" i="3" s="1"/>
  <c r="G3" i="3"/>
  <c r="H3" i="3" s="1"/>
  <c r="I3" i="3" s="1"/>
  <c r="L3" i="3" s="1"/>
  <c r="G15" i="8"/>
  <c r="H15" i="8" s="1"/>
  <c r="I15" i="8" s="1"/>
  <c r="G11" i="8"/>
  <c r="H11" i="8" s="1"/>
  <c r="G11" i="3"/>
  <c r="H11" i="3" s="1"/>
  <c r="B31" i="3" s="1"/>
  <c r="G12" i="8"/>
  <c r="H12" i="8" s="1"/>
  <c r="U13" i="8" s="1"/>
  <c r="G12" i="3"/>
  <c r="H12" i="3" s="1"/>
  <c r="B32" i="3" s="1"/>
  <c r="D34" i="8"/>
  <c r="F9" i="5"/>
  <c r="G9" i="5" s="1"/>
  <c r="D30" i="8"/>
  <c r="P30" i="8" s="1"/>
  <c r="P34" i="8"/>
  <c r="D27" i="8"/>
  <c r="P27" i="8" s="1"/>
  <c r="P29" i="8"/>
  <c r="E4" i="5"/>
  <c r="P33" i="8"/>
  <c r="D32" i="8"/>
  <c r="P32" i="8" s="1"/>
  <c r="P23" i="8"/>
  <c r="P25" i="8"/>
  <c r="F3" i="5"/>
  <c r="G3" i="5" s="1"/>
  <c r="E22" i="5"/>
  <c r="F11" i="5"/>
  <c r="G11" i="5" s="1"/>
  <c r="F20" i="5"/>
  <c r="G20" i="5" s="1"/>
  <c r="F4" i="5"/>
  <c r="G4" i="5" s="1"/>
  <c r="F15" i="5"/>
  <c r="G15" i="5" s="1"/>
  <c r="F23" i="5"/>
  <c r="G23" i="5" s="1"/>
  <c r="F18" i="5"/>
  <c r="G18" i="5" s="1"/>
  <c r="F6" i="5"/>
  <c r="G6" i="5" s="1"/>
  <c r="E19" i="5"/>
  <c r="F26" i="5"/>
  <c r="G26" i="5" s="1"/>
  <c r="F17" i="5"/>
  <c r="G17" i="5" s="1"/>
  <c r="H17" i="5" s="1"/>
  <c r="F24" i="5"/>
  <c r="G24" i="5" s="1"/>
  <c r="F5" i="5"/>
  <c r="G5" i="5" s="1"/>
  <c r="F19" i="5"/>
  <c r="G19" i="5" s="1"/>
  <c r="F25" i="5"/>
  <c r="G25" i="5" s="1"/>
  <c r="F7" i="5"/>
  <c r="G7" i="5" s="1"/>
  <c r="F27" i="5"/>
  <c r="G27" i="5" s="1"/>
  <c r="F8" i="5"/>
  <c r="G8" i="5" s="1"/>
  <c r="E8" i="5"/>
  <c r="F14" i="5"/>
  <c r="G14" i="5" s="1"/>
  <c r="P22" i="8"/>
  <c r="J35" i="8"/>
  <c r="T23" i="8"/>
  <c r="B35" i="8"/>
  <c r="D31" i="8"/>
  <c r="P34" i="6"/>
  <c r="P32" i="6"/>
  <c r="P26" i="6"/>
  <c r="D23" i="6"/>
  <c r="P23" i="6" s="1"/>
  <c r="P31" i="6"/>
  <c r="P25" i="6"/>
  <c r="P33" i="6"/>
  <c r="J35" i="6"/>
  <c r="B35" i="6"/>
  <c r="D29" i="6"/>
  <c r="P29" i="6" s="1"/>
  <c r="D24" i="6"/>
  <c r="P24" i="6" s="1"/>
  <c r="D22" i="6"/>
  <c r="P22" i="6" s="1"/>
  <c r="D30" i="6"/>
  <c r="P30" i="6" s="1"/>
  <c r="D27" i="6"/>
  <c r="D28" i="6"/>
  <c r="P28" i="6" s="1"/>
  <c r="J16" i="3"/>
  <c r="O4" i="3"/>
  <c r="O5" i="3"/>
  <c r="O8" i="3"/>
  <c r="O11" i="3"/>
  <c r="O14" i="3"/>
  <c r="E4" i="1"/>
  <c r="K14" i="3" s="1"/>
  <c r="P14" i="3" s="1"/>
  <c r="E10" i="5"/>
  <c r="E12" i="5"/>
  <c r="F13" i="5"/>
  <c r="G13" i="5" s="1"/>
  <c r="E21" i="5"/>
  <c r="F22" i="5"/>
  <c r="G22" i="5" s="1"/>
  <c r="E29" i="5"/>
  <c r="E9" i="5"/>
  <c r="F10" i="5"/>
  <c r="G10" i="5" s="1"/>
  <c r="E11" i="5"/>
  <c r="F12" i="5"/>
  <c r="G12" i="5" s="1"/>
  <c r="H12" i="5" s="1"/>
  <c r="E20" i="5"/>
  <c r="F21" i="5"/>
  <c r="G21" i="5" s="1"/>
  <c r="E28" i="5"/>
  <c r="F29" i="5"/>
  <c r="G29" i="5" s="1"/>
  <c r="H29" i="5" s="1"/>
  <c r="E27" i="5"/>
  <c r="F28" i="5"/>
  <c r="G28" i="5" s="1"/>
  <c r="E7" i="5"/>
  <c r="E18" i="5"/>
  <c r="E26" i="5"/>
  <c r="E6" i="5"/>
  <c r="E25" i="5"/>
  <c r="E5" i="5"/>
  <c r="E15" i="5"/>
  <c r="E24" i="5"/>
  <c r="E23" i="5"/>
  <c r="E13" i="5"/>
  <c r="O15" i="3"/>
  <c r="O7" i="3"/>
  <c r="O13" i="3"/>
  <c r="O10" i="3"/>
  <c r="O3" i="3"/>
  <c r="O6" i="3"/>
  <c r="O9" i="3"/>
  <c r="O12" i="3"/>
  <c r="H3" i="5" l="1"/>
  <c r="I10" i="8"/>
  <c r="H15" i="6"/>
  <c r="I5" i="3"/>
  <c r="L5" i="3" s="1"/>
  <c r="I4" i="3"/>
  <c r="L4" i="3" s="1"/>
  <c r="U5" i="6"/>
  <c r="G12" i="6"/>
  <c r="H12" i="6" s="1"/>
  <c r="I12" i="6" s="1"/>
  <c r="L12" i="6" s="1"/>
  <c r="G14" i="6"/>
  <c r="H14" i="6" s="1"/>
  <c r="I14" i="6" s="1"/>
  <c r="L14" i="6" s="1"/>
  <c r="U7" i="6"/>
  <c r="I9" i="3"/>
  <c r="L9" i="3" s="1"/>
  <c r="I6" i="6"/>
  <c r="L6" i="6" s="1"/>
  <c r="G8" i="8"/>
  <c r="H8" i="8" s="1"/>
  <c r="G14" i="3"/>
  <c r="H14" i="3" s="1"/>
  <c r="I14" i="3" s="1"/>
  <c r="L14" i="3" s="1"/>
  <c r="G13" i="8"/>
  <c r="H13" i="8" s="1"/>
  <c r="G9" i="8"/>
  <c r="H9" i="8" s="1"/>
  <c r="G6" i="3"/>
  <c r="H6" i="3" s="1"/>
  <c r="G13" i="3"/>
  <c r="H13" i="3" s="1"/>
  <c r="I13" i="3" s="1"/>
  <c r="L13" i="3" s="1"/>
  <c r="I3" i="8"/>
  <c r="L3" i="8" s="1"/>
  <c r="L22" i="8" s="1"/>
  <c r="U4" i="8"/>
  <c r="I11" i="3"/>
  <c r="L11" i="3" s="1"/>
  <c r="K8" i="6"/>
  <c r="V9" i="6" s="1"/>
  <c r="X9" i="6" s="1"/>
  <c r="AA9" i="6" s="1"/>
  <c r="I5" i="8"/>
  <c r="K8" i="8"/>
  <c r="V9" i="8" s="1"/>
  <c r="X9" i="8" s="1"/>
  <c r="I15" i="3"/>
  <c r="L15" i="3" s="1"/>
  <c r="I8" i="3"/>
  <c r="L8" i="3" s="1"/>
  <c r="L15" i="8"/>
  <c r="L34" i="8" s="1"/>
  <c r="I7" i="6"/>
  <c r="L7" i="6" s="1"/>
  <c r="U7" i="8"/>
  <c r="B27" i="3"/>
  <c r="U6" i="8"/>
  <c r="K9" i="8"/>
  <c r="K7" i="6"/>
  <c r="V8" i="6" s="1"/>
  <c r="X8" i="6" s="1"/>
  <c r="AB8" i="6" s="1"/>
  <c r="K3" i="3"/>
  <c r="P3" i="3" s="1"/>
  <c r="Q3" i="3" s="1"/>
  <c r="I8" i="6"/>
  <c r="K5" i="3"/>
  <c r="P5" i="3" s="1"/>
  <c r="Q5" i="3" s="1"/>
  <c r="U6" i="6"/>
  <c r="U5" i="8"/>
  <c r="I4" i="8"/>
  <c r="K6" i="6"/>
  <c r="V7" i="6" s="1"/>
  <c r="X7" i="6" s="1"/>
  <c r="Y7" i="6" s="1"/>
  <c r="K3" i="6"/>
  <c r="V4" i="6" s="1"/>
  <c r="X4" i="6" s="1"/>
  <c r="Y4" i="6" s="1"/>
  <c r="K15" i="8"/>
  <c r="V16" i="8" s="1"/>
  <c r="X16" i="8" s="1"/>
  <c r="Y16" i="8" s="1"/>
  <c r="K10" i="6"/>
  <c r="V11" i="6" s="1"/>
  <c r="X11" i="6" s="1"/>
  <c r="K13" i="8"/>
  <c r="I12" i="3"/>
  <c r="L12" i="3" s="1"/>
  <c r="B30" i="3"/>
  <c r="U9" i="6"/>
  <c r="I12" i="8"/>
  <c r="U4" i="6"/>
  <c r="K5" i="8"/>
  <c r="V6" i="8" s="1"/>
  <c r="X6" i="8" s="1"/>
  <c r="AA6" i="8" s="1"/>
  <c r="K9" i="6"/>
  <c r="V10" i="6" s="1"/>
  <c r="X10" i="6" s="1"/>
  <c r="U11" i="6"/>
  <c r="U12" i="8"/>
  <c r="K7" i="8"/>
  <c r="V8" i="8" s="1"/>
  <c r="X8" i="8" s="1"/>
  <c r="K13" i="6"/>
  <c r="V14" i="6" s="1"/>
  <c r="X14" i="6" s="1"/>
  <c r="Y14" i="6" s="1"/>
  <c r="K14" i="8"/>
  <c r="V15" i="8" s="1"/>
  <c r="X15" i="8" s="1"/>
  <c r="AA15" i="8" s="1"/>
  <c r="B23" i="3"/>
  <c r="H22" i="5"/>
  <c r="U10" i="6"/>
  <c r="U12" i="6"/>
  <c r="K4" i="6"/>
  <c r="V5" i="6" s="1"/>
  <c r="X5" i="6" s="1"/>
  <c r="K6" i="8"/>
  <c r="V7" i="8" s="1"/>
  <c r="X7" i="8" s="1"/>
  <c r="K3" i="8"/>
  <c r="V4" i="8" s="1"/>
  <c r="X4" i="8" s="1"/>
  <c r="K12" i="8"/>
  <c r="V13" i="8" s="1"/>
  <c r="X13" i="8" s="1"/>
  <c r="AA13" i="8" s="1"/>
  <c r="K5" i="6"/>
  <c r="V6" i="6" s="1"/>
  <c r="X6" i="6" s="1"/>
  <c r="K6" i="3"/>
  <c r="I9" i="6"/>
  <c r="L9" i="6" s="1"/>
  <c r="I5" i="6"/>
  <c r="I13" i="6"/>
  <c r="L13" i="6" s="1"/>
  <c r="I11" i="6"/>
  <c r="L11" i="6" s="1"/>
  <c r="H6" i="5"/>
  <c r="I11" i="8"/>
  <c r="K12" i="6"/>
  <c r="V13" i="6" s="1"/>
  <c r="X13" i="6" s="1"/>
  <c r="K11" i="6"/>
  <c r="V12" i="6" s="1"/>
  <c r="X12" i="6" s="1"/>
  <c r="K15" i="3"/>
  <c r="K10" i="8"/>
  <c r="V11" i="8" s="1"/>
  <c r="X11" i="8" s="1"/>
  <c r="AA11" i="8" s="1"/>
  <c r="U8" i="8"/>
  <c r="I7" i="8"/>
  <c r="I10" i="6"/>
  <c r="K14" i="6"/>
  <c r="K11" i="3"/>
  <c r="K15" i="6"/>
  <c r="K4" i="3"/>
  <c r="K7" i="3"/>
  <c r="H19" i="5"/>
  <c r="H23" i="5"/>
  <c r="I6" i="8"/>
  <c r="K13" i="3"/>
  <c r="K4" i="8"/>
  <c r="V5" i="8" s="1"/>
  <c r="X5" i="8" s="1"/>
  <c r="K12" i="3"/>
  <c r="K8" i="3"/>
  <c r="U16" i="8"/>
  <c r="K10" i="3"/>
  <c r="K9" i="3"/>
  <c r="K11" i="8"/>
  <c r="V12" i="8" s="1"/>
  <c r="X12" i="8" s="1"/>
  <c r="Y12" i="8" s="1"/>
  <c r="H28" i="5"/>
  <c r="H13" i="5"/>
  <c r="H21" i="5"/>
  <c r="H8" i="5"/>
  <c r="P31" i="8"/>
  <c r="D35" i="8" s="1"/>
  <c r="L10" i="8"/>
  <c r="L29" i="8" s="1"/>
  <c r="P27" i="6"/>
  <c r="D35" i="6" s="1"/>
  <c r="L4" i="6"/>
  <c r="D16" i="3"/>
  <c r="H27" i="5"/>
  <c r="H24" i="5"/>
  <c r="H18" i="5"/>
  <c r="H10" i="5"/>
  <c r="H26" i="5"/>
  <c r="H9" i="5"/>
  <c r="H11" i="5"/>
  <c r="H5" i="5"/>
  <c r="H20" i="5"/>
  <c r="H25" i="5"/>
  <c r="H15" i="5"/>
  <c r="H14" i="5"/>
  <c r="H7" i="5"/>
  <c r="H4" i="5"/>
  <c r="G22" i="6" l="1"/>
  <c r="H22" i="6" s="1"/>
  <c r="K29" i="6"/>
  <c r="K25" i="6"/>
  <c r="K26" i="6"/>
  <c r="K30" i="6"/>
  <c r="K34" i="6"/>
  <c r="K32" i="6"/>
  <c r="K23" i="6"/>
  <c r="K27" i="6"/>
  <c r="K31" i="6"/>
  <c r="K28" i="6"/>
  <c r="K33" i="6"/>
  <c r="K24" i="6"/>
  <c r="U9" i="8"/>
  <c r="AB4" i="8"/>
  <c r="V16" i="6"/>
  <c r="X16" i="6" s="1"/>
  <c r="Y16" i="6" s="1"/>
  <c r="U16" i="6"/>
  <c r="I15" i="6"/>
  <c r="L15" i="6" s="1"/>
  <c r="V15" i="6"/>
  <c r="X15" i="6" s="1"/>
  <c r="Y15" i="6" s="1"/>
  <c r="U13" i="6"/>
  <c r="U15" i="6"/>
  <c r="C25" i="3"/>
  <c r="E25" i="3" s="1"/>
  <c r="G25" i="3" s="1"/>
  <c r="Z4" i="6"/>
  <c r="B34" i="3"/>
  <c r="AA16" i="8"/>
  <c r="L12" i="8"/>
  <c r="L31" i="8" s="1"/>
  <c r="AA4" i="6"/>
  <c r="AB16" i="8"/>
  <c r="V14" i="8"/>
  <c r="X14" i="8" s="1"/>
  <c r="AA14" i="8" s="1"/>
  <c r="C34" i="3"/>
  <c r="E34" i="3" s="1"/>
  <c r="H34" i="3" s="1"/>
  <c r="B33" i="3"/>
  <c r="I8" i="8"/>
  <c r="I9" i="8"/>
  <c r="U10" i="8"/>
  <c r="U14" i="8"/>
  <c r="I13" i="8"/>
  <c r="L13" i="8" s="1"/>
  <c r="L32" i="8" s="1"/>
  <c r="L8" i="6"/>
  <c r="Q14" i="3"/>
  <c r="V10" i="8"/>
  <c r="X10" i="8" s="1"/>
  <c r="I6" i="3"/>
  <c r="L6" i="3" s="1"/>
  <c r="B26" i="3"/>
  <c r="C23" i="3"/>
  <c r="E23" i="3" s="1"/>
  <c r="F23" i="3" s="1"/>
  <c r="Z7" i="6"/>
  <c r="L5" i="6"/>
  <c r="AB10" i="6"/>
  <c r="Z10" i="6"/>
  <c r="F25" i="3"/>
  <c r="AB4" i="6"/>
  <c r="Z6" i="8"/>
  <c r="AB7" i="6"/>
  <c r="Z5" i="8"/>
  <c r="AA7" i="6"/>
  <c r="Z9" i="8"/>
  <c r="AB7" i="8"/>
  <c r="I25" i="3"/>
  <c r="Z7" i="8"/>
  <c r="Y6" i="8"/>
  <c r="L5" i="8"/>
  <c r="L24" i="8" s="1"/>
  <c r="Y10" i="6"/>
  <c r="AB6" i="8"/>
  <c r="AA8" i="6"/>
  <c r="Z4" i="8"/>
  <c r="Y8" i="6"/>
  <c r="Z8" i="6"/>
  <c r="AA10" i="6"/>
  <c r="AB11" i="8"/>
  <c r="L14" i="8"/>
  <c r="L33" i="8" s="1"/>
  <c r="AB5" i="8"/>
  <c r="Y15" i="8"/>
  <c r="Z11" i="6"/>
  <c r="Y11" i="6"/>
  <c r="AA11" i="6"/>
  <c r="AB8" i="8"/>
  <c r="AB12" i="8"/>
  <c r="Z12" i="8"/>
  <c r="Z14" i="6"/>
  <c r="AB14" i="6"/>
  <c r="AA12" i="8"/>
  <c r="AA14" i="6"/>
  <c r="Z8" i="8"/>
  <c r="AB9" i="8"/>
  <c r="AB11" i="6"/>
  <c r="Z15" i="8"/>
  <c r="Z16" i="8"/>
  <c r="Z16" i="6"/>
  <c r="Y11" i="8"/>
  <c r="Z11" i="8"/>
  <c r="AB15" i="8"/>
  <c r="L4" i="8"/>
  <c r="L23" i="8" s="1"/>
  <c r="Y13" i="6"/>
  <c r="Z13" i="6"/>
  <c r="AA13" i="6"/>
  <c r="AB13" i="6"/>
  <c r="Y12" i="6"/>
  <c r="AA12" i="6"/>
  <c r="AB12" i="6"/>
  <c r="Z12" i="6"/>
  <c r="L6" i="8"/>
  <c r="L25" i="8" s="1"/>
  <c r="L10" i="6"/>
  <c r="AA4" i="8"/>
  <c r="Y4" i="8"/>
  <c r="P8" i="3"/>
  <c r="Q8" i="3" s="1"/>
  <c r="C28" i="3"/>
  <c r="E28" i="3" s="1"/>
  <c r="P7" i="3"/>
  <c r="Q7" i="3" s="1"/>
  <c r="C27" i="3"/>
  <c r="E27" i="3" s="1"/>
  <c r="P15" i="3"/>
  <c r="Q15" i="3" s="1"/>
  <c r="C35" i="3"/>
  <c r="E35" i="3" s="1"/>
  <c r="AA7" i="8"/>
  <c r="Y7" i="8"/>
  <c r="L7" i="8"/>
  <c r="L26" i="8" s="1"/>
  <c r="I16" i="6"/>
  <c r="AB13" i="8"/>
  <c r="Y13" i="8"/>
  <c r="P12" i="3"/>
  <c r="Q12" i="3" s="1"/>
  <c r="C32" i="3"/>
  <c r="E32" i="3" s="1"/>
  <c r="P4" i="3"/>
  <c r="C24" i="3"/>
  <c r="E24" i="3" s="1"/>
  <c r="AA8" i="8"/>
  <c r="Y8" i="8"/>
  <c r="Z13" i="8"/>
  <c r="AA5" i="8"/>
  <c r="Y5" i="8"/>
  <c r="P9" i="3"/>
  <c r="Q9" i="3" s="1"/>
  <c r="C29" i="3"/>
  <c r="E29" i="3" s="1"/>
  <c r="P13" i="3"/>
  <c r="Q13" i="3" s="1"/>
  <c r="C33" i="3"/>
  <c r="E33" i="3" s="1"/>
  <c r="P11" i="3"/>
  <c r="Q11" i="3" s="1"/>
  <c r="C31" i="3"/>
  <c r="E31" i="3" s="1"/>
  <c r="L11" i="8"/>
  <c r="L30" i="8" s="1"/>
  <c r="AB15" i="6"/>
  <c r="P10" i="3"/>
  <c r="Q10" i="3" s="1"/>
  <c r="C30" i="3"/>
  <c r="E30" i="3" s="1"/>
  <c r="AA9" i="8"/>
  <c r="Y9" i="8"/>
  <c r="P6" i="3"/>
  <c r="Q6" i="3" s="1"/>
  <c r="C26" i="3"/>
  <c r="E26" i="3" s="1"/>
  <c r="AB16" i="6"/>
  <c r="K30" i="8"/>
  <c r="K26" i="8"/>
  <c r="K22" i="8"/>
  <c r="K22" i="6"/>
  <c r="K33" i="8"/>
  <c r="K28" i="8"/>
  <c r="K24" i="8"/>
  <c r="K32" i="8"/>
  <c r="K31" i="8"/>
  <c r="K27" i="8"/>
  <c r="K23" i="8"/>
  <c r="K34" i="8"/>
  <c r="K29" i="8"/>
  <c r="K25" i="8"/>
  <c r="Y9" i="6"/>
  <c r="AB9" i="6"/>
  <c r="Z9" i="6"/>
  <c r="AB5" i="6"/>
  <c r="Z5" i="6"/>
  <c r="AA6" i="6"/>
  <c r="Y6" i="6"/>
  <c r="Z6" i="6"/>
  <c r="AB6" i="6"/>
  <c r="AA5" i="6"/>
  <c r="Y5" i="6"/>
  <c r="G26" i="6" l="1"/>
  <c r="H26" i="6" s="1"/>
  <c r="G28" i="6"/>
  <c r="H28" i="6" s="1"/>
  <c r="I28" i="6" s="1"/>
  <c r="L28" i="6" s="1"/>
  <c r="G30" i="6"/>
  <c r="H30" i="6" s="1"/>
  <c r="G24" i="6"/>
  <c r="H24" i="6" s="1"/>
  <c r="U25" i="6" s="1"/>
  <c r="G27" i="6"/>
  <c r="H27" i="6" s="1"/>
  <c r="V28" i="6" s="1"/>
  <c r="X28" i="6" s="1"/>
  <c r="G34" i="6"/>
  <c r="H34" i="6" s="1"/>
  <c r="I34" i="6" s="1"/>
  <c r="L34" i="6" s="1"/>
  <c r="G33" i="6"/>
  <c r="H33" i="6" s="1"/>
  <c r="I33" i="6" s="1"/>
  <c r="L33" i="6" s="1"/>
  <c r="G25" i="6"/>
  <c r="H25" i="6" s="1"/>
  <c r="V26" i="6" s="1"/>
  <c r="X26" i="6" s="1"/>
  <c r="G32" i="6"/>
  <c r="H32" i="6" s="1"/>
  <c r="I32" i="6" s="1"/>
  <c r="L32" i="6" s="1"/>
  <c r="G29" i="6"/>
  <c r="H29" i="6" s="1"/>
  <c r="I29" i="6" s="1"/>
  <c r="L29" i="6" s="1"/>
  <c r="G31" i="6"/>
  <c r="H31" i="6" s="1"/>
  <c r="I31" i="6" s="1"/>
  <c r="L31" i="6" s="1"/>
  <c r="G23" i="6"/>
  <c r="H23" i="6" s="1"/>
  <c r="I23" i="6" s="1"/>
  <c r="L23" i="6" s="1"/>
  <c r="I26" i="6"/>
  <c r="L26" i="6" s="1"/>
  <c r="U27" i="6"/>
  <c r="U31" i="6"/>
  <c r="I30" i="6"/>
  <c r="L30" i="6" s="1"/>
  <c r="I22" i="6"/>
  <c r="L22" i="6" s="1"/>
  <c r="U23" i="6"/>
  <c r="X17" i="8"/>
  <c r="Y10" i="8"/>
  <c r="AA10" i="8"/>
  <c r="L8" i="8"/>
  <c r="L27" i="8" s="1"/>
  <c r="Y14" i="8"/>
  <c r="Y17" i="8" s="1"/>
  <c r="AA16" i="6"/>
  <c r="Z15" i="6"/>
  <c r="X17" i="6"/>
  <c r="AA15" i="6"/>
  <c r="H25" i="3"/>
  <c r="AB10" i="8"/>
  <c r="Z14" i="8"/>
  <c r="H23" i="3"/>
  <c r="I34" i="3"/>
  <c r="F34" i="3"/>
  <c r="Z10" i="8"/>
  <c r="G23" i="3"/>
  <c r="AB14" i="8"/>
  <c r="I16" i="8"/>
  <c r="I23" i="3"/>
  <c r="I16" i="3"/>
  <c r="G34" i="3"/>
  <c r="L9" i="8"/>
  <c r="L28" i="8" s="1"/>
  <c r="Y17" i="6"/>
  <c r="AA17" i="6"/>
  <c r="AA17" i="8"/>
  <c r="Z17" i="6"/>
  <c r="AB17" i="6"/>
  <c r="Q4" i="3"/>
  <c r="H16" i="3" s="1"/>
  <c r="K16" i="3"/>
  <c r="F27" i="3"/>
  <c r="I27" i="3"/>
  <c r="G27" i="3"/>
  <c r="H27" i="3"/>
  <c r="H31" i="3"/>
  <c r="G31" i="3"/>
  <c r="F31" i="3"/>
  <c r="I31" i="3"/>
  <c r="H28" i="3"/>
  <c r="F28" i="3"/>
  <c r="I28" i="3"/>
  <c r="G28" i="3"/>
  <c r="G30" i="3"/>
  <c r="I30" i="3"/>
  <c r="H30" i="3"/>
  <c r="F30" i="3"/>
  <c r="H33" i="3"/>
  <c r="F33" i="3"/>
  <c r="G33" i="3"/>
  <c r="I33" i="3"/>
  <c r="H26" i="3"/>
  <c r="I26" i="3"/>
  <c r="G26" i="3"/>
  <c r="F26" i="3"/>
  <c r="H29" i="3"/>
  <c r="F29" i="3"/>
  <c r="I29" i="3"/>
  <c r="G29" i="3"/>
  <c r="H32" i="3"/>
  <c r="F32" i="3"/>
  <c r="G32" i="3"/>
  <c r="I32" i="3"/>
  <c r="F24" i="3"/>
  <c r="E36" i="3"/>
  <c r="I24" i="3"/>
  <c r="G24" i="3"/>
  <c r="H24" i="3"/>
  <c r="H35" i="3"/>
  <c r="I35" i="3"/>
  <c r="G35" i="3"/>
  <c r="F35" i="3"/>
  <c r="Q28" i="8"/>
  <c r="Q33" i="8"/>
  <c r="Q28" i="6"/>
  <c r="R28" i="6" s="1"/>
  <c r="V29" i="6"/>
  <c r="X29" i="6" s="1"/>
  <c r="Q22" i="6"/>
  <c r="V23" i="6"/>
  <c r="X23" i="6" s="1"/>
  <c r="Q25" i="6"/>
  <c r="Q31" i="8"/>
  <c r="Q32" i="8"/>
  <c r="G23" i="8"/>
  <c r="H23" i="8" s="1"/>
  <c r="V24" i="8" s="1"/>
  <c r="X24" i="8" s="1"/>
  <c r="G31" i="8"/>
  <c r="H31" i="8" s="1"/>
  <c r="G24" i="8"/>
  <c r="H24" i="8" s="1"/>
  <c r="G32" i="8"/>
  <c r="H32" i="8" s="1"/>
  <c r="G33" i="8"/>
  <c r="H33" i="8" s="1"/>
  <c r="G27" i="8"/>
  <c r="H27" i="8" s="1"/>
  <c r="V28" i="8" s="1"/>
  <c r="X28" i="8" s="1"/>
  <c r="G22" i="8"/>
  <c r="H22" i="8" s="1"/>
  <c r="V23" i="8" s="1"/>
  <c r="X23" i="8" s="1"/>
  <c r="G28" i="8"/>
  <c r="H28" i="8" s="1"/>
  <c r="G25" i="8"/>
  <c r="H25" i="8" s="1"/>
  <c r="V26" i="8" s="1"/>
  <c r="X26" i="8" s="1"/>
  <c r="G30" i="8"/>
  <c r="H30" i="8" s="1"/>
  <c r="G26" i="8"/>
  <c r="H26" i="8" s="1"/>
  <c r="G34" i="8"/>
  <c r="H34" i="8" s="1"/>
  <c r="V35" i="8" s="1"/>
  <c r="X35" i="8" s="1"/>
  <c r="G29" i="8"/>
  <c r="H29" i="8" s="1"/>
  <c r="V30" i="8" s="1"/>
  <c r="X30" i="8" s="1"/>
  <c r="Q33" i="6"/>
  <c r="Q34" i="8"/>
  <c r="Q31" i="6"/>
  <c r="Q22" i="8"/>
  <c r="Q27" i="8"/>
  <c r="Q26" i="6"/>
  <c r="R26" i="6" s="1"/>
  <c r="V27" i="6"/>
  <c r="X27" i="6" s="1"/>
  <c r="Q24" i="6"/>
  <c r="Q25" i="8"/>
  <c r="Q29" i="6"/>
  <c r="Q23" i="6"/>
  <c r="Q26" i="8"/>
  <c r="Q29" i="8"/>
  <c r="Q30" i="6"/>
  <c r="R30" i="6" s="1"/>
  <c r="V31" i="6"/>
  <c r="X31" i="6" s="1"/>
  <c r="Q32" i="6"/>
  <c r="Q27" i="6"/>
  <c r="Q34" i="6"/>
  <c r="Q23" i="8"/>
  <c r="Q24" i="8"/>
  <c r="Q30" i="8"/>
  <c r="U29" i="6" l="1"/>
  <c r="V25" i="6"/>
  <c r="X25" i="6" s="1"/>
  <c r="Z25" i="6" s="1"/>
  <c r="R24" i="6"/>
  <c r="R27" i="6"/>
  <c r="U28" i="6"/>
  <c r="AB28" i="6" s="1"/>
  <c r="I27" i="6"/>
  <c r="L27" i="6" s="1"/>
  <c r="I24" i="6"/>
  <c r="L24" i="6" s="1"/>
  <c r="I25" i="6"/>
  <c r="L25" i="6" s="1"/>
  <c r="U26" i="6"/>
  <c r="AB26" i="6" s="1"/>
  <c r="R33" i="6"/>
  <c r="V35" i="6"/>
  <c r="X35" i="6" s="1"/>
  <c r="Y35" i="6" s="1"/>
  <c r="R34" i="6"/>
  <c r="U35" i="6"/>
  <c r="U33" i="6"/>
  <c r="V34" i="6"/>
  <c r="X34" i="6" s="1"/>
  <c r="Y34" i="6" s="1"/>
  <c r="R25" i="6"/>
  <c r="U34" i="6"/>
  <c r="V33" i="6"/>
  <c r="X33" i="6" s="1"/>
  <c r="Y33" i="6" s="1"/>
  <c r="R29" i="6"/>
  <c r="R23" i="6"/>
  <c r="R32" i="6"/>
  <c r="R25" i="8"/>
  <c r="V30" i="6"/>
  <c r="X30" i="6" s="1"/>
  <c r="AA30" i="6" s="1"/>
  <c r="V32" i="6"/>
  <c r="X32" i="6" s="1"/>
  <c r="Y32" i="6" s="1"/>
  <c r="R31" i="6"/>
  <c r="U30" i="6"/>
  <c r="V24" i="6"/>
  <c r="X24" i="6" s="1"/>
  <c r="Y24" i="6" s="1"/>
  <c r="U24" i="6"/>
  <c r="U32" i="6"/>
  <c r="R29" i="8"/>
  <c r="AB29" i="6"/>
  <c r="R28" i="8"/>
  <c r="R27" i="8"/>
  <c r="I34" i="8"/>
  <c r="U35" i="8"/>
  <c r="AB35" i="8" s="1"/>
  <c r="R34" i="8"/>
  <c r="I33" i="8"/>
  <c r="U34" i="8"/>
  <c r="V34" i="8"/>
  <c r="X34" i="8" s="1"/>
  <c r="Y34" i="8" s="1"/>
  <c r="R33" i="8"/>
  <c r="Z17" i="8"/>
  <c r="I32" i="8"/>
  <c r="U33" i="8"/>
  <c r="V33" i="8"/>
  <c r="X33" i="8" s="1"/>
  <c r="Y33" i="8" s="1"/>
  <c r="R32" i="8"/>
  <c r="I31" i="8"/>
  <c r="U32" i="8"/>
  <c r="V32" i="8"/>
  <c r="X32" i="8" s="1"/>
  <c r="AA32" i="8" s="1"/>
  <c r="R31" i="8"/>
  <c r="I30" i="8"/>
  <c r="U31" i="8"/>
  <c r="V31" i="8"/>
  <c r="X31" i="8" s="1"/>
  <c r="Y31" i="8" s="1"/>
  <c r="R30" i="8"/>
  <c r="I29" i="8"/>
  <c r="U30" i="8"/>
  <c r="Z30" i="8" s="1"/>
  <c r="AB17" i="8"/>
  <c r="I28" i="8"/>
  <c r="U29" i="8"/>
  <c r="V29" i="8"/>
  <c r="X29" i="8" s="1"/>
  <c r="I27" i="8"/>
  <c r="U28" i="8"/>
  <c r="Z28" i="8" s="1"/>
  <c r="I26" i="8"/>
  <c r="U27" i="8"/>
  <c r="R26" i="8"/>
  <c r="V27" i="8"/>
  <c r="X27" i="8" s="1"/>
  <c r="Y27" i="8" s="1"/>
  <c r="I25" i="8"/>
  <c r="U26" i="8"/>
  <c r="Z26" i="8" s="1"/>
  <c r="I24" i="8"/>
  <c r="U25" i="8"/>
  <c r="V25" i="8"/>
  <c r="X25" i="8" s="1"/>
  <c r="AA25" i="8" s="1"/>
  <c r="R24" i="8"/>
  <c r="R23" i="8"/>
  <c r="I23" i="8"/>
  <c r="U24" i="8"/>
  <c r="AB24" i="8" s="1"/>
  <c r="I22" i="8"/>
  <c r="U23" i="8"/>
  <c r="AB23" i="8" s="1"/>
  <c r="AE4" i="8"/>
  <c r="F36" i="3"/>
  <c r="H36" i="3"/>
  <c r="L23" i="3" s="1"/>
  <c r="L26" i="3" s="1"/>
  <c r="N29" i="3" s="1"/>
  <c r="G36" i="3"/>
  <c r="I36" i="3"/>
  <c r="Y25" i="6"/>
  <c r="AA25" i="6"/>
  <c r="Y29" i="6"/>
  <c r="AA29" i="6"/>
  <c r="AA28" i="6"/>
  <c r="Y28" i="6"/>
  <c r="AB23" i="6"/>
  <c r="Z23" i="6"/>
  <c r="AA23" i="8"/>
  <c r="Y23" i="8"/>
  <c r="K35" i="6"/>
  <c r="R22" i="6"/>
  <c r="Y30" i="8"/>
  <c r="AA30" i="8"/>
  <c r="AA26" i="8"/>
  <c r="Y26" i="8"/>
  <c r="K35" i="8"/>
  <c r="R22" i="8"/>
  <c r="AA23" i="6"/>
  <c r="Y23" i="6"/>
  <c r="AB25" i="6"/>
  <c r="AA27" i="6"/>
  <c r="AB27" i="6"/>
  <c r="Y27" i="6"/>
  <c r="Z27" i="6"/>
  <c r="AA35" i="8"/>
  <c r="Y35" i="8"/>
  <c r="AA26" i="6"/>
  <c r="Y26" i="6"/>
  <c r="Y24" i="8"/>
  <c r="AA24" i="8"/>
  <c r="AA31" i="6"/>
  <c r="Y31" i="6"/>
  <c r="Z31" i="6"/>
  <c r="AB31" i="6"/>
  <c r="Y28" i="8"/>
  <c r="AA28" i="8"/>
  <c r="Z29" i="6"/>
  <c r="AE4" i="6"/>
  <c r="AE6" i="6" s="1"/>
  <c r="Z28" i="6" l="1"/>
  <c r="Y30" i="6"/>
  <c r="AA35" i="6"/>
  <c r="AA33" i="6"/>
  <c r="Z35" i="6"/>
  <c r="Y32" i="8"/>
  <c r="Z33" i="6"/>
  <c r="AB35" i="6"/>
  <c r="AB30" i="8"/>
  <c r="AB34" i="6"/>
  <c r="AA32" i="6"/>
  <c r="Z26" i="6"/>
  <c r="AA34" i="6"/>
  <c r="Z34" i="6"/>
  <c r="AB33" i="6"/>
  <c r="AB24" i="6"/>
  <c r="AB36" i="6" s="1"/>
  <c r="X36" i="6"/>
  <c r="H35" i="6"/>
  <c r="AH30" i="6" s="1"/>
  <c r="AA24" i="6"/>
  <c r="AA36" i="6" s="1"/>
  <c r="Z32" i="6"/>
  <c r="Z30" i="6"/>
  <c r="AB30" i="6"/>
  <c r="Z24" i="6"/>
  <c r="Y25" i="8"/>
  <c r="AB32" i="6"/>
  <c r="Z32" i="8"/>
  <c r="Z29" i="8"/>
  <c r="AB25" i="8"/>
  <c r="AB28" i="8"/>
  <c r="AB32" i="8"/>
  <c r="AB26" i="8"/>
  <c r="Z25" i="8"/>
  <c r="Z23" i="8"/>
  <c r="AB27" i="8"/>
  <c r="AB31" i="8"/>
  <c r="Z35" i="8"/>
  <c r="Z34" i="8"/>
  <c r="AB34" i="8"/>
  <c r="AA34" i="8"/>
  <c r="H35" i="8"/>
  <c r="AH30" i="8" s="1"/>
  <c r="Z33" i="8"/>
  <c r="AB33" i="8"/>
  <c r="AA33" i="8"/>
  <c r="Z31" i="8"/>
  <c r="AA31" i="8"/>
  <c r="Y29" i="8"/>
  <c r="AA29" i="8"/>
  <c r="AB29" i="8"/>
  <c r="AA27" i="8"/>
  <c r="Z27" i="8"/>
  <c r="X36" i="8"/>
  <c r="Z24" i="8"/>
  <c r="L25" i="3"/>
  <c r="L27" i="3"/>
  <c r="L24" i="3"/>
  <c r="L29" i="3" s="1"/>
  <c r="L30" i="3" s="1"/>
  <c r="N30" i="3" s="1"/>
  <c r="AE7" i="8"/>
  <c r="AG10" i="8" s="1"/>
  <c r="AE5" i="8"/>
  <c r="AE10" i="8" s="1"/>
  <c r="AE11" i="8" s="1"/>
  <c r="AE6" i="8"/>
  <c r="Y36" i="6"/>
  <c r="AE8" i="6"/>
  <c r="AE5" i="6"/>
  <c r="AE10" i="6" s="1"/>
  <c r="AE11" i="6" s="1"/>
  <c r="AE7" i="6"/>
  <c r="AG10" i="6" s="1"/>
  <c r="Z36" i="6" l="1"/>
  <c r="Y36" i="8"/>
  <c r="AB36" i="8"/>
  <c r="AA36" i="8"/>
  <c r="Z36" i="8"/>
  <c r="AG11" i="8"/>
  <c r="AE23" i="6"/>
  <c r="AE26" i="6" s="1"/>
  <c r="AG29" i="6" s="1"/>
  <c r="AG11" i="6"/>
  <c r="AE23" i="8" l="1"/>
  <c r="AE26" i="8" s="1"/>
  <c r="AG29" i="8" s="1"/>
  <c r="AE24" i="6"/>
  <c r="AE29" i="6" s="1"/>
  <c r="AE30" i="6" s="1"/>
  <c r="AG30" i="6" s="1"/>
  <c r="AE25" i="6"/>
  <c r="AE27" i="6"/>
  <c r="AE27" i="8"/>
  <c r="AE24" i="8"/>
  <c r="AE29" i="8" s="1"/>
  <c r="AE30" i="8" s="1"/>
  <c r="AG30" i="8" s="1"/>
  <c r="AE25" i="8" l="1"/>
</calcChain>
</file>

<file path=xl/sharedStrings.xml><?xml version="1.0" encoding="utf-8"?>
<sst xmlns="http://schemas.openxmlformats.org/spreadsheetml/2006/main" count="208" uniqueCount="70">
  <si>
    <t>±</t>
  </si>
  <si>
    <t>μₒ [N/A²]</t>
  </si>
  <si>
    <t>Raggio bobine (Rb) [m]</t>
  </si>
  <si>
    <t>errore sul raggio [m]</t>
  </si>
  <si>
    <t>N</t>
  </si>
  <si>
    <t>Difetto:</t>
  </si>
  <si>
    <t>Eccesso:</t>
  </si>
  <si>
    <t>R bobine [m]</t>
  </si>
  <si>
    <t>ERRORI COSTANTI</t>
  </si>
  <si>
    <t>Media:</t>
  </si>
  <si>
    <t>σ∆V [V]</t>
  </si>
  <si>
    <t>Dev st:</t>
  </si>
  <si>
    <t>σI [A]</t>
  </si>
  <si>
    <t>risoluzione strumento</t>
  </si>
  <si>
    <t>Costante:</t>
  </si>
  <si>
    <t>∆V [V]</t>
  </si>
  <si>
    <t>d [m]</t>
  </si>
  <si>
    <t>R [m]</t>
  </si>
  <si>
    <t>I [A]</t>
  </si>
  <si>
    <t>termine corr</t>
  </si>
  <si>
    <t>B(0) [A/m]</t>
  </si>
  <si>
    <t>B(R) [A/m]</t>
  </si>
  <si>
    <t>e/m [C/kg]</t>
  </si>
  <si>
    <t>σR [m]</t>
  </si>
  <si>
    <t>σB [T]</t>
  </si>
  <si>
    <t>w_r</t>
  </si>
  <si>
    <t>w_r*v_r</t>
  </si>
  <si>
    <t>w_b</t>
  </si>
  <si>
    <t>w_b*v_b</t>
  </si>
  <si>
    <t>MEDIE</t>
  </si>
  <si>
    <t>REGRESSIONE LINEARE</t>
  </si>
  <si>
    <t xml:space="preserve"> </t>
  </si>
  <si>
    <t>2∆V [V]</t>
  </si>
  <si>
    <t>R²B²</t>
  </si>
  <si>
    <r>
      <rPr>
        <sz val="11"/>
        <color theme="1"/>
        <rFont val="Calibri"/>
        <family val="2"/>
      </rPr>
      <t>σ</t>
    </r>
    <r>
      <rPr>
        <sz val="12"/>
        <color theme="1"/>
        <rFont val="Aptos Narrow"/>
        <family val="2"/>
        <scheme val="minor"/>
      </rPr>
      <t>R²B²</t>
    </r>
  </si>
  <si>
    <t>PESO</t>
  </si>
  <si>
    <t>S_X</t>
  </si>
  <si>
    <t>S_Y</t>
  </si>
  <si>
    <t>S_XX</t>
  </si>
  <si>
    <t>S_XY</t>
  </si>
  <si>
    <t>DELTA</t>
  </si>
  <si>
    <t>A(coeff)</t>
  </si>
  <si>
    <t>B(inter)</t>
  </si>
  <si>
    <t>SIGMA A</t>
  </si>
  <si>
    <t>SIGMA B</t>
  </si>
  <si>
    <t>m/e [kg/C]</t>
  </si>
  <si>
    <t>SOMME</t>
  </si>
  <si>
    <t>A</t>
  </si>
  <si>
    <t>B</t>
  </si>
  <si>
    <t>Angolo [°]</t>
  </si>
  <si>
    <t>I [mA]</t>
  </si>
  <si>
    <t>Br [mG]</t>
  </si>
  <si>
    <t>Bz [mG]</t>
  </si>
  <si>
    <t>Bt [mG]</t>
  </si>
  <si>
    <t>σ stat [mG]</t>
  </si>
  <si>
    <t>peso</t>
  </si>
  <si>
    <t>peso*val</t>
  </si>
  <si>
    <t>B terra [T]</t>
  </si>
  <si>
    <t>dev st [T]</t>
  </si>
  <si>
    <t>Iₒ [mA]</t>
  </si>
  <si>
    <t>σ I[mA]</t>
  </si>
  <si>
    <t>σ theta</t>
  </si>
  <si>
    <t>N spire</t>
  </si>
  <si>
    <t>R ago [m]</t>
  </si>
  <si>
    <r>
      <t>σ</t>
    </r>
    <r>
      <rPr>
        <b/>
        <sz val="8"/>
        <color theme="1"/>
        <rFont val="Aptos Narrow"/>
        <family val="2"/>
        <scheme val="minor"/>
      </rPr>
      <t>e/m</t>
    </r>
    <r>
      <rPr>
        <b/>
        <sz val="11"/>
        <color theme="1"/>
        <rFont val="Aptos Narrow"/>
        <family val="2"/>
        <scheme val="minor"/>
      </rPr>
      <t>(∆V)</t>
    </r>
  </si>
  <si>
    <t>su queste misure non va incluso il campo magnetico terrestre</t>
  </si>
  <si>
    <t>su queste misure non è incluso il campo magnetico terrestre</t>
  </si>
  <si>
    <r>
      <t>σ</t>
    </r>
    <r>
      <rPr>
        <b/>
        <sz val="8"/>
        <color rgb="FF000000"/>
        <rFont val="Aptos Narrow"/>
        <family val="2"/>
        <scheme val="minor"/>
      </rPr>
      <t>e/m</t>
    </r>
    <r>
      <rPr>
        <b/>
        <sz val="11"/>
        <color rgb="FF000000"/>
        <rFont val="Aptos Narrow"/>
        <family val="2"/>
        <scheme val="minor"/>
      </rPr>
      <t>(∆V)</t>
    </r>
  </si>
  <si>
    <t>su queste misure è incluso il campo magnetico terrestre</t>
  </si>
  <si>
    <t>Nota: la tensione ha 0.19V a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</si>
</sst>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E+00"/>
    <numFmt numFmtId="165" formatCode="0.000"/>
    <numFmt numFmtId="166" formatCode="0.00000"/>
    <numFmt numFmtId="167" formatCode="0.0"/>
    <numFmt numFmtId="168" formatCode="0.0000"/>
    <numFmt numFmtId="169" formatCode="0.00000E+00"/>
    <numFmt numFmtId="170" formatCode="0.E+00"/>
    <numFmt numFmtId="171" formatCode="0.0E+00"/>
    <numFmt numFmtId="172" formatCode="0.000000000E+00"/>
    <numFmt numFmtId="173" formatCode="0.000000E+00"/>
  </numFmts>
  <fonts count="24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1"/>
      <color theme="1"/>
      <name val="Calibri"/>
      <family val="2"/>
    </font>
    <font>
      <sz val="11"/>
      <color rgb="FFFFC00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Calibri"/>
      <family val="2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1"/>
      <color rgb="FF000000"/>
      <name val="Calibri"/>
      <family val="2"/>
    </font>
    <font>
      <b/>
      <sz val="8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1"/>
      <color rgb="FFFF0000"/>
      <name val="Aptos Narrow"/>
      <scheme val="minor"/>
    </font>
    <font>
      <sz val="12"/>
      <color rgb="FFC00000"/>
      <name val="Aptos Narrow"/>
      <family val="2"/>
      <scheme val="minor"/>
    </font>
    <font>
      <sz val="12"/>
      <color rgb="FFC00000"/>
      <name val="Aptos Narrow (Body)"/>
    </font>
    <font>
      <b/>
      <sz val="12"/>
      <color rgb="FFFF0000"/>
      <name val="Aptos Narrow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right"/>
    </xf>
    <xf numFmtId="3" fontId="7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9" fontId="0" fillId="0" borderId="9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7" borderId="8" xfId="0" applyFill="1" applyBorder="1" applyAlignment="1">
      <alignment horizontal="center" vertical="center"/>
    </xf>
    <xf numFmtId="167" fontId="0" fillId="0" borderId="8" xfId="0" applyNumberFormat="1" applyBorder="1" applyAlignment="1">
      <alignment horizontal="center"/>
    </xf>
    <xf numFmtId="16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72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169" fontId="0" fillId="0" borderId="12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8" xfId="0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/>
    <xf numFmtId="0" fontId="2" fillId="5" borderId="0" xfId="0" applyFont="1" applyFill="1" applyAlignment="1">
      <alignment horizontal="right"/>
    </xf>
    <xf numFmtId="166" fontId="0" fillId="5" borderId="0" xfId="0" applyNumberFormat="1" applyFill="1"/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right"/>
    </xf>
    <xf numFmtId="0" fontId="5" fillId="5" borderId="0" xfId="0" applyFont="1" applyFill="1"/>
    <xf numFmtId="0" fontId="2" fillId="9" borderId="0" xfId="0" applyFont="1" applyFill="1" applyAlignment="1">
      <alignment horizontal="right"/>
    </xf>
    <xf numFmtId="166" fontId="0" fillId="4" borderId="0" xfId="0" applyNumberFormat="1" applyFill="1"/>
    <xf numFmtId="166" fontId="0" fillId="2" borderId="0" xfId="0" applyNumberFormat="1" applyFill="1"/>
    <xf numFmtId="0" fontId="2" fillId="0" borderId="12" xfId="0" applyFont="1" applyBorder="1"/>
    <xf numFmtId="0" fontId="0" fillId="0" borderId="12" xfId="0" applyBorder="1"/>
    <xf numFmtId="0" fontId="2" fillId="0" borderId="0" xfId="0" applyFont="1"/>
    <xf numFmtId="0" fontId="0" fillId="5" borderId="0" xfId="0" applyFill="1" applyAlignment="1">
      <alignment horizontal="center"/>
    </xf>
    <xf numFmtId="169" fontId="0" fillId="5" borderId="0" xfId="0" applyNumberFormat="1" applyFill="1" applyAlignment="1">
      <alignment horizontal="center"/>
    </xf>
    <xf numFmtId="169" fontId="0" fillId="5" borderId="0" xfId="0" applyNumberFormat="1" applyFill="1" applyAlignment="1">
      <alignment horizontal="center" vertical="center"/>
    </xf>
    <xf numFmtId="167" fontId="3" fillId="5" borderId="0" xfId="0" applyNumberFormat="1" applyFont="1" applyFill="1" applyAlignment="1">
      <alignment horizontal="center"/>
    </xf>
    <xf numFmtId="166" fontId="3" fillId="5" borderId="0" xfId="0" applyNumberFormat="1" applyFont="1" applyFill="1" applyAlignment="1">
      <alignment horizontal="center"/>
    </xf>
    <xf numFmtId="166" fontId="0" fillId="5" borderId="0" xfId="0" applyNumberForma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right" vertical="center"/>
    </xf>
    <xf numFmtId="167" fontId="15" fillId="5" borderId="0" xfId="0" applyNumberFormat="1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169" fontId="15" fillId="5" borderId="0" xfId="0" applyNumberFormat="1" applyFont="1" applyFill="1" applyAlignment="1">
      <alignment horizontal="center" vertical="center"/>
    </xf>
    <xf numFmtId="170" fontId="15" fillId="5" borderId="0" xfId="0" applyNumberFormat="1" applyFont="1" applyFill="1" applyAlignment="1">
      <alignment horizontal="center" vertical="center"/>
    </xf>
    <xf numFmtId="169" fontId="15" fillId="5" borderId="0" xfId="0" applyNumberFormat="1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167" fontId="0" fillId="4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70" fontId="0" fillId="4" borderId="0" xfId="0" applyNumberFormat="1" applyFill="1" applyAlignment="1">
      <alignment horizontal="center" vertical="center"/>
    </xf>
    <xf numFmtId="169" fontId="0" fillId="4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70" fontId="0" fillId="2" borderId="0" xfId="0" applyNumberFormat="1" applyFill="1" applyAlignment="1">
      <alignment horizontal="center" vertical="center"/>
    </xf>
    <xf numFmtId="169" fontId="0" fillId="2" borderId="0" xfId="0" applyNumberFormat="1" applyFill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9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169" fontId="0" fillId="0" borderId="14" xfId="0" applyNumberFormat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169" fontId="15" fillId="0" borderId="0" xfId="0" applyNumberFormat="1" applyFont="1" applyAlignment="1">
      <alignment horizontal="center"/>
    </xf>
    <xf numFmtId="169" fontId="0" fillId="0" borderId="16" xfId="0" applyNumberFormat="1" applyBorder="1" applyAlignment="1">
      <alignment horizontal="center"/>
    </xf>
    <xf numFmtId="11" fontId="0" fillId="8" borderId="16" xfId="0" applyNumberFormat="1" applyFill="1" applyBorder="1" applyAlignment="1">
      <alignment horizontal="center"/>
    </xf>
    <xf numFmtId="171" fontId="0" fillId="8" borderId="14" xfId="0" applyNumberForma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0" xfId="0" applyFill="1" applyAlignment="1">
      <alignment horizontal="left"/>
    </xf>
    <xf numFmtId="0" fontId="0" fillId="0" borderId="13" xfId="0" applyBorder="1" applyAlignment="1">
      <alignment horizontal="center" vertical="center"/>
    </xf>
    <xf numFmtId="169" fontId="0" fillId="0" borderId="8" xfId="0" applyNumberForma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9" fontId="0" fillId="8" borderId="8" xfId="0" applyNumberForma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7" fontId="3" fillId="5" borderId="0" xfId="0" applyNumberFormat="1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73" fontId="0" fillId="8" borderId="8" xfId="0" applyNumberFormat="1" applyFill="1" applyBorder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7" fillId="11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169" fontId="16" fillId="11" borderId="0" xfId="0" applyNumberFormat="1" applyFont="1" applyFill="1" applyAlignment="1">
      <alignment horizontal="center" vertical="center"/>
    </xf>
    <xf numFmtId="167" fontId="16" fillId="12" borderId="0" xfId="0" applyNumberFormat="1" applyFont="1" applyFill="1" applyAlignment="1">
      <alignment horizontal="center" vertical="center"/>
    </xf>
    <xf numFmtId="165" fontId="16" fillId="12" borderId="0" xfId="0" applyNumberFormat="1" applyFont="1" applyFill="1" applyAlignment="1">
      <alignment horizontal="center" vertical="center"/>
    </xf>
    <xf numFmtId="0" fontId="16" fillId="12" borderId="3" xfId="0" applyFont="1" applyFill="1" applyBorder="1" applyAlignment="1">
      <alignment horizontal="center" vertical="center"/>
    </xf>
    <xf numFmtId="169" fontId="16" fillId="12" borderId="0" xfId="0" applyNumberFormat="1" applyFont="1" applyFill="1" applyAlignment="1">
      <alignment horizontal="center" vertical="center"/>
    </xf>
    <xf numFmtId="164" fontId="16" fillId="12" borderId="0" xfId="0" applyNumberFormat="1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70" fontId="16" fillId="12" borderId="0" xfId="0" applyNumberFormat="1" applyFont="1" applyFill="1" applyAlignment="1">
      <alignment horizontal="center" vertical="center"/>
    </xf>
    <xf numFmtId="167" fontId="16" fillId="13" borderId="0" xfId="0" applyNumberFormat="1" applyFont="1" applyFill="1" applyAlignment="1">
      <alignment horizontal="center" vertical="center"/>
    </xf>
    <xf numFmtId="165" fontId="16" fillId="13" borderId="0" xfId="0" applyNumberFormat="1" applyFont="1" applyFill="1" applyAlignment="1">
      <alignment horizontal="center" vertical="center"/>
    </xf>
    <xf numFmtId="0" fontId="16" fillId="13" borderId="3" xfId="0" applyFont="1" applyFill="1" applyBorder="1" applyAlignment="1">
      <alignment horizontal="center" vertical="center"/>
    </xf>
    <xf numFmtId="169" fontId="16" fillId="13" borderId="0" xfId="0" applyNumberFormat="1" applyFont="1" applyFill="1" applyAlignment="1">
      <alignment horizontal="center" vertical="center"/>
    </xf>
    <xf numFmtId="164" fontId="16" fillId="13" borderId="0" xfId="0" applyNumberFormat="1" applyFont="1" applyFill="1" applyAlignment="1">
      <alignment horizontal="center" vertical="center"/>
    </xf>
    <xf numFmtId="0" fontId="16" fillId="13" borderId="0" xfId="0" applyFont="1" applyFill="1" applyAlignment="1">
      <alignment horizontal="center" vertical="center"/>
    </xf>
    <xf numFmtId="170" fontId="16" fillId="13" borderId="0" xfId="0" applyNumberFormat="1" applyFont="1" applyFill="1" applyAlignment="1">
      <alignment horizontal="center" vertical="center"/>
    </xf>
    <xf numFmtId="0" fontId="13" fillId="11" borderId="0" xfId="0" applyFont="1" applyFill="1" applyAlignment="1">
      <alignment horizontal="right" vertical="center"/>
    </xf>
    <xf numFmtId="167" fontId="19" fillId="11" borderId="0" xfId="0" applyNumberFormat="1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169" fontId="19" fillId="11" borderId="0" xfId="0" applyNumberFormat="1" applyFont="1" applyFill="1" applyAlignment="1">
      <alignment horizontal="center" vertical="center"/>
    </xf>
    <xf numFmtId="170" fontId="19" fillId="11" borderId="0" xfId="0" applyNumberFormat="1" applyFont="1" applyFill="1" applyAlignment="1">
      <alignment horizontal="center" vertical="center"/>
    </xf>
    <xf numFmtId="0" fontId="16" fillId="11" borderId="0" xfId="0" applyFont="1" applyFill="1" applyAlignment="1">
      <alignment horizontal="left" vertical="center"/>
    </xf>
    <xf numFmtId="170" fontId="0" fillId="0" borderId="0" xfId="0" applyNumberForma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9" fontId="15" fillId="0" borderId="1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21" fillId="5" borderId="0" xfId="0" applyFont="1" applyFill="1" applyAlignment="1">
      <alignment horizontal="left" vertical="center"/>
    </xf>
    <xf numFmtId="0" fontId="21" fillId="11" borderId="0" xfId="0" applyFont="1" applyFill="1" applyAlignment="1">
      <alignment horizontal="left" vertical="center"/>
    </xf>
    <xf numFmtId="164" fontId="15" fillId="0" borderId="10" xfId="0" applyNumberFormat="1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15" borderId="8" xfId="0" applyFill="1" applyBorder="1" applyAlignment="1">
      <alignment horizontal="center" vertical="center"/>
    </xf>
    <xf numFmtId="2" fontId="12" fillId="15" borderId="8" xfId="0" applyNumberFormat="1" applyFont="1" applyFill="1" applyBorder="1" applyAlignment="1">
      <alignment horizontal="center" vertical="center"/>
    </xf>
    <xf numFmtId="167" fontId="0" fillId="15" borderId="8" xfId="0" applyNumberFormat="1" applyFill="1" applyBorder="1" applyAlignment="1">
      <alignment horizontal="center" vertical="center"/>
    </xf>
    <xf numFmtId="167" fontId="0" fillId="15" borderId="11" xfId="0" applyNumberFormat="1" applyFill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4" fontId="13" fillId="3" borderId="14" xfId="0" applyNumberFormat="1" applyFont="1" applyFill="1" applyBorder="1" applyAlignment="1">
      <alignment horizontal="center" vertical="center"/>
    </xf>
    <xf numFmtId="171" fontId="13" fillId="3" borderId="1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14" borderId="8" xfId="0" applyFill="1" applyBorder="1" applyAlignment="1">
      <alignment horizontal="center" vertical="center"/>
    </xf>
    <xf numFmtId="2" fontId="12" fillId="14" borderId="8" xfId="0" applyNumberFormat="1" applyFont="1" applyFill="1" applyBorder="1" applyAlignment="1">
      <alignment horizontal="center" vertical="center"/>
    </xf>
    <xf numFmtId="167" fontId="0" fillId="14" borderId="8" xfId="0" applyNumberFormat="1" applyFill="1" applyBorder="1" applyAlignment="1">
      <alignment horizontal="center" vertical="center"/>
    </xf>
    <xf numFmtId="167" fontId="0" fillId="14" borderId="11" xfId="0" applyNumberFormat="1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167" fontId="0" fillId="14" borderId="12" xfId="0" applyNumberFormat="1" applyFill="1" applyBorder="1" applyAlignment="1">
      <alignment horizontal="center" vertical="center"/>
    </xf>
    <xf numFmtId="167" fontId="0" fillId="14" borderId="6" xfId="0" applyNumberFormat="1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2" fontId="12" fillId="14" borderId="9" xfId="0" applyNumberFormat="1" applyFont="1" applyFill="1" applyBorder="1" applyAlignment="1">
      <alignment horizontal="center" vertical="center"/>
    </xf>
    <xf numFmtId="167" fontId="0" fillId="14" borderId="9" xfId="0" applyNumberFormat="1" applyFill="1" applyBorder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68" fontId="0" fillId="5" borderId="0" xfId="0" applyNumberFormat="1" applyFill="1" applyAlignment="1">
      <alignment horizontal="center" vertical="center"/>
    </xf>
    <xf numFmtId="0" fontId="23" fillId="5" borderId="0" xfId="0" applyFont="1" applyFill="1" applyAlignment="1">
      <alignment horizontal="center" vertical="center" wrapText="1"/>
    </xf>
    <xf numFmtId="2" fontId="12" fillId="16" borderId="8" xfId="0" applyNumberFormat="1" applyFont="1" applyFill="1" applyBorder="1" applyAlignment="1">
      <alignment horizontal="center" vertical="center"/>
    </xf>
    <xf numFmtId="2" fontId="12" fillId="17" borderId="8" xfId="0" applyNumberFormat="1" applyFont="1" applyFill="1" applyBorder="1" applyAlignment="1">
      <alignment horizontal="center" vertical="center"/>
    </xf>
    <xf numFmtId="2" fontId="12" fillId="17" borderId="12" xfId="0" applyNumberFormat="1" applyFont="1" applyFill="1" applyBorder="1" applyAlignment="1">
      <alignment horizontal="center" vertical="center"/>
    </xf>
    <xf numFmtId="168" fontId="16" fillId="18" borderId="0" xfId="0" applyNumberFormat="1" applyFon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16" fillId="12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e/m ortogonale</a:t>
            </a:r>
          </a:p>
        </c:rich>
      </c:tx>
      <c:layout>
        <c:manualLayout>
          <c:xMode val="edge"/>
          <c:yMode val="edge"/>
          <c:x val="0.45335014404501678"/>
          <c:y val="8.4040659968881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>
        <c:manualLayout>
          <c:layoutTarget val="inner"/>
          <c:xMode val="edge"/>
          <c:yMode val="edge"/>
          <c:x val="0.1723512637520514"/>
          <c:y val="0.18724539628844367"/>
          <c:w val="0.78614206918421736"/>
          <c:h val="0.7318233794697096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  <a:round/>
                <a:headEnd type="none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479183116818111"/>
                  <c:y val="-5.471772248788501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</c:trendlineLbl>
          </c:trendline>
          <c:errBars>
            <c:errDir val="x"/>
            <c:errBarType val="plus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'[1]B ortogonale'!$C$30:$C$42</c:f>
                <c:numCache>
                  <c:formatCode>General</c:formatCode>
                  <c:ptCount val="13"/>
                  <c:pt idx="0">
                    <c:v>2.2230733849461291E-10</c:v>
                  </c:pt>
                  <c:pt idx="1">
                    <c:v>2.0455533656123665E-10</c:v>
                  </c:pt>
                  <c:pt idx="2">
                    <c:v>1.8242387986588799E-10</c:v>
                  </c:pt>
                  <c:pt idx="3">
                    <c:v>1.8320058205854744E-10</c:v>
                  </c:pt>
                  <c:pt idx="4">
                    <c:v>1.6899835869020845E-10</c:v>
                  </c:pt>
                  <c:pt idx="5">
                    <c:v>1.6737012945396246E-10</c:v>
                  </c:pt>
                  <c:pt idx="6">
                    <c:v>1.6538735043075944E-10</c:v>
                  </c:pt>
                  <c:pt idx="7">
                    <c:v>1.3043254665124792E-10</c:v>
                  </c:pt>
                  <c:pt idx="8">
                    <c:v>1.2975102373839936E-10</c:v>
                  </c:pt>
                  <c:pt idx="9">
                    <c:v>1.3893601236416137E-10</c:v>
                  </c:pt>
                  <c:pt idx="10">
                    <c:v>1.2323697827220503E-10</c:v>
                  </c:pt>
                  <c:pt idx="11">
                    <c:v>1.0393684724976968E-10</c:v>
                  </c:pt>
                  <c:pt idx="12">
                    <c:v>9.8994160240949036E-11</c:v>
                  </c:pt>
                </c:numCache>
              </c:numRef>
            </c:plus>
            <c:minus>
              <c:numRef>
                <c:f>'[1]B ortogonale'!$C$30:$C$42</c:f>
                <c:numCache>
                  <c:formatCode>General</c:formatCode>
                  <c:ptCount val="13"/>
                  <c:pt idx="0">
                    <c:v>2.2230733849461291E-10</c:v>
                  </c:pt>
                  <c:pt idx="1">
                    <c:v>2.0455533656123665E-10</c:v>
                  </c:pt>
                  <c:pt idx="2">
                    <c:v>1.8242387986588799E-10</c:v>
                  </c:pt>
                  <c:pt idx="3">
                    <c:v>1.8320058205854744E-10</c:v>
                  </c:pt>
                  <c:pt idx="4">
                    <c:v>1.6899835869020845E-10</c:v>
                  </c:pt>
                  <c:pt idx="5">
                    <c:v>1.6737012945396246E-10</c:v>
                  </c:pt>
                  <c:pt idx="6">
                    <c:v>1.6538735043075944E-10</c:v>
                  </c:pt>
                  <c:pt idx="7">
                    <c:v>1.3043254665124792E-10</c:v>
                  </c:pt>
                  <c:pt idx="8">
                    <c:v>1.2975102373839936E-10</c:v>
                  </c:pt>
                  <c:pt idx="9">
                    <c:v>1.3893601236416137E-10</c:v>
                  </c:pt>
                  <c:pt idx="10">
                    <c:v>1.2323697827220503E-10</c:v>
                  </c:pt>
                  <c:pt idx="11">
                    <c:v>1.0393684724976968E-10</c:v>
                  </c:pt>
                  <c:pt idx="12">
                    <c:v>9.8994160240949036E-11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'CM Ortogonale'!$A$23:$A$35</c:f>
              <c:numCache>
                <c:formatCode>0.0</c:formatCode>
                <c:ptCount val="13"/>
                <c:pt idx="0">
                  <c:v>537</c:v>
                </c:pt>
                <c:pt idx="1">
                  <c:v>572.6</c:v>
                </c:pt>
                <c:pt idx="2">
                  <c:v>486.2</c:v>
                </c:pt>
                <c:pt idx="3">
                  <c:v>460.2</c:v>
                </c:pt>
                <c:pt idx="4">
                  <c:v>421.2</c:v>
                </c:pt>
                <c:pt idx="5">
                  <c:v>397.8</c:v>
                </c:pt>
                <c:pt idx="6">
                  <c:v>409</c:v>
                </c:pt>
                <c:pt idx="7">
                  <c:v>587</c:v>
                </c:pt>
                <c:pt idx="8">
                  <c:v>539.79999999999995</c:v>
                </c:pt>
                <c:pt idx="9">
                  <c:v>490.2</c:v>
                </c:pt>
                <c:pt idx="10">
                  <c:v>515.79999999999995</c:v>
                </c:pt>
                <c:pt idx="11">
                  <c:v>539.4</c:v>
                </c:pt>
                <c:pt idx="12">
                  <c:v>561.20000000000005</c:v>
                </c:pt>
              </c:numCache>
            </c:numRef>
          </c:xVal>
          <c:yVal>
            <c:numRef>
              <c:f>'CM Ortogonale'!$B$23:$B$35</c:f>
              <c:numCache>
                <c:formatCode>0.00000E+00</c:formatCode>
                <c:ptCount val="13"/>
                <c:pt idx="0">
                  <c:v>2.9429872817077643E-9</c:v>
                </c:pt>
                <c:pt idx="1">
                  <c:v>3.3610437804857793E-9</c:v>
                </c:pt>
                <c:pt idx="2">
                  <c:v>2.6491602048300607E-9</c:v>
                </c:pt>
                <c:pt idx="3">
                  <c:v>2.4715848055019899E-9</c:v>
                </c:pt>
                <c:pt idx="4">
                  <c:v>2.2359108044648118E-9</c:v>
                </c:pt>
                <c:pt idx="5">
                  <c:v>2.0035578567323306E-9</c:v>
                </c:pt>
                <c:pt idx="6">
                  <c:v>2.11644700404909E-9</c:v>
                </c:pt>
                <c:pt idx="7">
                  <c:v>3.0812355773583633E-9</c:v>
                </c:pt>
                <c:pt idx="8">
                  <c:v>2.957225914281227E-9</c:v>
                </c:pt>
                <c:pt idx="9">
                  <c:v>2.8821997982164143E-9</c:v>
                </c:pt>
                <c:pt idx="10">
                  <c:v>3.0480070622108853E-9</c:v>
                </c:pt>
                <c:pt idx="11">
                  <c:v>3.0590631312379739E-9</c:v>
                </c:pt>
                <c:pt idx="12">
                  <c:v>3.2656239867470001E-9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E9-184D-A5E6-F37148A6B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103919"/>
        <c:axId val="284311055"/>
      </c:scatterChart>
      <c:valAx>
        <c:axId val="2075103919"/>
        <c:scaling>
          <c:orientation val="minMax"/>
          <c:max val="6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</a:t>
                </a: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/>
                  <a:t>V [V]</a:t>
                </a:r>
              </a:p>
            </c:rich>
          </c:tx>
          <c:layout>
            <c:manualLayout>
              <c:xMode val="edge"/>
              <c:yMode val="edge"/>
              <c:x val="0.88748450536891665"/>
              <c:y val="0.85923803705030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84311055"/>
        <c:crosses val="autoZero"/>
        <c:crossBetween val="midCat"/>
      </c:valAx>
      <c:valAx>
        <c:axId val="2843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(BR)² [A²]</a:t>
                </a:r>
              </a:p>
            </c:rich>
          </c:tx>
          <c:layout>
            <c:manualLayout>
              <c:xMode val="edge"/>
              <c:yMode val="edge"/>
              <c:x val="0.17784684519144744"/>
              <c:y val="0.19582053066333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7510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e/m parallelo con Bₜ </a:t>
            </a:r>
          </a:p>
        </c:rich>
      </c:tx>
      <c:layout>
        <c:manualLayout>
          <c:xMode val="edge"/>
          <c:yMode val="edge"/>
          <c:x val="0.35698212563939091"/>
          <c:y val="5.197196862434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>
        <c:manualLayout>
          <c:layoutTarget val="inner"/>
          <c:xMode val="edge"/>
          <c:yMode val="edge"/>
          <c:x val="0.16234733158355208"/>
          <c:y val="0.19483814523184603"/>
          <c:w val="0.76753455818022742"/>
          <c:h val="0.72094889180519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47650244594915"/>
                  <c:y val="-7.70323413436035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'CM Parallelo'!$V$23:$V$35</c:f>
                <c:numCache>
                  <c:formatCode>General</c:formatCode>
                  <c:ptCount val="13"/>
                  <c:pt idx="0">
                    <c:v>1.7960394179008234E-10</c:v>
                  </c:pt>
                  <c:pt idx="1">
                    <c:v>1.6856069257782422E-10</c:v>
                  </c:pt>
                  <c:pt idx="2">
                    <c:v>1.6204630282649356E-10</c:v>
                  </c:pt>
                  <c:pt idx="3">
                    <c:v>1.6492236490343537E-10</c:v>
                  </c:pt>
                  <c:pt idx="4">
                    <c:v>1.5396253284828056E-10</c:v>
                  </c:pt>
                  <c:pt idx="5">
                    <c:v>1.4830375672298857E-10</c:v>
                  </c:pt>
                  <c:pt idx="6">
                    <c:v>1.1998864758140632E-10</c:v>
                  </c:pt>
                  <c:pt idx="7">
                    <c:v>1.175164488757323E-10</c:v>
                  </c:pt>
                  <c:pt idx="8">
                    <c:v>1.6645407314134296E-10</c:v>
                  </c:pt>
                  <c:pt idx="9">
                    <c:v>1.6164266200901487E-10</c:v>
                  </c:pt>
                  <c:pt idx="10">
                    <c:v>1.427333822764417E-10</c:v>
                  </c:pt>
                  <c:pt idx="11">
                    <c:v>1.5686336249011139E-10</c:v>
                  </c:pt>
                  <c:pt idx="12">
                    <c:v>1.4915909651151983E-10</c:v>
                  </c:pt>
                </c:numCache>
              </c:numRef>
            </c:plus>
            <c:minus>
              <c:numRef>
                <c:f>'CM Parallelo'!$V$23:$V$35</c:f>
                <c:numCache>
                  <c:formatCode>General</c:formatCode>
                  <c:ptCount val="13"/>
                  <c:pt idx="0">
                    <c:v>1.7960394179008234E-10</c:v>
                  </c:pt>
                  <c:pt idx="1">
                    <c:v>1.6856069257782422E-10</c:v>
                  </c:pt>
                  <c:pt idx="2">
                    <c:v>1.6204630282649356E-10</c:v>
                  </c:pt>
                  <c:pt idx="3">
                    <c:v>1.6492236490343537E-10</c:v>
                  </c:pt>
                  <c:pt idx="4">
                    <c:v>1.5396253284828056E-10</c:v>
                  </c:pt>
                  <c:pt idx="5">
                    <c:v>1.4830375672298857E-10</c:v>
                  </c:pt>
                  <c:pt idx="6">
                    <c:v>1.1998864758140632E-10</c:v>
                  </c:pt>
                  <c:pt idx="7">
                    <c:v>1.175164488757323E-10</c:v>
                  </c:pt>
                  <c:pt idx="8">
                    <c:v>1.6645407314134296E-10</c:v>
                  </c:pt>
                  <c:pt idx="9">
                    <c:v>1.6164266200901487E-10</c:v>
                  </c:pt>
                  <c:pt idx="10">
                    <c:v>1.427333822764417E-10</c:v>
                  </c:pt>
                  <c:pt idx="11">
                    <c:v>1.5686336249011139E-10</c:v>
                  </c:pt>
                  <c:pt idx="12">
                    <c:v>1.4915909651151983E-10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'CM Parallelo'!$T$23:$T$35</c:f>
              <c:numCache>
                <c:formatCode>0.0</c:formatCode>
                <c:ptCount val="13"/>
                <c:pt idx="0">
                  <c:v>585.4</c:v>
                </c:pt>
                <c:pt idx="1">
                  <c:v>535.20000000000005</c:v>
                </c:pt>
                <c:pt idx="2">
                  <c:v>508.2</c:v>
                </c:pt>
                <c:pt idx="3">
                  <c:v>477.4</c:v>
                </c:pt>
                <c:pt idx="4">
                  <c:v>454.2</c:v>
                </c:pt>
                <c:pt idx="5">
                  <c:v>428.6</c:v>
                </c:pt>
                <c:pt idx="6">
                  <c:v>408.4</c:v>
                </c:pt>
                <c:pt idx="7">
                  <c:v>374.2</c:v>
                </c:pt>
                <c:pt idx="8">
                  <c:v>531.4</c:v>
                </c:pt>
                <c:pt idx="9">
                  <c:v>486</c:v>
                </c:pt>
                <c:pt idx="10">
                  <c:v>457.4</c:v>
                </c:pt>
                <c:pt idx="11">
                  <c:v>457.4</c:v>
                </c:pt>
                <c:pt idx="12">
                  <c:v>457.4</c:v>
                </c:pt>
              </c:numCache>
            </c:numRef>
          </c:xVal>
          <c:yVal>
            <c:numRef>
              <c:f>'CM Parallelo'!$U$23:$U$35</c:f>
              <c:numCache>
                <c:formatCode>0.00000E+00</c:formatCode>
                <c:ptCount val="13"/>
                <c:pt idx="0">
                  <c:v>3.1369214821026434E-9</c:v>
                </c:pt>
                <c:pt idx="1">
                  <c:v>2.9173762118146279E-9</c:v>
                </c:pt>
                <c:pt idx="2">
                  <c:v>2.8006106628493886E-9</c:v>
                </c:pt>
                <c:pt idx="3">
                  <c:v>2.7729174628709328E-9</c:v>
                </c:pt>
                <c:pt idx="4">
                  <c:v>2.5292422704600595E-9</c:v>
                </c:pt>
                <c:pt idx="5">
                  <c:v>2.4538720831170693E-9</c:v>
                </c:pt>
                <c:pt idx="6">
                  <c:v>2.1486345641396311E-9</c:v>
                </c:pt>
                <c:pt idx="7">
                  <c:v>2.0090286640881349E-9</c:v>
                </c:pt>
                <c:pt idx="8">
                  <c:v>2.9597962959772839E-9</c:v>
                </c:pt>
                <c:pt idx="9">
                  <c:v>2.8111995572161903E-9</c:v>
                </c:pt>
                <c:pt idx="10">
                  <c:v>2.5431303868831847E-9</c:v>
                </c:pt>
                <c:pt idx="11">
                  <c:v>2.6758886655705529E-9</c:v>
                </c:pt>
                <c:pt idx="12">
                  <c:v>2.5390400393268918E-9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9-BB47-9ED2-961BF15BB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67919"/>
        <c:axId val="780132175"/>
      </c:scatterChart>
      <c:valAx>
        <c:axId val="779567919"/>
        <c:scaling>
          <c:orientation val="minMax"/>
          <c:max val="6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</a:t>
                </a: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/>
                  <a:t>V [V]</a:t>
                </a:r>
              </a:p>
            </c:rich>
          </c:tx>
          <c:layout>
            <c:manualLayout>
              <c:xMode val="edge"/>
              <c:yMode val="edge"/>
              <c:x val="0.84112330346939768"/>
              <c:y val="0.95269850067991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80132175"/>
        <c:crosses val="autoZero"/>
        <c:crossBetween val="midCat"/>
      </c:valAx>
      <c:valAx>
        <c:axId val="780132175"/>
        <c:scaling>
          <c:orientation val="minMax"/>
          <c:min val="1.0000000000000001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BR)² [A²]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6779133117408254E-2"/>
              <c:y val="0.110767165048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7956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e/m parallelo senza Bₜ </a:t>
            </a:r>
          </a:p>
        </c:rich>
      </c:tx>
      <c:layout>
        <c:manualLayout>
          <c:xMode val="edge"/>
          <c:yMode val="edge"/>
          <c:x val="0.39921952475569916"/>
          <c:y val="3.9987422197672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>
        <c:manualLayout>
          <c:layoutTarget val="inner"/>
          <c:xMode val="edge"/>
          <c:yMode val="edge"/>
          <c:x val="0.13733166965337096"/>
          <c:y val="0.12557193951498147"/>
          <c:w val="0.8247015191330217"/>
          <c:h val="0.7565468999302437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253576183383019E-2"/>
                  <c:y val="-0.109889299199720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'CM Parallelo'!$V$4:$V$16</c:f>
                <c:numCache>
                  <c:formatCode>General</c:formatCode>
                  <c:ptCount val="13"/>
                  <c:pt idx="0">
                    <c:v>1.6297861319375613E-10</c:v>
                  </c:pt>
                  <c:pt idx="1">
                    <c:v>1.5253844685470124E-10</c:v>
                  </c:pt>
                  <c:pt idx="2">
                    <c:v>1.4635551230372347E-10</c:v>
                  </c:pt>
                  <c:pt idx="3">
                    <c:v>1.492864231065771E-10</c:v>
                  </c:pt>
                  <c:pt idx="4">
                    <c:v>1.3903794998388739E-10</c:v>
                  </c:pt>
                  <c:pt idx="5">
                    <c:v>1.3361173512512716E-10</c:v>
                  </c:pt>
                  <c:pt idx="6">
                    <c:v>1.0632333851780095E-10</c:v>
                  </c:pt>
                  <c:pt idx="7">
                    <c:v>1.0428388645092988E-10</c:v>
                  </c:pt>
                  <c:pt idx="8">
                    <c:v>1.5034037619140758E-10</c:v>
                  </c:pt>
                  <c:pt idx="9">
                    <c:v>1.4592401811399439E-10</c:v>
                  </c:pt>
                  <c:pt idx="10">
                    <c:v>1.2781264481068099E-10</c:v>
                  </c:pt>
                  <c:pt idx="11">
                    <c:v>1.4152973645479551E-10</c:v>
                  </c:pt>
                  <c:pt idx="12">
                    <c:v>1.3423211494606999E-10</c:v>
                  </c:pt>
                </c:numCache>
              </c:numRef>
            </c:plus>
            <c:minus>
              <c:numRef>
                <c:f>'CM Parallelo'!$V$4:$V$16</c:f>
                <c:numCache>
                  <c:formatCode>General</c:formatCode>
                  <c:ptCount val="13"/>
                  <c:pt idx="0">
                    <c:v>1.6297861319375613E-10</c:v>
                  </c:pt>
                  <c:pt idx="1">
                    <c:v>1.5253844685470124E-10</c:v>
                  </c:pt>
                  <c:pt idx="2">
                    <c:v>1.4635551230372347E-10</c:v>
                  </c:pt>
                  <c:pt idx="3">
                    <c:v>1.492864231065771E-10</c:v>
                  </c:pt>
                  <c:pt idx="4">
                    <c:v>1.3903794998388739E-10</c:v>
                  </c:pt>
                  <c:pt idx="5">
                    <c:v>1.3361173512512716E-10</c:v>
                  </c:pt>
                  <c:pt idx="6">
                    <c:v>1.0632333851780095E-10</c:v>
                  </c:pt>
                  <c:pt idx="7">
                    <c:v>1.0428388645092988E-10</c:v>
                  </c:pt>
                  <c:pt idx="8">
                    <c:v>1.5034037619140758E-10</c:v>
                  </c:pt>
                  <c:pt idx="9">
                    <c:v>1.4592401811399439E-10</c:v>
                  </c:pt>
                  <c:pt idx="10">
                    <c:v>1.2781264481068099E-10</c:v>
                  </c:pt>
                  <c:pt idx="11">
                    <c:v>1.4152973645479551E-10</c:v>
                  </c:pt>
                  <c:pt idx="12">
                    <c:v>1.3423211494606999E-10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'CM Parallelo'!$T$4:$T$16</c:f>
              <c:numCache>
                <c:formatCode>0.0</c:formatCode>
                <c:ptCount val="13"/>
                <c:pt idx="0">
                  <c:v>585.4</c:v>
                </c:pt>
                <c:pt idx="1">
                  <c:v>535.20000000000005</c:v>
                </c:pt>
                <c:pt idx="2">
                  <c:v>508.2</c:v>
                </c:pt>
                <c:pt idx="3">
                  <c:v>477.4</c:v>
                </c:pt>
                <c:pt idx="4">
                  <c:v>454.2</c:v>
                </c:pt>
                <c:pt idx="5">
                  <c:v>428.6</c:v>
                </c:pt>
                <c:pt idx="6">
                  <c:v>408.4</c:v>
                </c:pt>
                <c:pt idx="7">
                  <c:v>374.2</c:v>
                </c:pt>
                <c:pt idx="8">
                  <c:v>531.4</c:v>
                </c:pt>
                <c:pt idx="9">
                  <c:v>486</c:v>
                </c:pt>
                <c:pt idx="10">
                  <c:v>457.4</c:v>
                </c:pt>
                <c:pt idx="11">
                  <c:v>457.4</c:v>
                </c:pt>
                <c:pt idx="12">
                  <c:v>457.4</c:v>
                </c:pt>
              </c:numCache>
            </c:numRef>
          </c:xVal>
          <c:yVal>
            <c:numRef>
              <c:f>'CM Parallelo'!$U$4:$U$16</c:f>
              <c:numCache>
                <c:formatCode>0.000E+00</c:formatCode>
                <c:ptCount val="13"/>
                <c:pt idx="0">
                  <c:v>2.8453712725580198E-9</c:v>
                </c:pt>
                <c:pt idx="1">
                  <c:v>2.6389654306983445E-9</c:v>
                </c:pt>
                <c:pt idx="2">
                  <c:v>2.5283516811526331E-9</c:v>
                </c:pt>
                <c:pt idx="3">
                  <c:v>2.5090369367484306E-9</c:v>
                </c:pt>
                <c:pt idx="4">
                  <c:v>2.2831873998613263E-9</c:v>
                </c:pt>
                <c:pt idx="5">
                  <c:v>2.209888376245234E-9</c:v>
                </c:pt>
                <c:pt idx="6">
                  <c:v>1.9028666017937931E-9</c:v>
                </c:pt>
                <c:pt idx="7">
                  <c:v>1.781915778056673E-9</c:v>
                </c:pt>
                <c:pt idx="8">
                  <c:v>2.6720622184555123E-9</c:v>
                </c:pt>
                <c:pt idx="9">
                  <c:v>2.5367283056072945E-9</c:v>
                </c:pt>
                <c:pt idx="10">
                  <c:v>2.2761513577475232E-9</c:v>
                </c:pt>
                <c:pt idx="11">
                  <c:v>2.4133025079512442E-9</c:v>
                </c:pt>
                <c:pt idx="12">
                  <c:v>2.2839649232959971E-9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B-324D-AA0B-A054F4013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140143"/>
        <c:axId val="1654141855"/>
      </c:scatterChart>
      <c:valAx>
        <c:axId val="1654140143"/>
        <c:scaling>
          <c:orientation val="minMax"/>
          <c:max val="6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 [V]</a:t>
                </a:r>
              </a:p>
            </c:rich>
          </c:tx>
          <c:layout>
            <c:manualLayout>
              <c:xMode val="edge"/>
              <c:yMode val="edge"/>
              <c:x val="0.87290639328843866"/>
              <c:y val="0.934919780306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54141855"/>
        <c:crosses val="autoZero"/>
        <c:crossBetween val="midCat"/>
      </c:valAx>
      <c:valAx>
        <c:axId val="1654141855"/>
        <c:scaling>
          <c:orientation val="minMax"/>
          <c:min val="1.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(BR)² [A²]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5.0404812876725637E-2"/>
              <c:y val="6.67046546122999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5414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e/m parallelo con Bₜ </a:t>
            </a:r>
          </a:p>
        </c:rich>
      </c:tx>
      <c:layout>
        <c:manualLayout>
          <c:xMode val="edge"/>
          <c:yMode val="edge"/>
          <c:x val="0.35698212563939091"/>
          <c:y val="5.197196862434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>
        <c:manualLayout>
          <c:layoutTarget val="inner"/>
          <c:xMode val="edge"/>
          <c:yMode val="edge"/>
          <c:x val="0.16234733158355208"/>
          <c:y val="0.19483814523184603"/>
          <c:w val="0.76753455818022742"/>
          <c:h val="0.72094889180519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47650244594915"/>
                  <c:y val="-7.70323413436035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'CM AntiParallelo'!$V$23:$V$35</c:f>
                <c:numCache>
                  <c:formatCode>General</c:formatCode>
                  <c:ptCount val="13"/>
                  <c:pt idx="0">
                    <c:v>1.1712201331703672E-10</c:v>
                  </c:pt>
                  <c:pt idx="1">
                    <c:v>1.1541689468177024E-10</c:v>
                  </c:pt>
                  <c:pt idx="2">
                    <c:v>1.0142255051081074E-10</c:v>
                  </c:pt>
                  <c:pt idx="3">
                    <c:v>1.2782034366838616E-10</c:v>
                  </c:pt>
                  <c:pt idx="4">
                    <c:v>1.4085032022787827E-10</c:v>
                  </c:pt>
                  <c:pt idx="5">
                    <c:v>1.3608796532412266E-10</c:v>
                  </c:pt>
                  <c:pt idx="6">
                    <c:v>1.5386378665622795E-10</c:v>
                  </c:pt>
                  <c:pt idx="7">
                    <c:v>1.7265452637502364E-10</c:v>
                  </c:pt>
                  <c:pt idx="8">
                    <c:v>1.5757677871534944E-10</c:v>
                  </c:pt>
                  <c:pt idx="9">
                    <c:v>1.5061349343931079E-10</c:v>
                  </c:pt>
                  <c:pt idx="10">
                    <c:v>1.0133804409486215E-10</c:v>
                  </c:pt>
                  <c:pt idx="11">
                    <c:v>1.224874215936901E-10</c:v>
                  </c:pt>
                  <c:pt idx="12">
                    <c:v>1.3446556365550564E-10</c:v>
                  </c:pt>
                </c:numCache>
              </c:numRef>
            </c:plus>
            <c:minus>
              <c:numRef>
                <c:f>'CM AntiParallelo'!$V$23:$V$35</c:f>
                <c:numCache>
                  <c:formatCode>General</c:formatCode>
                  <c:ptCount val="13"/>
                  <c:pt idx="0">
                    <c:v>1.1712201331703672E-10</c:v>
                  </c:pt>
                  <c:pt idx="1">
                    <c:v>1.1541689468177024E-10</c:v>
                  </c:pt>
                  <c:pt idx="2">
                    <c:v>1.0142255051081074E-10</c:v>
                  </c:pt>
                  <c:pt idx="3">
                    <c:v>1.2782034366838616E-10</c:v>
                  </c:pt>
                  <c:pt idx="4">
                    <c:v>1.4085032022787827E-10</c:v>
                  </c:pt>
                  <c:pt idx="5">
                    <c:v>1.3608796532412266E-10</c:v>
                  </c:pt>
                  <c:pt idx="6">
                    <c:v>1.5386378665622795E-10</c:v>
                  </c:pt>
                  <c:pt idx="7">
                    <c:v>1.7265452637502364E-10</c:v>
                  </c:pt>
                  <c:pt idx="8">
                    <c:v>1.5757677871534944E-10</c:v>
                  </c:pt>
                  <c:pt idx="9">
                    <c:v>1.5061349343931079E-10</c:v>
                  </c:pt>
                  <c:pt idx="10">
                    <c:v>1.0133804409486215E-10</c:v>
                  </c:pt>
                  <c:pt idx="11">
                    <c:v>1.224874215936901E-10</c:v>
                  </c:pt>
                  <c:pt idx="12">
                    <c:v>1.3446556365550564E-10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'CM AntiParallelo'!$T$23:$T$35</c:f>
              <c:numCache>
                <c:formatCode>0.0</c:formatCode>
                <c:ptCount val="13"/>
                <c:pt idx="0">
                  <c:v>444.6</c:v>
                </c:pt>
                <c:pt idx="1">
                  <c:v>421.8</c:v>
                </c:pt>
                <c:pt idx="2">
                  <c:v>381.4</c:v>
                </c:pt>
                <c:pt idx="3">
                  <c:v>468.2</c:v>
                </c:pt>
                <c:pt idx="4">
                  <c:v>519.20000000000005</c:v>
                </c:pt>
                <c:pt idx="5">
                  <c:v>489.2</c:v>
                </c:pt>
                <c:pt idx="6">
                  <c:v>541.79999999999995</c:v>
                </c:pt>
                <c:pt idx="7">
                  <c:v>584.4</c:v>
                </c:pt>
                <c:pt idx="8">
                  <c:v>542.20000000000005</c:v>
                </c:pt>
                <c:pt idx="9">
                  <c:v>520</c:v>
                </c:pt>
                <c:pt idx="10">
                  <c:v>404.4</c:v>
                </c:pt>
                <c:pt idx="11">
                  <c:v>446.6</c:v>
                </c:pt>
                <c:pt idx="12">
                  <c:v>504.4</c:v>
                </c:pt>
              </c:numCache>
            </c:numRef>
          </c:xVal>
          <c:yVal>
            <c:numRef>
              <c:f>'CM AntiParallelo'!$U$23:$U$35</c:f>
              <c:numCache>
                <c:formatCode>0.00000E+00</c:formatCode>
                <c:ptCount val="13"/>
                <c:pt idx="0">
                  <c:v>2.0527122141960397E-9</c:v>
                </c:pt>
                <c:pt idx="1">
                  <c:v>1.9756594310342664E-9</c:v>
                </c:pt>
                <c:pt idx="2">
                  <c:v>1.7550765535898673E-9</c:v>
                </c:pt>
                <c:pt idx="3">
                  <c:v>2.3230931782831442E-9</c:v>
                </c:pt>
                <c:pt idx="4">
                  <c:v>2.4658870087443123E-9</c:v>
                </c:pt>
                <c:pt idx="5">
                  <c:v>2.2993710515856784E-9</c:v>
                </c:pt>
                <c:pt idx="6">
                  <c:v>2.5677807038975731E-9</c:v>
                </c:pt>
                <c:pt idx="7">
                  <c:v>2.833269654515093E-9</c:v>
                </c:pt>
                <c:pt idx="8">
                  <c:v>2.6686203486301041E-9</c:v>
                </c:pt>
                <c:pt idx="9">
                  <c:v>2.5652305541356177E-9</c:v>
                </c:pt>
                <c:pt idx="10">
                  <c:v>1.8250035693101682E-9</c:v>
                </c:pt>
                <c:pt idx="11">
                  <c:v>2.0646126519953155E-9</c:v>
                </c:pt>
                <c:pt idx="12">
                  <c:v>2.4082846581258515E-9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03-7140-A294-8D871EF9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67919"/>
        <c:axId val="780132175"/>
      </c:scatterChart>
      <c:valAx>
        <c:axId val="779567919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</a:t>
                </a: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/>
                  <a:t>V [V]</a:t>
                </a:r>
              </a:p>
            </c:rich>
          </c:tx>
          <c:layout>
            <c:manualLayout>
              <c:xMode val="edge"/>
              <c:yMode val="edge"/>
              <c:x val="0.84112330346939768"/>
              <c:y val="0.95269850067991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80132175"/>
        <c:crosses val="autoZero"/>
        <c:crossBetween val="midCat"/>
      </c:valAx>
      <c:valAx>
        <c:axId val="780132175"/>
        <c:scaling>
          <c:orientation val="minMax"/>
          <c:min val="1.0000000000000001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BR)² [A²]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6779133117408254E-2"/>
              <c:y val="0.110767165048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7956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e/m parallelo senza Bₜ </a:t>
            </a:r>
          </a:p>
        </c:rich>
      </c:tx>
      <c:layout>
        <c:manualLayout>
          <c:xMode val="edge"/>
          <c:yMode val="edge"/>
          <c:x val="0.39921952475569916"/>
          <c:y val="3.9987422197672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>
        <c:manualLayout>
          <c:layoutTarget val="inner"/>
          <c:xMode val="edge"/>
          <c:yMode val="edge"/>
          <c:x val="0.13733166965337096"/>
          <c:y val="0.12557193951498147"/>
          <c:w val="0.8247015191330217"/>
          <c:h val="0.7565468999302437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115754922148564"/>
                  <c:y val="-9.6682054155978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'CM AntiParallelo'!$V$4:$V$16</c:f>
                <c:numCache>
                  <c:formatCode>General</c:formatCode>
                  <c:ptCount val="13"/>
                  <c:pt idx="0">
                    <c:v>1.3130594212990234E-10</c:v>
                  </c:pt>
                  <c:pt idx="1">
                    <c:v>1.2933017366426377E-10</c:v>
                  </c:pt>
                  <c:pt idx="2">
                    <c:v>1.1456343279409E-10</c:v>
                  </c:pt>
                  <c:pt idx="3">
                    <c:v>1.4288256598462555E-10</c:v>
                  </c:pt>
                  <c:pt idx="4">
                    <c:v>1.5635672205749345E-10</c:v>
                  </c:pt>
                  <c:pt idx="5">
                    <c:v>1.5107534609651471E-10</c:v>
                  </c:pt>
                  <c:pt idx="6">
                    <c:v>1.6967455738629971E-10</c:v>
                  </c:pt>
                  <c:pt idx="7">
                    <c:v>1.8923640386914241E-10</c:v>
                  </c:pt>
                  <c:pt idx="8">
                    <c:v>1.7369326220866704E-10</c:v>
                  </c:pt>
                  <c:pt idx="9">
                    <c:v>1.6642468386014304E-10</c:v>
                  </c:pt>
                  <c:pt idx="10">
                    <c:v>1.1473235061517231E-10</c:v>
                  </c:pt>
                  <c:pt idx="11">
                    <c:v>1.3670880972588244E-10</c:v>
                  </c:pt>
                  <c:pt idx="12">
                    <c:v>1.4980405791737184E-10</c:v>
                  </c:pt>
                </c:numCache>
              </c:numRef>
            </c:plus>
            <c:minus>
              <c:numRef>
                <c:f>'CM AntiParallelo'!$V$4:$V$16</c:f>
                <c:numCache>
                  <c:formatCode>General</c:formatCode>
                  <c:ptCount val="13"/>
                  <c:pt idx="0">
                    <c:v>1.3130594212990234E-10</c:v>
                  </c:pt>
                  <c:pt idx="1">
                    <c:v>1.2933017366426377E-10</c:v>
                  </c:pt>
                  <c:pt idx="2">
                    <c:v>1.1456343279409E-10</c:v>
                  </c:pt>
                  <c:pt idx="3">
                    <c:v>1.4288256598462555E-10</c:v>
                  </c:pt>
                  <c:pt idx="4">
                    <c:v>1.5635672205749345E-10</c:v>
                  </c:pt>
                  <c:pt idx="5">
                    <c:v>1.5107534609651471E-10</c:v>
                  </c:pt>
                  <c:pt idx="6">
                    <c:v>1.6967455738629971E-10</c:v>
                  </c:pt>
                  <c:pt idx="7">
                    <c:v>1.8923640386914241E-10</c:v>
                  </c:pt>
                  <c:pt idx="8">
                    <c:v>1.7369326220866704E-10</c:v>
                  </c:pt>
                  <c:pt idx="9">
                    <c:v>1.6642468386014304E-10</c:v>
                  </c:pt>
                  <c:pt idx="10">
                    <c:v>1.1473235061517231E-10</c:v>
                  </c:pt>
                  <c:pt idx="11">
                    <c:v>1.3670880972588244E-10</c:v>
                  </c:pt>
                  <c:pt idx="12">
                    <c:v>1.4980405791737184E-10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'CM AntiParallelo'!$T$4:$T$16</c:f>
              <c:numCache>
                <c:formatCode>0.0</c:formatCode>
                <c:ptCount val="13"/>
                <c:pt idx="0">
                  <c:v>444.6</c:v>
                </c:pt>
                <c:pt idx="1">
                  <c:v>421.8</c:v>
                </c:pt>
                <c:pt idx="2">
                  <c:v>381.4</c:v>
                </c:pt>
                <c:pt idx="3">
                  <c:v>468.2</c:v>
                </c:pt>
                <c:pt idx="4">
                  <c:v>519.20000000000005</c:v>
                </c:pt>
                <c:pt idx="5">
                  <c:v>489.2</c:v>
                </c:pt>
                <c:pt idx="6">
                  <c:v>541.79999999999995</c:v>
                </c:pt>
                <c:pt idx="7">
                  <c:v>584.4</c:v>
                </c:pt>
                <c:pt idx="8">
                  <c:v>542.20000000000005</c:v>
                </c:pt>
                <c:pt idx="9">
                  <c:v>520</c:v>
                </c:pt>
                <c:pt idx="10">
                  <c:v>404.4</c:v>
                </c:pt>
                <c:pt idx="11">
                  <c:v>446.6</c:v>
                </c:pt>
                <c:pt idx="12">
                  <c:v>504.4</c:v>
                </c:pt>
              </c:numCache>
            </c:numRef>
          </c:xVal>
          <c:yVal>
            <c:numRef>
              <c:f>'CM AntiParallelo'!$U$4:$U$16</c:f>
              <c:numCache>
                <c:formatCode>0.000E+00</c:formatCode>
                <c:ptCount val="13"/>
                <c:pt idx="0">
                  <c:v>2.3025828110136044E-9</c:v>
                </c:pt>
                <c:pt idx="1">
                  <c:v>2.2149884549429455E-9</c:v>
                </c:pt>
                <c:pt idx="2">
                  <c:v>1.9836376529255733E-9</c:v>
                </c:pt>
                <c:pt idx="3">
                  <c:v>2.598351560296166E-9</c:v>
                </c:pt>
                <c:pt idx="4">
                  <c:v>2.7387190699453718E-9</c:v>
                </c:pt>
                <c:pt idx="5">
                  <c:v>2.5537793603384888E-9</c:v>
                </c:pt>
                <c:pt idx="6">
                  <c:v>2.8328195289279825E-9</c:v>
                </c:pt>
                <c:pt idx="7">
                  <c:v>3.1065367403644159E-9</c:v>
                </c:pt>
                <c:pt idx="8">
                  <c:v>2.9428128305104971E-9</c:v>
                </c:pt>
                <c:pt idx="9">
                  <c:v>2.8357837001207095E-9</c:v>
                </c:pt>
                <c:pt idx="10">
                  <c:v>2.067571114395916E-9</c:v>
                </c:pt>
                <c:pt idx="11">
                  <c:v>2.305449484007527E-9</c:v>
                </c:pt>
                <c:pt idx="12">
                  <c:v>2.684450782135662E-9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27-2F46-A546-407285745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140143"/>
        <c:axId val="1654141855"/>
      </c:scatterChart>
      <c:valAx>
        <c:axId val="1654140143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 [V]</a:t>
                </a:r>
              </a:p>
            </c:rich>
          </c:tx>
          <c:layout>
            <c:manualLayout>
              <c:xMode val="edge"/>
              <c:yMode val="edge"/>
              <c:x val="0.87290639328843866"/>
              <c:y val="0.934919780306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54141855"/>
        <c:crosses val="autoZero"/>
        <c:crossBetween val="midCat"/>
      </c:valAx>
      <c:valAx>
        <c:axId val="1654141855"/>
        <c:scaling>
          <c:orientation val="minMax"/>
          <c:min val="1.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(BR)² [A²]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5.0404812876725637E-2"/>
              <c:y val="6.67046546122999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5414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32806</xdr:colOff>
      <xdr:row>17</xdr:row>
      <xdr:rowOff>52917</xdr:rowOff>
    </xdr:from>
    <xdr:to>
      <xdr:col>27</xdr:col>
      <xdr:colOff>304799</xdr:colOff>
      <xdr:row>35</xdr:row>
      <xdr:rowOff>228600</xdr:rowOff>
    </xdr:to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D69D0619-CAB9-384D-8C75-00A839F81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46274</xdr:colOff>
      <xdr:row>19</xdr:row>
      <xdr:rowOff>34228</xdr:rowOff>
    </xdr:from>
    <xdr:to>
      <xdr:col>44</xdr:col>
      <xdr:colOff>541866</xdr:colOff>
      <xdr:row>38</xdr:row>
      <xdr:rowOff>0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B86E021A-7987-9B4F-B021-322E45ACD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41238</xdr:colOff>
      <xdr:row>0</xdr:row>
      <xdr:rowOff>33867</xdr:rowOff>
    </xdr:from>
    <xdr:to>
      <xdr:col>45</xdr:col>
      <xdr:colOff>16933</xdr:colOff>
      <xdr:row>18</xdr:row>
      <xdr:rowOff>237066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9E66421B-1770-1749-A0CC-80E58F0CF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46274</xdr:colOff>
      <xdr:row>19</xdr:row>
      <xdr:rowOff>34228</xdr:rowOff>
    </xdr:from>
    <xdr:to>
      <xdr:col>44</xdr:col>
      <xdr:colOff>541866</xdr:colOff>
      <xdr:row>38</xdr:row>
      <xdr:rowOff>0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0C0B00F1-A792-244F-A642-763CC9E75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41238</xdr:colOff>
      <xdr:row>0</xdr:row>
      <xdr:rowOff>33867</xdr:rowOff>
    </xdr:from>
    <xdr:to>
      <xdr:col>45</xdr:col>
      <xdr:colOff>16933</xdr:colOff>
      <xdr:row>18</xdr:row>
      <xdr:rowOff>237066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1A72A1CE-7DB5-5C47-B919-0B3325A50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ttiaballico/Downloads/e_ma6.xlsx" TargetMode="External"/><Relationship Id="rId1" Type="http://schemas.openxmlformats.org/officeDocument/2006/relationships/externalLinkPath" Target="/Users/mattiaballico/Downloads/e_ma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stanti"/>
      <sheetName val="B ortogonale"/>
      <sheetName val="B parallelo"/>
      <sheetName val="B antiparallelo"/>
      <sheetName val="B terra"/>
      <sheetName val="Risultati"/>
      <sheetName val="(old) C m ort."/>
    </sheetNames>
    <sheetDataSet>
      <sheetData sheetId="0" refreshError="1"/>
      <sheetData sheetId="1">
        <row r="30">
          <cell r="A30">
            <v>584.6</v>
          </cell>
          <cell r="B30">
            <v>2.9550096E-9</v>
          </cell>
          <cell r="C30">
            <v>2.2230733849461291E-10</v>
          </cell>
        </row>
        <row r="31">
          <cell r="A31">
            <v>550</v>
          </cell>
          <cell r="B31">
            <v>3.0203268062499996E-9</v>
          </cell>
          <cell r="C31">
            <v>2.0455533656123665E-10</v>
          </cell>
        </row>
        <row r="32">
          <cell r="A32">
            <v>526.6</v>
          </cell>
          <cell r="B32">
            <v>2.8406768040000002E-9</v>
          </cell>
          <cell r="C32">
            <v>1.8242387986588799E-10</v>
          </cell>
        </row>
        <row r="33">
          <cell r="A33">
            <v>491.2</v>
          </cell>
          <cell r="B33">
            <v>2.6437078889999999E-9</v>
          </cell>
          <cell r="C33">
            <v>1.8320058205854744E-10</v>
          </cell>
        </row>
        <row r="34">
          <cell r="A34">
            <v>469.4</v>
          </cell>
          <cell r="B34">
            <v>2.4929050409999994E-9</v>
          </cell>
          <cell r="C34">
            <v>1.6899835869020845E-10</v>
          </cell>
        </row>
        <row r="35">
          <cell r="A35">
            <v>449.8</v>
          </cell>
          <cell r="B35">
            <v>2.5232538239999998E-9</v>
          </cell>
          <cell r="C35">
            <v>1.6737012945396246E-10</v>
          </cell>
        </row>
        <row r="36">
          <cell r="A36">
            <v>422.4</v>
          </cell>
          <cell r="B36">
            <v>2.2502689690000004E-9</v>
          </cell>
          <cell r="C36">
            <v>1.6538735043075944E-10</v>
          </cell>
        </row>
        <row r="37">
          <cell r="A37">
            <v>403</v>
          </cell>
          <cell r="B37">
            <v>2.2674263062499996E-9</v>
          </cell>
          <cell r="C37">
            <v>1.3043254665124792E-10</v>
          </cell>
        </row>
        <row r="38">
          <cell r="A38">
            <v>372.6</v>
          </cell>
          <cell r="B38">
            <v>1.8316260062500007E-9</v>
          </cell>
          <cell r="C38">
            <v>1.2975102373839936E-10</v>
          </cell>
        </row>
        <row r="39">
          <cell r="A39">
            <v>363</v>
          </cell>
          <cell r="B39">
            <v>1.8887716E-9</v>
          </cell>
          <cell r="C39">
            <v>1.3893601236416137E-10</v>
          </cell>
        </row>
        <row r="40">
          <cell r="A40">
            <v>329.8</v>
          </cell>
          <cell r="B40">
            <v>1.8605419559999997E-9</v>
          </cell>
          <cell r="C40">
            <v>1.2323697827220503E-10</v>
          </cell>
        </row>
        <row r="41">
          <cell r="A41">
            <v>313</v>
          </cell>
          <cell r="B41">
            <v>1.6186138240000001E-9</v>
          </cell>
          <cell r="C41">
            <v>1.0393684724976968E-10</v>
          </cell>
        </row>
        <row r="42">
          <cell r="A42">
            <v>296.39999999999998</v>
          </cell>
          <cell r="B42">
            <v>1.5893776890000003E-9</v>
          </cell>
          <cell r="C42">
            <v>9.8994160240949036E-11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05AE-C08B-E54D-9BB8-416EA4B0FFB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D284-8089-4544-87D5-4134FAF2FD64}">
  <dimension ref="A1:R18"/>
  <sheetViews>
    <sheetView zoomScale="176" workbookViewId="0">
      <selection activeCell="H24" sqref="H24"/>
    </sheetView>
  </sheetViews>
  <sheetFormatPr baseColWidth="10" defaultColWidth="3.5" defaultRowHeight="17" customHeight="1" x14ac:dyDescent="0.2"/>
  <cols>
    <col min="2" max="2" width="15" bestFit="1" customWidth="1"/>
    <col min="3" max="3" width="12.6640625" bestFit="1" customWidth="1"/>
    <col min="4" max="4" width="2.1640625" bestFit="1" customWidth="1"/>
    <col min="5" max="5" width="7.33203125" bestFit="1" customWidth="1"/>
    <col min="7" max="7" width="7.1640625" bestFit="1" customWidth="1"/>
    <col min="8" max="8" width="8.5" bestFit="1" customWidth="1"/>
    <col min="9" max="9" width="10" customWidth="1"/>
    <col min="10" max="10" width="12.6640625" bestFit="1" customWidth="1"/>
    <col min="11" max="11" width="8" bestFit="1" customWidth="1"/>
    <col min="12" max="12" width="7.83203125" bestFit="1" customWidth="1"/>
    <col min="13" max="13" width="10" customWidth="1"/>
    <col min="14" max="14" width="12.6640625" bestFit="1" customWidth="1"/>
    <col min="17" max="17" width="16.83203125" bestFit="1" customWidth="1"/>
    <col min="18" max="18" width="15.33203125" bestFit="1" customWidth="1"/>
  </cols>
  <sheetData>
    <row r="1" spans="1:18" ht="17" customHeight="1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8" ht="17" customHeight="1" x14ac:dyDescent="0.2">
      <c r="A2" s="42"/>
      <c r="B2" s="44" t="s">
        <v>1</v>
      </c>
      <c r="C2" s="42">
        <f>4*PI()*10^-7</f>
        <v>1.2566370614359173E-6</v>
      </c>
      <c r="D2" s="42"/>
      <c r="E2" s="42"/>
      <c r="F2" s="42"/>
      <c r="G2" s="175" t="s">
        <v>2</v>
      </c>
      <c r="H2" s="175"/>
      <c r="I2" s="175"/>
      <c r="J2" s="175"/>
      <c r="K2" s="175"/>
      <c r="L2" s="175"/>
      <c r="M2" s="175"/>
      <c r="N2" s="175"/>
      <c r="O2" s="42"/>
    </row>
    <row r="3" spans="1:18" ht="17" customHeight="1" x14ac:dyDescent="0.2">
      <c r="A3" s="42"/>
      <c r="B3" s="44" t="s">
        <v>4</v>
      </c>
      <c r="C3" s="42">
        <v>130</v>
      </c>
      <c r="D3" s="45"/>
      <c r="E3" s="42"/>
      <c r="F3" s="42"/>
      <c r="G3" s="51" t="s">
        <v>5</v>
      </c>
      <c r="H3" s="52">
        <v>0.13225999999999999</v>
      </c>
      <c r="I3" s="42"/>
      <c r="J3" s="42"/>
      <c r="K3" s="51" t="s">
        <v>6</v>
      </c>
      <c r="L3" s="52">
        <v>0.17735999999999999</v>
      </c>
      <c r="M3" s="42"/>
      <c r="N3" s="42"/>
      <c r="O3" s="42"/>
      <c r="R3" s="1"/>
    </row>
    <row r="4" spans="1:18" ht="17" customHeight="1" x14ac:dyDescent="0.2">
      <c r="A4" s="42"/>
      <c r="B4" s="44" t="s">
        <v>7</v>
      </c>
      <c r="C4" s="47">
        <f>AVERAGE(I8,M8)</f>
        <v>0.15504200000000001</v>
      </c>
      <c r="D4" s="42" t="s">
        <v>0</v>
      </c>
      <c r="E4" s="42">
        <f>ROUND(SQRT(I9^2 + M9^2),4)</f>
        <v>4.0000000000000002E-4</v>
      </c>
      <c r="F4" s="42"/>
      <c r="G4" s="42"/>
      <c r="H4" s="53">
        <v>0.13236000000000001</v>
      </c>
      <c r="I4" s="42"/>
      <c r="J4" s="42"/>
      <c r="K4" s="42"/>
      <c r="L4" s="53">
        <v>0.17749999999999999</v>
      </c>
      <c r="M4" s="42"/>
      <c r="N4" s="42"/>
      <c r="O4" s="42"/>
    </row>
    <row r="5" spans="1:18" ht="17" customHeight="1" x14ac:dyDescent="0.2">
      <c r="A5" s="42"/>
      <c r="B5" s="44" t="s">
        <v>63</v>
      </c>
      <c r="C5" s="42">
        <v>0.05</v>
      </c>
      <c r="D5" s="42"/>
      <c r="E5" s="42"/>
      <c r="F5" s="42"/>
      <c r="G5" s="42"/>
      <c r="H5" s="52">
        <v>0.13275999999999999</v>
      </c>
      <c r="I5" s="42"/>
      <c r="J5" s="42"/>
      <c r="K5" s="42"/>
      <c r="L5" s="52">
        <v>0.17752000000000001</v>
      </c>
      <c r="M5" s="42"/>
      <c r="N5" s="42"/>
      <c r="O5" s="42"/>
      <c r="Q5" s="54" t="s">
        <v>3</v>
      </c>
      <c r="R5" s="55">
        <v>1.5E-3</v>
      </c>
    </row>
    <row r="6" spans="1:18" ht="17" customHeight="1" x14ac:dyDescent="0.2">
      <c r="A6" s="42"/>
      <c r="B6" s="43"/>
      <c r="C6" s="42"/>
      <c r="D6" s="42"/>
      <c r="E6" s="42"/>
      <c r="F6" s="42"/>
      <c r="G6" s="42"/>
      <c r="H6" s="53">
        <v>0.13228000000000001</v>
      </c>
      <c r="I6" s="42"/>
      <c r="J6" s="42"/>
      <c r="K6" s="42"/>
      <c r="L6" s="53">
        <v>0.17793999999999999</v>
      </c>
      <c r="M6" s="42"/>
      <c r="N6" s="42"/>
      <c r="O6" s="42"/>
      <c r="Q6" s="56"/>
    </row>
    <row r="7" spans="1:18" ht="17" customHeight="1" x14ac:dyDescent="0.2">
      <c r="A7" s="42"/>
      <c r="B7" s="48" t="s">
        <v>8</v>
      </c>
      <c r="C7" s="48"/>
      <c r="D7" s="48"/>
      <c r="E7" s="42"/>
      <c r="F7" s="42"/>
      <c r="G7" s="42"/>
      <c r="H7" s="52">
        <v>0.13242000000000001</v>
      </c>
      <c r="I7" s="42"/>
      <c r="J7" s="42"/>
      <c r="K7" s="42"/>
      <c r="L7" s="52">
        <v>0.17802000000000001</v>
      </c>
      <c r="M7" s="42"/>
      <c r="N7" s="42"/>
      <c r="O7" s="42"/>
    </row>
    <row r="8" spans="1:18" ht="17" customHeight="1" x14ac:dyDescent="0.2">
      <c r="A8" s="42"/>
      <c r="B8" s="48" t="s">
        <v>10</v>
      </c>
      <c r="C8" s="42">
        <v>0.1</v>
      </c>
      <c r="D8" s="42"/>
      <c r="E8" s="42"/>
      <c r="F8" s="42"/>
      <c r="G8" s="42"/>
      <c r="H8" s="46" t="s">
        <v>9</v>
      </c>
      <c r="I8" s="53">
        <f>AVERAGE(H3:H7)</f>
        <v>0.13241600000000001</v>
      </c>
      <c r="J8" s="42"/>
      <c r="K8" s="42"/>
      <c r="L8" s="46" t="s">
        <v>9</v>
      </c>
      <c r="M8" s="53">
        <f>AVERAGE(L3:L7)</f>
        <v>0.17766799999999999</v>
      </c>
      <c r="N8" s="42"/>
      <c r="O8" s="42"/>
    </row>
    <row r="9" spans="1:18" ht="17" customHeight="1" x14ac:dyDescent="0.2">
      <c r="A9" s="42"/>
      <c r="B9" s="48" t="s">
        <v>12</v>
      </c>
      <c r="C9" s="42">
        <v>1E-3</v>
      </c>
      <c r="D9" s="42"/>
      <c r="E9" s="42"/>
      <c r="F9" s="42"/>
      <c r="G9" s="42"/>
      <c r="H9" s="46" t="s">
        <v>11</v>
      </c>
      <c r="I9" s="42">
        <f>STDEV(H3:H7)</f>
        <v>2.026820169625275E-4</v>
      </c>
      <c r="J9" s="42"/>
      <c r="K9" s="42"/>
      <c r="L9" s="46" t="s">
        <v>11</v>
      </c>
      <c r="M9" s="42">
        <f>STDEV(L3:L7)</f>
        <v>2.9277978072264784E-4</v>
      </c>
      <c r="N9" s="42"/>
      <c r="O9" s="42"/>
    </row>
    <row r="10" spans="1:18" ht="17" customHeight="1" x14ac:dyDescent="0.2">
      <c r="A10" s="42"/>
      <c r="B10" s="48" t="s">
        <v>14</v>
      </c>
      <c r="C10" s="42">
        <f>C2*(8/(5*SQRT(5)))*C3</f>
        <v>1.1689291712451769E-4</v>
      </c>
      <c r="D10" s="42"/>
      <c r="E10" s="42"/>
      <c r="F10" s="42"/>
      <c r="G10" s="42"/>
      <c r="H10" s="49" t="s">
        <v>13</v>
      </c>
      <c r="I10" s="42">
        <v>2.0000000000000002E-5</v>
      </c>
      <c r="J10" s="42"/>
      <c r="K10" s="42"/>
      <c r="L10" s="49" t="s">
        <v>13</v>
      </c>
      <c r="M10" s="42">
        <v>2.0000000000000002E-5</v>
      </c>
      <c r="N10" s="42"/>
      <c r="O10" s="42"/>
    </row>
    <row r="11" spans="1:18" ht="17" customHeight="1" x14ac:dyDescent="0.2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42"/>
      <c r="M11" s="42"/>
      <c r="N11" s="42"/>
      <c r="O11" s="42"/>
    </row>
    <row r="12" spans="1:18" ht="17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8" ht="17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8" ht="17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8" ht="17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8" ht="17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8" spans="1:5" ht="17" customHeight="1" x14ac:dyDescent="0.3">
      <c r="A18" s="4"/>
      <c r="B18" s="5"/>
      <c r="C18" s="6"/>
      <c r="D18" s="6"/>
      <c r="E18" s="7"/>
    </row>
  </sheetData>
  <mergeCells count="1">
    <mergeCell ref="G2:N2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123A7-1E4A-CC41-9CF2-93E0BE0AEF1C}">
  <dimension ref="A1:V51"/>
  <sheetViews>
    <sheetView zoomScale="125" workbookViewId="0">
      <selection activeCell="K33" sqref="K33"/>
    </sheetView>
  </sheetViews>
  <sheetFormatPr baseColWidth="10" defaultColWidth="4.1640625" defaultRowHeight="20" customHeight="1" x14ac:dyDescent="0.2"/>
  <cols>
    <col min="1" max="1" width="6.83203125" style="9" bestFit="1" customWidth="1"/>
    <col min="2" max="3" width="11.33203125" style="9" bestFit="1" customWidth="1"/>
    <col min="4" max="10" width="12.1640625" style="9" bestFit="1" customWidth="1"/>
    <col min="11" max="11" width="9.33203125" style="9" bestFit="1" customWidth="1"/>
    <col min="12" max="12" width="12.1640625" style="9" bestFit="1" customWidth="1"/>
    <col min="13" max="13" width="2.1640625" style="9" bestFit="1" customWidth="1"/>
    <col min="14" max="16" width="12.1640625" style="9" bestFit="1" customWidth="1"/>
    <col min="17" max="17" width="11.6640625" style="9" bestFit="1" customWidth="1"/>
    <col min="18" max="16384" width="4.1640625" style="9"/>
  </cols>
  <sheetData>
    <row r="1" spans="1:18" ht="20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18" ht="20" customHeight="1" x14ac:dyDescent="0.2">
      <c r="A2" s="64"/>
      <c r="B2" s="48" t="s">
        <v>15</v>
      </c>
      <c r="C2" s="66" t="s">
        <v>16</v>
      </c>
      <c r="D2" s="66" t="s">
        <v>17</v>
      </c>
      <c r="E2" s="66" t="s">
        <v>18</v>
      </c>
      <c r="F2" s="66" t="s">
        <v>19</v>
      </c>
      <c r="G2" s="66" t="s">
        <v>20</v>
      </c>
      <c r="H2" s="66" t="s">
        <v>21</v>
      </c>
      <c r="I2" s="66" t="s">
        <v>22</v>
      </c>
      <c r="J2" s="66" t="s">
        <v>23</v>
      </c>
      <c r="K2" s="66" t="s">
        <v>24</v>
      </c>
      <c r="L2" s="66" t="s">
        <v>64</v>
      </c>
      <c r="M2" s="65"/>
      <c r="N2" s="43" t="s">
        <v>25</v>
      </c>
      <c r="O2" s="43" t="s">
        <v>26</v>
      </c>
      <c r="P2" s="43" t="s">
        <v>27</v>
      </c>
      <c r="Q2" s="43" t="s">
        <v>28</v>
      </c>
      <c r="R2" s="57"/>
    </row>
    <row r="3" spans="1:18" ht="20" customHeight="1" x14ac:dyDescent="0.2">
      <c r="A3" s="43"/>
      <c r="B3" s="74">
        <v>268.5</v>
      </c>
      <c r="C3" s="186">
        <v>0.11699</v>
      </c>
      <c r="D3" s="180">
        <f>C3/2</f>
        <v>5.8494999999999998E-2</v>
      </c>
      <c r="E3" s="75">
        <v>1.242</v>
      </c>
      <c r="F3" s="88">
        <v>0.99041000000000001</v>
      </c>
      <c r="G3" s="77">
        <f>Costanti!$C$10*E3/Costanti!$C$4</f>
        <v>9.3639789907670799E-4</v>
      </c>
      <c r="H3" s="78">
        <f>G3*F3</f>
        <v>9.2741784322456237E-4</v>
      </c>
      <c r="I3" s="77">
        <f>2*B3/((D3*H3)^2)</f>
        <v>182467659081.55347</v>
      </c>
      <c r="J3" s="76">
        <f>Costanti!$R$5</f>
        <v>1.5E-3</v>
      </c>
      <c r="K3" s="79">
        <f>SQRT(((-Costanti!$C$10*E3*(1/(Costanti!$C$4^2)))^2)*(Costanti!$E$4^2)+((Costanti!$C$10/Costanti!$C$4)^2)*(Costanti!$C$9^2))</f>
        <v>2.5307689597662054E-6</v>
      </c>
      <c r="L3" s="77">
        <f xml:space="preserve"> I3 * Costanti!$C$8 /B3</f>
        <v>67958159.806910038</v>
      </c>
      <c r="M3" s="80"/>
      <c r="N3" s="76">
        <f xml:space="preserve"> 1 / J3^2</f>
        <v>444444.44444444444</v>
      </c>
      <c r="O3" s="76">
        <f t="shared" ref="O3:O15" si="0" xml:space="preserve"> N3 * D3</f>
        <v>25997.777777777777</v>
      </c>
      <c r="P3" s="76">
        <f t="shared" ref="P3:P15" si="1" xml:space="preserve"> 1 / K3^2</f>
        <v>156133106857.98218</v>
      </c>
      <c r="Q3" s="77">
        <f t="shared" ref="Q3:Q15" si="2" xml:space="preserve"> P3 * H3</f>
        <v>144800629.21817997</v>
      </c>
      <c r="R3" s="57"/>
    </row>
    <row r="4" spans="1:18" ht="20" customHeight="1" x14ac:dyDescent="0.2">
      <c r="A4" s="43"/>
      <c r="B4" s="81">
        <v>286.3</v>
      </c>
      <c r="C4" s="187">
        <v>0.11613999999999999</v>
      </c>
      <c r="D4" s="180">
        <f t="shared" ref="D4:D15" si="3">C4/2</f>
        <v>5.8069999999999997E-2</v>
      </c>
      <c r="E4" s="82">
        <v>1.337</v>
      </c>
      <c r="F4" s="89">
        <v>0.99041000000000001</v>
      </c>
      <c r="G4" s="84">
        <f>Costanti!$C$10*E4/Costanti!$C$4</f>
        <v>1.0080225370898217E-3</v>
      </c>
      <c r="H4" s="85">
        <f t="shared" ref="H4:H15" si="4">G4*F4</f>
        <v>9.9835560095913036E-4</v>
      </c>
      <c r="I4" s="84">
        <f t="shared" ref="I4:I15" si="5">2*B4/((D4*H4)^2)</f>
        <v>170363743347.97891</v>
      </c>
      <c r="J4" s="83">
        <f>Costanti!$R$5</f>
        <v>1.5E-3</v>
      </c>
      <c r="K4" s="86">
        <f>SQRT(((-Costanti!$C$10*E4*(1/(Costanti!$C$4^2)))^2)*(Costanti!$E$4^2)+((Costanti!$C$10/Costanti!$C$4)^2)*(Costanti!$C$9^2))</f>
        <v>2.7077258027350689E-6</v>
      </c>
      <c r="L4" s="84">
        <f xml:space="preserve"> I4 * Costanti!$C$8 /B4</f>
        <v>59505324.257065631</v>
      </c>
      <c r="M4" s="87"/>
      <c r="N4" s="83">
        <f t="shared" ref="N3:N15" si="6" xml:space="preserve"> 1 / J4^2</f>
        <v>444444.44444444444</v>
      </c>
      <c r="O4" s="83">
        <f t="shared" si="0"/>
        <v>25808.888888888887</v>
      </c>
      <c r="P4" s="83">
        <f t="shared" si="1"/>
        <v>136392544959.50053</v>
      </c>
      <c r="Q4" s="84">
        <f t="shared" si="2"/>
        <v>136168261.18938735</v>
      </c>
      <c r="R4" s="57"/>
    </row>
    <row r="5" spans="1:18" ht="20" customHeight="1" x14ac:dyDescent="0.2">
      <c r="A5" s="43"/>
      <c r="B5" s="74">
        <v>243.1</v>
      </c>
      <c r="C5" s="186">
        <v>0.10957</v>
      </c>
      <c r="D5" s="180">
        <f t="shared" si="3"/>
        <v>5.4785E-2</v>
      </c>
      <c r="E5" s="75">
        <v>1.2549999999999999</v>
      </c>
      <c r="F5" s="88">
        <v>0.99290999999999996</v>
      </c>
      <c r="G5" s="77">
        <f>Costanti!$C$10*E5/Costanti!$C$4</f>
        <v>9.4619916533113398E-4</v>
      </c>
      <c r="H5" s="78">
        <f t="shared" si="4"/>
        <v>9.3949061324893619E-4</v>
      </c>
      <c r="I5" s="77">
        <f t="shared" si="5"/>
        <v>183529859429.99579</v>
      </c>
      <c r="J5" s="76">
        <f>Costanti!$R$5</f>
        <v>1.5E-3</v>
      </c>
      <c r="K5" s="79">
        <f>SQRT(((-Costanti!$C$10*E5*(1/(Costanti!$C$4^2)))^2)*(Costanti!$E$4^2)+((Costanti!$C$10/Costanti!$C$4)^2)*(Costanti!$C$9^2))</f>
        <v>2.554918626668538E-6</v>
      </c>
      <c r="L5" s="77">
        <f xml:space="preserve"> I5 * Costanti!$C$8 /B5</f>
        <v>75495622.965855941</v>
      </c>
      <c r="M5" s="80"/>
      <c r="N5" s="76">
        <f t="shared" si="6"/>
        <v>444444.44444444444</v>
      </c>
      <c r="O5" s="76">
        <f t="shared" si="0"/>
        <v>24348.888888888891</v>
      </c>
      <c r="P5" s="76">
        <f t="shared" si="1"/>
        <v>153195445845.74686</v>
      </c>
      <c r="Q5" s="77">
        <f t="shared" si="2"/>
        <v>143925683.3645649</v>
      </c>
      <c r="R5" s="57"/>
    </row>
    <row r="6" spans="1:18" ht="20" customHeight="1" x14ac:dyDescent="0.2">
      <c r="A6" s="43"/>
      <c r="B6" s="81">
        <v>230.1</v>
      </c>
      <c r="C6" s="187">
        <v>0.10977000000000001</v>
      </c>
      <c r="D6" s="180">
        <f t="shared" si="3"/>
        <v>5.4885000000000003E-2</v>
      </c>
      <c r="E6" s="82">
        <v>1.21</v>
      </c>
      <c r="F6" s="89">
        <v>0.99290999999999996</v>
      </c>
      <c r="G6" s="84">
        <f>Costanti!$C$10*E6/Costanti!$C$4</f>
        <v>9.1227170521965923E-4</v>
      </c>
      <c r="H6" s="85">
        <f t="shared" si="4"/>
        <v>9.0580369882965186E-4</v>
      </c>
      <c r="I6" s="84">
        <f t="shared" si="5"/>
        <v>186196321880.41849</v>
      </c>
      <c r="J6" s="83">
        <f>Costanti!$R$5</f>
        <v>1.5E-3</v>
      </c>
      <c r="K6" s="86">
        <f>SQRT(((-Costanti!$C$10*E6*(1/(Costanti!$C$4^2)))^2)*(Costanti!$E$4^2)+((Costanti!$C$10/Costanti!$C$4)^2)*(Costanti!$C$9^2))</f>
        <v>2.4714205299925833E-6</v>
      </c>
      <c r="L6" s="84">
        <f xml:space="preserve"> I6 * Costanti!$C$8 /B6</f>
        <v>80919740.061024994</v>
      </c>
      <c r="M6" s="87"/>
      <c r="N6" s="83">
        <f t="shared" si="6"/>
        <v>444444.44444444444</v>
      </c>
      <c r="O6" s="83">
        <f t="shared" si="0"/>
        <v>24393.333333333336</v>
      </c>
      <c r="P6" s="83">
        <f t="shared" si="1"/>
        <v>163721871329.00693</v>
      </c>
      <c r="Q6" s="84">
        <f t="shared" si="2"/>
        <v>148299876.62912682</v>
      </c>
      <c r="R6" s="57"/>
    </row>
    <row r="7" spans="1:18" ht="20" customHeight="1" x14ac:dyDescent="0.2">
      <c r="A7" s="43"/>
      <c r="B7" s="74">
        <v>210.6</v>
      </c>
      <c r="C7" s="186">
        <v>0.11193</v>
      </c>
      <c r="D7" s="180">
        <f t="shared" si="3"/>
        <v>5.5965000000000001E-2</v>
      </c>
      <c r="E7" s="75">
        <v>1.1299999999999999</v>
      </c>
      <c r="F7" s="88">
        <v>0.99173</v>
      </c>
      <c r="G7" s="77">
        <f>Costanti!$C$10*E7/Costanti!$C$4</f>
        <v>8.5195622057703695E-4</v>
      </c>
      <c r="H7" s="78">
        <f t="shared" si="4"/>
        <v>8.449105426328649E-4</v>
      </c>
      <c r="I7" s="77">
        <f t="shared" si="5"/>
        <v>188379607611.77078</v>
      </c>
      <c r="J7" s="76">
        <f>Costanti!$R$5</f>
        <v>1.5E-3</v>
      </c>
      <c r="K7" s="79">
        <f>SQRT(((-Costanti!$C$10*E7*(1/(Costanti!$C$4^2)))^2)*(Costanti!$E$4^2)+((Costanti!$C$10/Costanti!$C$4)^2)*(Costanti!$C$9^2))</f>
        <v>2.323712497721106E-6</v>
      </c>
      <c r="L7" s="77">
        <f xml:space="preserve"> I7 * Costanti!$C$8 /B7</f>
        <v>89449006.463328958</v>
      </c>
      <c r="M7" s="80"/>
      <c r="N7" s="76">
        <f t="shared" si="6"/>
        <v>444444.44444444444</v>
      </c>
      <c r="O7" s="76">
        <f t="shared" si="0"/>
        <v>24873.333333333332</v>
      </c>
      <c r="P7" s="76">
        <f t="shared" si="1"/>
        <v>185197539505.03235</v>
      </c>
      <c r="Q7" s="77">
        <f t="shared" si="2"/>
        <v>156475353.59746832</v>
      </c>
      <c r="R7" s="57"/>
    </row>
    <row r="8" spans="1:18" ht="20" customHeight="1" x14ac:dyDescent="0.2">
      <c r="A8" s="43"/>
      <c r="B8" s="81">
        <v>198.9</v>
      </c>
      <c r="C8" s="187">
        <v>0.12055</v>
      </c>
      <c r="D8" s="180">
        <f t="shared" si="3"/>
        <v>6.0275000000000002E-2</v>
      </c>
      <c r="E8" s="82">
        <v>0.996</v>
      </c>
      <c r="F8" s="89">
        <v>0.98892999999999998</v>
      </c>
      <c r="G8" s="84">
        <f>Costanti!$C$10*E8/Costanti!$C$4</f>
        <v>7.5092778380064502E-4</v>
      </c>
      <c r="H8" s="85">
        <f t="shared" si="4"/>
        <v>7.4261501323397182E-4</v>
      </c>
      <c r="I8" s="84">
        <f t="shared" si="5"/>
        <v>198546799466.41791</v>
      </c>
      <c r="J8" s="83">
        <f>Costanti!$R$5</f>
        <v>1.5E-3</v>
      </c>
      <c r="K8" s="86">
        <f>SQRT(((-Costanti!$C$10*E8*(1/(Costanti!$C$4^2)))^2)*(Costanti!$E$4^2)+((Costanti!$C$10/Costanti!$C$4)^2)*(Costanti!$C$9^2))</f>
        <v>2.0788863069940116E-6</v>
      </c>
      <c r="L8" s="84">
        <f xml:space="preserve"> I8 * Costanti!$C$8 /B8</f>
        <v>99822423.060039178</v>
      </c>
      <c r="M8" s="87"/>
      <c r="N8" s="83">
        <f t="shared" si="6"/>
        <v>444444.44444444444</v>
      </c>
      <c r="O8" s="83">
        <f t="shared" si="0"/>
        <v>26788.888888888891</v>
      </c>
      <c r="P8" s="83">
        <f t="shared" si="1"/>
        <v>231386769445.20026</v>
      </c>
      <c r="Q8" s="84">
        <f t="shared" si="2"/>
        <v>171831288.85371336</v>
      </c>
      <c r="R8" s="57"/>
    </row>
    <row r="9" spans="1:18" ht="20" customHeight="1" x14ac:dyDescent="0.2">
      <c r="A9" s="43"/>
      <c r="B9" s="74">
        <v>204.5</v>
      </c>
      <c r="C9" s="186">
        <v>9.5310000000000006E-2</v>
      </c>
      <c r="D9" s="180">
        <f t="shared" si="3"/>
        <v>4.7655000000000003E-2</v>
      </c>
      <c r="E9" s="75">
        <v>1.286</v>
      </c>
      <c r="F9" s="88">
        <v>0.99567000000000005</v>
      </c>
      <c r="G9" s="77">
        <f>Costanti!$C$10*E9/Costanti!$C$4</f>
        <v>9.6957141563015011E-4</v>
      </c>
      <c r="H9" s="78">
        <f t="shared" si="4"/>
        <v>9.6537317140047156E-4</v>
      </c>
      <c r="I9" s="77">
        <f t="shared" si="5"/>
        <v>193248401314.80728</v>
      </c>
      <c r="J9" s="76">
        <f>Costanti!$R$5</f>
        <v>1.5E-3</v>
      </c>
      <c r="K9" s="79">
        <f>SQRT(((-Costanti!$C$10*E9*(1/(Costanti!$C$4^2)))^2)*(Costanti!$E$4^2)+((Costanti!$C$10/Costanti!$C$4)^2)*(Costanti!$C$9^2))</f>
        <v>2.6125931234935448E-6</v>
      </c>
      <c r="L9" s="77">
        <f xml:space="preserve"> I9 * Costanti!$C$8 /B9</f>
        <v>94497995.752961993</v>
      </c>
      <c r="M9" s="80"/>
      <c r="N9" s="76">
        <f t="shared" si="6"/>
        <v>444444.44444444444</v>
      </c>
      <c r="O9" s="76">
        <f t="shared" si="0"/>
        <v>21180</v>
      </c>
      <c r="P9" s="76">
        <f t="shared" si="1"/>
        <v>146506347469.89587</v>
      </c>
      <c r="Q9" s="77">
        <f t="shared" si="2"/>
        <v>141433297.28731284</v>
      </c>
      <c r="R9" s="57"/>
    </row>
    <row r="10" spans="1:18" ht="20" customHeight="1" x14ac:dyDescent="0.2">
      <c r="A10" s="43"/>
      <c r="B10" s="81">
        <v>293.5</v>
      </c>
      <c r="C10" s="187">
        <v>0.10969</v>
      </c>
      <c r="D10" s="180">
        <f t="shared" si="3"/>
        <v>5.4844999999999998E-2</v>
      </c>
      <c r="E10" s="82">
        <v>1.3520000000000001</v>
      </c>
      <c r="F10" s="89">
        <v>0.99290999999999996</v>
      </c>
      <c r="G10" s="84">
        <f>Costanti!$C$10*E10/Costanti!$C$4</f>
        <v>1.0193316904603135E-3</v>
      </c>
      <c r="H10" s="85">
        <f t="shared" si="4"/>
        <v>1.0121046287749499E-3</v>
      </c>
      <c r="I10" s="84">
        <f t="shared" si="5"/>
        <v>190507991116.7496</v>
      </c>
      <c r="J10" s="83">
        <f>Costanti!$R$5</f>
        <v>1.5E-3</v>
      </c>
      <c r="K10" s="86">
        <f>SQRT(((-Costanti!$C$10*E10*(1/(Costanti!$C$4^2)))^2)*(Costanti!$E$4^2)+((Costanti!$C$10/Costanti!$C$4)^2)*(Costanti!$C$9^2))</f>
        <v>2.7357610127698709E-6</v>
      </c>
      <c r="L10" s="84">
        <f xml:space="preserve"> I10 * Costanti!$C$8 /B10</f>
        <v>64909025.934156597</v>
      </c>
      <c r="M10" s="87"/>
      <c r="N10" s="83">
        <f t="shared" si="6"/>
        <v>444444.44444444444</v>
      </c>
      <c r="O10" s="83">
        <f t="shared" si="0"/>
        <v>24375.555555555555</v>
      </c>
      <c r="P10" s="83">
        <f t="shared" si="1"/>
        <v>133611453251.63055</v>
      </c>
      <c r="Q10" s="84">
        <f t="shared" si="2"/>
        <v>135228770.2933231</v>
      </c>
      <c r="R10" s="57"/>
    </row>
    <row r="11" spans="1:18" ht="20" customHeight="1" x14ac:dyDescent="0.2">
      <c r="A11" s="43"/>
      <c r="B11" s="74">
        <v>269.89999999999998</v>
      </c>
      <c r="C11" s="186">
        <v>0.10746</v>
      </c>
      <c r="D11" s="180">
        <f t="shared" si="3"/>
        <v>5.373E-2</v>
      </c>
      <c r="E11" s="75">
        <v>1.3520000000000001</v>
      </c>
      <c r="F11" s="88">
        <v>0.99290999999999996</v>
      </c>
      <c r="G11" s="77">
        <f>Costanti!$C$10*E11/Costanti!$C$4</f>
        <v>1.0193316904603135E-3</v>
      </c>
      <c r="H11" s="78">
        <f t="shared" si="4"/>
        <v>1.0121046287749499E-3</v>
      </c>
      <c r="I11" s="77">
        <f>2*B11/((D11*H11)^2)</f>
        <v>182535935923.31339</v>
      </c>
      <c r="J11" s="76">
        <f>Costanti!$R$5</f>
        <v>1.5E-3</v>
      </c>
      <c r="K11" s="79">
        <f>SQRT(((-Costanti!$C$10*E11*(1/(Costanti!$C$4^2)))^2)*(Costanti!$E$4^2)+((Costanti!$C$10/Costanti!$C$4)^2)*(Costanti!$C$9^2))</f>
        <v>2.7357610127698709E-6</v>
      </c>
      <c r="L11" s="77">
        <f xml:space="preserve"> I11 * Costanti!$C$8 /B11</f>
        <v>67630950.694076851</v>
      </c>
      <c r="M11" s="80"/>
      <c r="N11" s="76">
        <f t="shared" si="6"/>
        <v>444444.44444444444</v>
      </c>
      <c r="O11" s="76">
        <f t="shared" si="0"/>
        <v>23880</v>
      </c>
      <c r="P11" s="76">
        <f t="shared" si="1"/>
        <v>133611453251.63055</v>
      </c>
      <c r="Q11" s="77">
        <f t="shared" si="2"/>
        <v>135228770.2933231</v>
      </c>
      <c r="R11" s="57"/>
    </row>
    <row r="12" spans="1:18" ht="20" customHeight="1" x14ac:dyDescent="0.2">
      <c r="A12" s="43"/>
      <c r="B12" s="81">
        <v>245.1</v>
      </c>
      <c r="C12" s="187">
        <v>0.10249</v>
      </c>
      <c r="D12" s="180">
        <f t="shared" si="3"/>
        <v>5.1244999999999999E-2</v>
      </c>
      <c r="E12" s="82">
        <v>1.3979999999999999</v>
      </c>
      <c r="F12" s="89">
        <v>0.99395</v>
      </c>
      <c r="G12" s="84">
        <f>Costanti!$C$10*E12/Costanti!$C$4</f>
        <v>1.054013094129821E-3</v>
      </c>
      <c r="H12" s="85">
        <f t="shared" si="4"/>
        <v>1.0476363149103357E-3</v>
      </c>
      <c r="I12" s="84">
        <f t="shared" si="5"/>
        <v>170078424231.15475</v>
      </c>
      <c r="J12" s="83">
        <f>Costanti!$R$5</f>
        <v>1.5E-3</v>
      </c>
      <c r="K12" s="86">
        <f>SQRT(((-Costanti!$C$10*E12*(1/(Costanti!$C$4^2)))^2)*(Costanti!$E$4^2)+((Costanti!$C$10/Costanti!$C$4)^2)*(Costanti!$C$9^2))</f>
        <v>2.8218800095900506E-6</v>
      </c>
      <c r="L12" s="84">
        <f xml:space="preserve"> I12 * Costanti!$C$8 /B12</f>
        <v>69391441.954775512</v>
      </c>
      <c r="M12" s="87"/>
      <c r="N12" s="83">
        <f t="shared" si="6"/>
        <v>444444.44444444444</v>
      </c>
      <c r="O12" s="83">
        <f t="shared" si="0"/>
        <v>22775.555555555555</v>
      </c>
      <c r="P12" s="83">
        <f t="shared" si="1"/>
        <v>125580704193.44249</v>
      </c>
      <c r="Q12" s="84">
        <f t="shared" si="2"/>
        <v>131562906.16506302</v>
      </c>
      <c r="R12" s="57"/>
    </row>
    <row r="13" spans="1:18" ht="20" customHeight="1" x14ac:dyDescent="0.2">
      <c r="A13" s="43"/>
      <c r="B13" s="74">
        <v>257.89999999999998</v>
      </c>
      <c r="C13" s="186">
        <v>0.10211000000000001</v>
      </c>
      <c r="D13" s="180">
        <f t="shared" si="3"/>
        <v>5.1055000000000003E-2</v>
      </c>
      <c r="E13" s="75">
        <v>1.4430000000000001</v>
      </c>
      <c r="F13" s="88">
        <v>0.99395</v>
      </c>
      <c r="G13" s="77">
        <f>Costanti!$C$10*E13/Costanti!$C$4</f>
        <v>1.087940554241296E-3</v>
      </c>
      <c r="H13" s="78">
        <f t="shared" si="4"/>
        <v>1.0813585138881362E-3</v>
      </c>
      <c r="I13" s="77">
        <f t="shared" si="5"/>
        <v>169225329689.97195</v>
      </c>
      <c r="J13" s="76">
        <f>Costanti!$R$5</f>
        <v>1.5E-3</v>
      </c>
      <c r="K13" s="79">
        <f>SQRT(((-Costanti!$C$10*E13*(1/(Costanti!$C$4^2)))^2)*(Costanti!$E$4^2)+((Costanti!$C$10/Costanti!$C$4)^2)*(Costanti!$C$9^2))</f>
        <v>2.9063231283476863E-6</v>
      </c>
      <c r="L13" s="77">
        <f xml:space="preserve"> I13 * Costanti!$C$8 /B13</f>
        <v>65616645.866604105</v>
      </c>
      <c r="M13" s="80"/>
      <c r="N13" s="76">
        <f t="shared" si="6"/>
        <v>444444.44444444444</v>
      </c>
      <c r="O13" s="76">
        <f t="shared" si="0"/>
        <v>22691.111111111113</v>
      </c>
      <c r="P13" s="76">
        <f t="shared" si="1"/>
        <v>118389232196.01242</v>
      </c>
      <c r="Q13" s="77">
        <f t="shared" si="2"/>
        <v>128021204.18783748</v>
      </c>
      <c r="R13" s="57"/>
    </row>
    <row r="14" spans="1:18" ht="20" customHeight="1" x14ac:dyDescent="0.2">
      <c r="A14" s="43"/>
      <c r="B14" s="81">
        <v>269.7</v>
      </c>
      <c r="C14" s="187">
        <v>0.10115</v>
      </c>
      <c r="D14" s="180">
        <f t="shared" si="3"/>
        <v>5.0575000000000002E-2</v>
      </c>
      <c r="E14" s="82">
        <v>1.458</v>
      </c>
      <c r="F14" s="89">
        <v>0.99485999999999997</v>
      </c>
      <c r="G14" s="84">
        <f>Costanti!$C$10*E14/Costanti!$C$4</f>
        <v>1.0992497076117878E-3</v>
      </c>
      <c r="H14" s="85">
        <f t="shared" si="4"/>
        <v>1.0935995641146632E-3</v>
      </c>
      <c r="I14" s="84">
        <f t="shared" si="5"/>
        <v>176328495640.3335</v>
      </c>
      <c r="J14" s="83">
        <f>Costanti!$R$5</f>
        <v>1.5E-3</v>
      </c>
      <c r="K14" s="86">
        <f>SQRT(((-Costanti!$C$10*E14*(1/(Costanti!$C$4^2)))^2)*(Costanti!$E$4^2)+((Costanti!$C$10/Costanti!$C$4)^2)*(Costanti!$C$9^2))</f>
        <v>2.9345110489385767E-6</v>
      </c>
      <c r="L14" s="84">
        <f xml:space="preserve"> I14 * Costanti!$C$8 /B14</f>
        <v>65379494.119515583</v>
      </c>
      <c r="M14" s="87"/>
      <c r="N14" s="83">
        <f t="shared" si="6"/>
        <v>444444.44444444444</v>
      </c>
      <c r="O14" s="83">
        <f t="shared" si="0"/>
        <v>22477.777777777777</v>
      </c>
      <c r="P14" s="83">
        <f t="shared" si="1"/>
        <v>116125741978.13768</v>
      </c>
      <c r="Q14" s="84">
        <f t="shared" si="2"/>
        <v>126995060.80978321</v>
      </c>
      <c r="R14" s="57"/>
    </row>
    <row r="15" spans="1:18" ht="20" customHeight="1" x14ac:dyDescent="0.2">
      <c r="A15" s="43"/>
      <c r="B15" s="74">
        <v>280.60000000000002</v>
      </c>
      <c r="C15" s="186">
        <v>0.10305</v>
      </c>
      <c r="D15" s="180">
        <f t="shared" si="3"/>
        <v>5.1525000000000001E-2</v>
      </c>
      <c r="E15" s="75">
        <v>1.48</v>
      </c>
      <c r="F15" s="88">
        <v>0.99395</v>
      </c>
      <c r="G15" s="77">
        <f>Costanti!$C$10*E15/Costanti!$C$4</f>
        <v>1.1158364658885088E-3</v>
      </c>
      <c r="H15" s="78">
        <f t="shared" si="4"/>
        <v>1.1090856552698834E-3</v>
      </c>
      <c r="I15" s="77">
        <f t="shared" si="5"/>
        <v>171850771024.93683</v>
      </c>
      <c r="J15" s="76">
        <f>Costanti!$R$5</f>
        <v>1.5E-3</v>
      </c>
      <c r="K15" s="79">
        <f>SQRT(((-Costanti!$C$10*E15*(1/(Costanti!$C$4^2)))^2)*(Costanti!$E$4^2)+((Costanti!$C$10/Costanti!$C$4)^2)*(Costanti!$C$9^2))</f>
        <v>2.9758878212686254E-6</v>
      </c>
      <c r="L15" s="77">
        <f xml:space="preserve"> I15 * Costanti!$C$8 /B15</f>
        <v>61244038.141460016</v>
      </c>
      <c r="M15" s="80"/>
      <c r="N15" s="76">
        <f t="shared" si="6"/>
        <v>444444.44444444444</v>
      </c>
      <c r="O15" s="76">
        <f t="shared" si="0"/>
        <v>22900</v>
      </c>
      <c r="P15" s="76">
        <f t="shared" si="1"/>
        <v>112918964755.13878</v>
      </c>
      <c r="Q15" s="77">
        <f t="shared" si="2"/>
        <v>125236804.01784995</v>
      </c>
      <c r="R15" s="59"/>
    </row>
    <row r="16" spans="1:18" ht="20" customHeight="1" x14ac:dyDescent="0.2">
      <c r="A16" s="67" t="s">
        <v>29</v>
      </c>
      <c r="B16" s="68">
        <f>AVERAGE(B3:B15)</f>
        <v>250.66923076923075</v>
      </c>
      <c r="C16" s="69"/>
      <c r="D16" s="69">
        <f xml:space="preserve"> SUM(O3:O15)/SUM(N3:N15)</f>
        <v>5.4085000000000015E-2</v>
      </c>
      <c r="E16" s="69"/>
      <c r="F16" s="181"/>
      <c r="G16" s="69"/>
      <c r="H16" s="70">
        <f>SUM(Q3:Q15)/SUM(P3:P15)</f>
        <v>9.542217750486186E-4</v>
      </c>
      <c r="I16" s="70">
        <f>AVERAGE(I3:I15)</f>
        <v>181789179981.49252</v>
      </c>
      <c r="J16" s="69">
        <f xml:space="preserve"> 1 / SQRT(SUM(N3:N15))</f>
        <v>4.1602514716892195E-4</v>
      </c>
      <c r="K16" s="71">
        <f xml:space="preserve"> 1 / SQRT(SUM(P3:P15))</f>
        <v>7.2305026691604053E-7</v>
      </c>
      <c r="L16" s="69"/>
      <c r="M16" s="72"/>
      <c r="N16" s="73"/>
      <c r="O16" s="73"/>
      <c r="P16" s="69"/>
      <c r="Q16" s="69"/>
      <c r="R16" s="59"/>
    </row>
    <row r="17" spans="1:19" ht="20" customHeight="1" x14ac:dyDescent="0.2">
      <c r="A17" s="104" t="s">
        <v>65</v>
      </c>
      <c r="B17" s="60"/>
      <c r="C17" s="61"/>
      <c r="D17" s="62"/>
      <c r="E17" s="63"/>
      <c r="F17" s="181"/>
      <c r="G17" s="58"/>
      <c r="H17" s="58"/>
      <c r="I17" s="58"/>
      <c r="J17" s="58"/>
      <c r="K17" s="58"/>
      <c r="L17" s="58"/>
      <c r="M17" s="58"/>
      <c r="N17" s="57"/>
      <c r="O17" s="57"/>
      <c r="P17" s="43"/>
      <c r="Q17" s="43"/>
      <c r="R17" s="59"/>
    </row>
    <row r="18" spans="1:19" ht="20" customHeight="1" x14ac:dyDescent="0.2">
      <c r="A18" s="19" t="s">
        <v>69</v>
      </c>
      <c r="B18" s="15"/>
      <c r="C18" s="16"/>
      <c r="D18" s="17"/>
      <c r="E18" s="18"/>
      <c r="G18" s="13"/>
      <c r="H18" s="13"/>
      <c r="I18" s="13"/>
      <c r="L18" s="13"/>
      <c r="M18" s="13"/>
      <c r="P18" s="2"/>
      <c r="Q18" s="2"/>
      <c r="R18" s="14"/>
    </row>
    <row r="19" spans="1:19" ht="20" customHeight="1" x14ac:dyDescent="0.2">
      <c r="O19" s="2"/>
      <c r="P19" s="2"/>
      <c r="Q19" s="2"/>
      <c r="R19" s="14"/>
    </row>
    <row r="20" spans="1:19" ht="20" customHeight="1" x14ac:dyDescent="0.2">
      <c r="A20" s="176" t="s">
        <v>30</v>
      </c>
      <c r="B20" s="176"/>
      <c r="O20" s="2"/>
      <c r="P20" s="2"/>
      <c r="Q20" s="2"/>
      <c r="R20" s="14"/>
    </row>
    <row r="21" spans="1:19" ht="20" customHeight="1" x14ac:dyDescent="0.2">
      <c r="H21" s="9" t="s">
        <v>31</v>
      </c>
      <c r="O21" s="2"/>
      <c r="P21" s="2"/>
      <c r="Q21" s="2"/>
      <c r="R21" s="14"/>
    </row>
    <row r="22" spans="1:19" ht="20" customHeight="1" x14ac:dyDescent="0.2">
      <c r="A22" s="93" t="s">
        <v>32</v>
      </c>
      <c r="B22" s="93" t="s">
        <v>33</v>
      </c>
      <c r="C22" s="93" t="s">
        <v>34</v>
      </c>
      <c r="E22" s="93" t="s">
        <v>35</v>
      </c>
      <c r="F22" s="93" t="s">
        <v>36</v>
      </c>
      <c r="G22" s="93" t="s">
        <v>37</v>
      </c>
      <c r="H22" s="93" t="s">
        <v>38</v>
      </c>
      <c r="I22" s="93" t="s">
        <v>39</v>
      </c>
    </row>
    <row r="23" spans="1:19" ht="20" customHeight="1" x14ac:dyDescent="0.2">
      <c r="A23" s="90">
        <f t="shared" ref="A23:A35" si="7">2*B3</f>
        <v>537</v>
      </c>
      <c r="B23" s="91">
        <f t="shared" ref="B23:B35" si="8">(D3^2)*(H3^2)</f>
        <v>2.9429872817077643E-9</v>
      </c>
      <c r="C23" s="91">
        <f t="shared" ref="C23:C35" si="9">SQRT(((2*D3*(H3^2))^2)*((J3)^2)+((2*H3*(D3^2))^2)*((K3)^2))</f>
        <v>1.5178753324296103E-10</v>
      </c>
      <c r="E23" s="92">
        <f>1/(C23^2)</f>
        <v>4.3403804006500786E+19</v>
      </c>
      <c r="F23" s="92">
        <f>A23*E23</f>
        <v>2.3307842751490924E+22</v>
      </c>
      <c r="G23" s="91">
        <f>B23*E23</f>
        <v>127736843168.86832</v>
      </c>
      <c r="H23" s="92">
        <f>(A23^2)*E23</f>
        <v>1.2516311557550625E+25</v>
      </c>
      <c r="I23" s="91">
        <f>A23*B23*E23</f>
        <v>68594684781682.289</v>
      </c>
      <c r="K23" s="96" t="s">
        <v>40</v>
      </c>
      <c r="L23" s="94">
        <f>(H36*E36)-(F36^2)</f>
        <v>1.4878628682673896E+45</v>
      </c>
    </row>
    <row r="24" spans="1:19" ht="20" customHeight="1" x14ac:dyDescent="0.2">
      <c r="A24" s="21">
        <f t="shared" si="7"/>
        <v>572.6</v>
      </c>
      <c r="B24" s="22">
        <f t="shared" si="8"/>
        <v>3.3610437804857793E-9</v>
      </c>
      <c r="C24" s="22">
        <f t="shared" si="9"/>
        <v>1.7459204186384213E-10</v>
      </c>
      <c r="E24" s="23">
        <f t="shared" ref="E24:E35" si="10">1/(C24^2)</f>
        <v>3.2805836174799876E+19</v>
      </c>
      <c r="F24" s="23">
        <f t="shared" ref="F24:F35" si="11">A24*E24</f>
        <v>1.8784621793690411E+22</v>
      </c>
      <c r="G24" s="23">
        <f t="shared" ref="G24:G35" si="12">B24*E24</f>
        <v>110261851638.94652</v>
      </c>
      <c r="H24" s="23">
        <f t="shared" ref="H24:H35" si="13">(A24^2)*E24</f>
        <v>1.075607443906713E+25</v>
      </c>
      <c r="I24" s="23">
        <f t="shared" ref="I24:I35" si="14">A24*B24*E24</f>
        <v>63135936248460.766</v>
      </c>
      <c r="K24" s="96" t="s">
        <v>41</v>
      </c>
      <c r="L24" s="95">
        <f>((E36*I36)-(F36*G36))/L23</f>
        <v>6.8306026326794579E-12</v>
      </c>
    </row>
    <row r="25" spans="1:19" ht="20" customHeight="1" x14ac:dyDescent="0.2">
      <c r="A25" s="21">
        <f t="shared" si="7"/>
        <v>486.2</v>
      </c>
      <c r="B25" s="22">
        <f t="shared" si="8"/>
        <v>2.6491602048300607E-9</v>
      </c>
      <c r="C25" s="22">
        <f t="shared" si="9"/>
        <v>1.4578053341293792E-10</v>
      </c>
      <c r="E25" s="23">
        <f t="shared" si="10"/>
        <v>4.7054474761141461E+19</v>
      </c>
      <c r="F25" s="23">
        <f t="shared" si="11"/>
        <v>2.2877885628866976E+22</v>
      </c>
      <c r="G25" s="23">
        <f t="shared" si="12"/>
        <v>124654841996.39644</v>
      </c>
      <c r="H25" s="23">
        <f t="shared" si="13"/>
        <v>1.1123227992755125E+25</v>
      </c>
      <c r="I25" s="23">
        <f t="shared" si="14"/>
        <v>60607184178647.945</v>
      </c>
      <c r="K25" s="96" t="s">
        <v>42</v>
      </c>
      <c r="L25" s="95">
        <f>((G36*H36)-(F36*I36))/L23</f>
        <v>-6.6213714635623184E-10</v>
      </c>
    </row>
    <row r="26" spans="1:19" ht="20" customHeight="1" x14ac:dyDescent="0.2">
      <c r="A26" s="21">
        <f t="shared" si="7"/>
        <v>460.2</v>
      </c>
      <c r="B26" s="22">
        <f t="shared" si="8"/>
        <v>2.4715848055019899E-9</v>
      </c>
      <c r="C26" s="22">
        <f t="shared" si="9"/>
        <v>1.3576775071958878E-10</v>
      </c>
      <c r="E26" s="23">
        <f t="shared" si="10"/>
        <v>5.4250875834357948E+19</v>
      </c>
      <c r="F26" s="23">
        <f t="shared" si="11"/>
        <v>2.4966253058971528E+22</v>
      </c>
      <c r="G26" s="23">
        <f t="shared" si="12"/>
        <v>134085640397.37419</v>
      </c>
      <c r="H26" s="23">
        <f t="shared" si="13"/>
        <v>1.1489469657738697E+25</v>
      </c>
      <c r="I26" s="23">
        <f t="shared" si="14"/>
        <v>61706211710871.602</v>
      </c>
      <c r="K26" s="96" t="s">
        <v>43</v>
      </c>
      <c r="L26" s="94">
        <f>SQRT(E36/L23)</f>
        <v>6.3297497996606577E-13</v>
      </c>
    </row>
    <row r="27" spans="1:19" ht="20" customHeight="1" x14ac:dyDescent="0.2">
      <c r="A27" s="21">
        <f t="shared" si="7"/>
        <v>421.2</v>
      </c>
      <c r="B27" s="22">
        <f t="shared" si="8"/>
        <v>2.2359108044648118E-9</v>
      </c>
      <c r="C27" s="22">
        <f t="shared" si="9"/>
        <v>1.2048518443018947E-10</v>
      </c>
      <c r="E27" s="23">
        <f t="shared" si="10"/>
        <v>6.8886275851431092E+19</v>
      </c>
      <c r="F27" s="23">
        <f t="shared" si="11"/>
        <v>2.9014899388622777E+22</v>
      </c>
      <c r="G27" s="23">
        <f t="shared" si="12"/>
        <v>154023568455.55823</v>
      </c>
      <c r="H27" s="23">
        <f t="shared" si="13"/>
        <v>1.2221075622487914E+25</v>
      </c>
      <c r="I27" s="23">
        <f t="shared" si="14"/>
        <v>64874727033481.125</v>
      </c>
      <c r="K27" s="96" t="s">
        <v>44</v>
      </c>
      <c r="L27" s="94">
        <f>SQRT(H36/L23)</f>
        <v>3.0650013082481243E-10</v>
      </c>
    </row>
    <row r="28" spans="1:19" ht="20" customHeight="1" x14ac:dyDescent="0.2">
      <c r="A28" s="21">
        <f t="shared" si="7"/>
        <v>397.8</v>
      </c>
      <c r="B28" s="22">
        <f t="shared" si="8"/>
        <v>2.0035578567323306E-9</v>
      </c>
      <c r="C28" s="22">
        <f t="shared" si="9"/>
        <v>1.0034978659200611E-10</v>
      </c>
      <c r="E28" s="23">
        <f t="shared" si="10"/>
        <v>9.9304080291673588E+19</v>
      </c>
      <c r="F28" s="23">
        <f t="shared" si="11"/>
        <v>3.9503163140027758E+22</v>
      </c>
      <c r="G28" s="23">
        <f t="shared" si="12"/>
        <v>198961470273.96082</v>
      </c>
      <c r="H28" s="23">
        <f t="shared" si="13"/>
        <v>1.571435829710304E+25</v>
      </c>
      <c r="I28" s="23">
        <f t="shared" si="14"/>
        <v>79146872874981.609</v>
      </c>
    </row>
    <row r="29" spans="1:19" ht="20" customHeight="1" x14ac:dyDescent="0.2">
      <c r="A29" s="21">
        <f t="shared" si="7"/>
        <v>409</v>
      </c>
      <c r="B29" s="22">
        <f t="shared" si="8"/>
        <v>2.11644700404909E-9</v>
      </c>
      <c r="C29" s="22">
        <f t="shared" si="9"/>
        <v>1.3372712928190305E-10</v>
      </c>
      <c r="E29" s="23">
        <f t="shared" si="10"/>
        <v>5.5919200896370786E+19</v>
      </c>
      <c r="F29" s="23">
        <f t="shared" si="11"/>
        <v>2.2870953166615651E+22</v>
      </c>
      <c r="G29" s="23">
        <f t="shared" si="12"/>
        <v>118350025205.94313</v>
      </c>
      <c r="H29" s="23">
        <f t="shared" si="13"/>
        <v>9.3542198451458019E+24</v>
      </c>
      <c r="I29" s="23">
        <f t="shared" si="14"/>
        <v>48405160309230.742</v>
      </c>
      <c r="K29" s="96" t="s">
        <v>45</v>
      </c>
      <c r="L29" s="99">
        <f>L24</f>
        <v>6.8306026326794579E-12</v>
      </c>
      <c r="M29" s="103" t="s">
        <v>0</v>
      </c>
      <c r="N29" s="94">
        <f>L26</f>
        <v>6.3297497996606577E-13</v>
      </c>
    </row>
    <row r="30" spans="1:19" ht="20" customHeight="1" x14ac:dyDescent="0.2">
      <c r="A30" s="21">
        <f t="shared" si="7"/>
        <v>587</v>
      </c>
      <c r="B30" s="22">
        <f t="shared" si="8"/>
        <v>3.0812355773583633E-9</v>
      </c>
      <c r="C30" s="22">
        <f t="shared" si="9"/>
        <v>1.6936352255247292E-10</v>
      </c>
      <c r="E30" s="23">
        <f t="shared" si="10"/>
        <v>3.4862637825349079E+19</v>
      </c>
      <c r="F30" s="23">
        <f t="shared" si="11"/>
        <v>2.0464368403479909E+22</v>
      </c>
      <c r="G30" s="23">
        <f t="shared" si="12"/>
        <v>107419999988.02498</v>
      </c>
      <c r="H30" s="23">
        <f t="shared" si="13"/>
        <v>1.2012584252842707E+25</v>
      </c>
      <c r="I30" s="23">
        <f t="shared" si="14"/>
        <v>63055539992970.672</v>
      </c>
      <c r="K30" s="96" t="s">
        <v>22</v>
      </c>
      <c r="L30" s="100">
        <f>1/L29</f>
        <v>146399966997.89392</v>
      </c>
      <c r="M30" s="102" t="s">
        <v>0</v>
      </c>
      <c r="N30" s="101">
        <f>(L30^2)*N29</f>
        <v>13566521310.166403</v>
      </c>
      <c r="P30" s="13"/>
      <c r="Q30" s="13"/>
      <c r="R30" s="13"/>
      <c r="S30" s="13"/>
    </row>
    <row r="31" spans="1:19" ht="20" customHeight="1" x14ac:dyDescent="0.2">
      <c r="A31" s="21">
        <f t="shared" si="7"/>
        <v>539.79999999999995</v>
      </c>
      <c r="B31" s="22">
        <f t="shared" si="8"/>
        <v>2.957225914281227E-9</v>
      </c>
      <c r="C31" s="22">
        <f t="shared" si="9"/>
        <v>1.658880574280331E-10</v>
      </c>
      <c r="E31" s="23">
        <f t="shared" si="10"/>
        <v>3.6338730990321775E+19</v>
      </c>
      <c r="F31" s="23">
        <f t="shared" si="11"/>
        <v>1.9615646988575693E+22</v>
      </c>
      <c r="G31" s="23">
        <f t="shared" si="12"/>
        <v>107461836976.67387</v>
      </c>
      <c r="H31" s="23">
        <f t="shared" si="13"/>
        <v>1.058852624443316E+25</v>
      </c>
      <c r="I31" s="23">
        <f t="shared" si="14"/>
        <v>58007899600008.547</v>
      </c>
      <c r="N31" s="25"/>
      <c r="P31" s="13"/>
      <c r="Q31" s="13"/>
      <c r="R31" s="13"/>
      <c r="S31" s="13"/>
    </row>
    <row r="32" spans="1:19" ht="20" customHeight="1" x14ac:dyDescent="0.2">
      <c r="A32" s="21">
        <f t="shared" si="7"/>
        <v>490.2</v>
      </c>
      <c r="B32" s="22">
        <f t="shared" si="8"/>
        <v>2.8821997982164143E-9</v>
      </c>
      <c r="C32" s="26">
        <f t="shared" si="9"/>
        <v>1.694434882021036E-10</v>
      </c>
      <c r="E32" s="23">
        <f t="shared" si="10"/>
        <v>3.4829740064765977E+19</v>
      </c>
      <c r="F32" s="23">
        <f t="shared" si="11"/>
        <v>1.7073538579748281E+22</v>
      </c>
      <c r="G32" s="23">
        <f t="shared" si="12"/>
        <v>100386269786.59866</v>
      </c>
      <c r="H32" s="23">
        <f t="shared" si="13"/>
        <v>8.3694486117926067E+24</v>
      </c>
      <c r="I32" s="23">
        <f t="shared" si="14"/>
        <v>49209349449390.656</v>
      </c>
      <c r="P32" s="13"/>
      <c r="Q32" s="13"/>
      <c r="R32" s="13"/>
      <c r="S32" s="13"/>
    </row>
    <row r="33" spans="1:22" ht="20" customHeight="1" x14ac:dyDescent="0.2">
      <c r="A33" s="27">
        <f t="shared" si="7"/>
        <v>515.79999999999995</v>
      </c>
      <c r="B33" s="28">
        <f t="shared" si="8"/>
        <v>3.0480070622108853E-9</v>
      </c>
      <c r="C33" s="29">
        <f t="shared" si="9"/>
        <v>1.7984921924742097E-10</v>
      </c>
      <c r="E33" s="30">
        <f t="shared" si="10"/>
        <v>3.0915970652045779E+19</v>
      </c>
      <c r="F33" s="23">
        <f t="shared" si="11"/>
        <v>1.5946457662325212E+22</v>
      </c>
      <c r="G33" s="23">
        <f t="shared" si="12"/>
        <v>94232096882.540009</v>
      </c>
      <c r="H33" s="23">
        <f t="shared" si="13"/>
        <v>8.2251828622273432E+24</v>
      </c>
      <c r="I33" s="23">
        <f t="shared" si="14"/>
        <v>48604915572014.125</v>
      </c>
      <c r="P33" s="13"/>
      <c r="Q33" s="13"/>
      <c r="R33" s="13"/>
      <c r="S33" s="13"/>
    </row>
    <row r="34" spans="1:22" ht="20" customHeight="1" x14ac:dyDescent="0.2">
      <c r="A34" s="11">
        <f t="shared" si="7"/>
        <v>539.4</v>
      </c>
      <c r="B34" s="12">
        <f t="shared" si="8"/>
        <v>3.0590631312379739E-9</v>
      </c>
      <c r="C34" s="12">
        <f t="shared" si="9"/>
        <v>1.8219817481986549E-10</v>
      </c>
      <c r="E34" s="31">
        <f t="shared" si="10"/>
        <v>3.0123952617454694E+19</v>
      </c>
      <c r="F34" s="32">
        <f t="shared" si="11"/>
        <v>1.6248860041855061E+22</v>
      </c>
      <c r="G34" s="30">
        <f t="shared" si="12"/>
        <v>92151072819.215317</v>
      </c>
      <c r="H34" s="30">
        <f t="shared" si="13"/>
        <v>8.7646351065766204E+24</v>
      </c>
      <c r="I34" s="30">
        <f t="shared" si="14"/>
        <v>49706288678684.742</v>
      </c>
      <c r="P34" s="13"/>
      <c r="Q34" s="13"/>
      <c r="R34" s="13"/>
      <c r="S34" s="13"/>
    </row>
    <row r="35" spans="1:22" ht="20" customHeight="1" x14ac:dyDescent="0.2">
      <c r="A35" s="11">
        <f t="shared" si="7"/>
        <v>561.20000000000005</v>
      </c>
      <c r="B35" s="12">
        <f t="shared" si="8"/>
        <v>3.2656239867470001E-9</v>
      </c>
      <c r="C35" s="12">
        <f t="shared" si="9"/>
        <v>1.909441146788923E-10</v>
      </c>
      <c r="E35" s="10">
        <f t="shared" si="10"/>
        <v>2.7427577191996269E+19</v>
      </c>
      <c r="F35" s="33">
        <f t="shared" si="11"/>
        <v>1.5392356320148307E+22</v>
      </c>
      <c r="G35" s="10">
        <f t="shared" si="12"/>
        <v>89568153976.537949</v>
      </c>
      <c r="H35" s="10">
        <f t="shared" si="13"/>
        <v>8.6381903668672305E+24</v>
      </c>
      <c r="I35" s="10">
        <f t="shared" si="14"/>
        <v>50265648011633.094</v>
      </c>
      <c r="P35" s="13"/>
      <c r="Q35" s="13"/>
      <c r="R35" s="13"/>
      <c r="S35" s="13"/>
    </row>
    <row r="36" spans="1:22" ht="20" customHeight="1" x14ac:dyDescent="0.2">
      <c r="D36" s="8" t="s">
        <v>46</v>
      </c>
      <c r="E36" s="97">
        <f>SUM(E23:E35)</f>
        <v>5.9612315715820913E+20</v>
      </c>
      <c r="F36" s="97">
        <f>SUM(F23:F35)</f>
        <v>2.8606684692441852E+23</v>
      </c>
      <c r="G36" s="98">
        <f>SUM(G23:G35)</f>
        <v>1559293671566.6384</v>
      </c>
      <c r="H36" s="97">
        <f>SUM(H23:H35)</f>
        <v>1.3977330485658801E+26</v>
      </c>
      <c r="I36" s="98">
        <f>SUM(I23:I35)</f>
        <v>765320418442058</v>
      </c>
      <c r="P36" s="13"/>
      <c r="Q36" s="13"/>
      <c r="R36" s="13"/>
      <c r="S36" s="13"/>
    </row>
    <row r="37" spans="1:22" ht="20" customHeight="1" x14ac:dyDescent="0.2">
      <c r="N37" s="24"/>
      <c r="P37" s="13"/>
      <c r="Q37" s="13"/>
      <c r="R37" s="13"/>
      <c r="S37" s="13"/>
    </row>
    <row r="38" spans="1:22" ht="20" customHeight="1" x14ac:dyDescent="0.2">
      <c r="P38" s="13"/>
      <c r="Q38" s="13"/>
      <c r="R38" s="13"/>
      <c r="S38" s="13"/>
    </row>
    <row r="39" spans="1:22" ht="20" customHeight="1" x14ac:dyDescent="0.2">
      <c r="P39" s="13"/>
      <c r="Q39" s="13"/>
      <c r="R39" s="13"/>
      <c r="S39" s="13"/>
    </row>
    <row r="40" spans="1:22" ht="20" customHeight="1" x14ac:dyDescent="0.2">
      <c r="P40" s="13"/>
      <c r="Q40" s="13"/>
      <c r="R40" s="13"/>
      <c r="S40" s="13"/>
    </row>
    <row r="41" spans="1:22" ht="20" customHeight="1" x14ac:dyDescent="0.2">
      <c r="P41" s="13"/>
      <c r="Q41" s="13"/>
      <c r="R41" s="13"/>
      <c r="S41" s="13"/>
    </row>
    <row r="42" spans="1:22" ht="20" customHeight="1" x14ac:dyDescent="0.2">
      <c r="P42" s="13"/>
      <c r="Q42" s="13"/>
      <c r="R42" s="13"/>
      <c r="S42" s="13"/>
    </row>
    <row r="43" spans="1:22" ht="20" customHeight="1" x14ac:dyDescent="0.2">
      <c r="P43" s="13"/>
      <c r="S43" s="13"/>
      <c r="T43" s="13"/>
    </row>
    <row r="44" spans="1:22" ht="20" customHeight="1" x14ac:dyDescent="0.2">
      <c r="A44" s="13"/>
      <c r="B44" s="13"/>
      <c r="C44" s="8"/>
      <c r="S44" s="13"/>
      <c r="T44" s="13"/>
      <c r="U44" s="34"/>
      <c r="V44" s="13"/>
    </row>
    <row r="45" spans="1:22" ht="20" customHeight="1" x14ac:dyDescent="0.2">
      <c r="A45" s="13"/>
      <c r="B45" s="13"/>
      <c r="S45" s="13"/>
    </row>
    <row r="46" spans="1:22" ht="20" customHeight="1" x14ac:dyDescent="0.2">
      <c r="A46" s="13"/>
      <c r="B46" s="13"/>
      <c r="T46" s="13"/>
    </row>
    <row r="47" spans="1:22" ht="20" customHeight="1" x14ac:dyDescent="0.2">
      <c r="A47" s="13"/>
      <c r="B47" s="13"/>
    </row>
    <row r="48" spans="1:22" ht="20" customHeight="1" x14ac:dyDescent="0.2">
      <c r="A48" s="13"/>
      <c r="B48" s="13"/>
    </row>
    <row r="49" spans="1:22" ht="20" customHeight="1" x14ac:dyDescent="0.2">
      <c r="A49" s="13"/>
      <c r="B49" s="13"/>
    </row>
    <row r="50" spans="1:22" ht="20" customHeight="1" x14ac:dyDescent="0.2">
      <c r="C50" s="8"/>
    </row>
    <row r="51" spans="1:22" ht="20" customHeight="1" x14ac:dyDescent="0.2">
      <c r="V51" s="34"/>
    </row>
  </sheetData>
  <mergeCells count="2">
    <mergeCell ref="A20:B20"/>
    <mergeCell ref="F16:F17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6B821-7130-A44E-8DD8-BCD5568F0E0A}">
  <dimension ref="A1:AO42"/>
  <sheetViews>
    <sheetView topLeftCell="A19" zoomScale="181" workbookViewId="0">
      <selection activeCell="I22" sqref="I22:I34"/>
    </sheetView>
  </sheetViews>
  <sheetFormatPr baseColWidth="10" defaultColWidth="7.33203125" defaultRowHeight="20" customHeight="1" x14ac:dyDescent="0.2"/>
  <cols>
    <col min="1" max="1" width="7.5" style="2" customWidth="1"/>
    <col min="2" max="2" width="6.33203125" style="2" bestFit="1" customWidth="1"/>
    <col min="3" max="3" width="7.83203125" style="2" bestFit="1" customWidth="1"/>
    <col min="4" max="4" width="13.6640625" style="2" bestFit="1" customWidth="1"/>
    <col min="5" max="5" width="6.33203125" style="2" bestFit="1" customWidth="1"/>
    <col min="6" max="6" width="11" style="2" bestFit="1" customWidth="1"/>
    <col min="7" max="8" width="12.6640625" style="2" bestFit="1" customWidth="1"/>
    <col min="9" max="9" width="13" style="2" bestFit="1" customWidth="1"/>
    <col min="10" max="10" width="13.6640625" style="2" bestFit="1" customWidth="1"/>
    <col min="11" max="11" width="7" style="2" bestFit="1" customWidth="1"/>
    <col min="12" max="12" width="13" style="2" bestFit="1" customWidth="1"/>
    <col min="13" max="14" width="7.33203125" style="2"/>
    <col min="15" max="15" width="13.6640625" style="2" bestFit="1" customWidth="1"/>
    <col min="16" max="16" width="13.6640625" bestFit="1" customWidth="1"/>
    <col min="17" max="17" width="7.5" bestFit="1" customWidth="1"/>
    <col min="18" max="18" width="13" bestFit="1" customWidth="1"/>
    <col min="20" max="20" width="7.33203125" style="2"/>
    <col min="21" max="21" width="12.6640625" style="2" bestFit="1" customWidth="1"/>
    <col min="22" max="22" width="13.6640625" style="2" bestFit="1" customWidth="1"/>
    <col min="23" max="23" width="7" style="2" bestFit="1" customWidth="1"/>
    <col min="24" max="28" width="13.6640625" style="2" bestFit="1" customWidth="1"/>
    <col min="29" max="29" width="7.33203125" style="2"/>
    <col min="30" max="30" width="9.6640625" style="2" bestFit="1" customWidth="1"/>
    <col min="31" max="31" width="14.1640625" style="2" bestFit="1" customWidth="1"/>
    <col min="32" max="32" width="2.6640625" style="2" bestFit="1" customWidth="1"/>
    <col min="33" max="33" width="13.6640625" style="2" bestFit="1" customWidth="1"/>
    <col min="34" max="34" width="13" style="2" bestFit="1" customWidth="1"/>
    <col min="35" max="16384" width="7.33203125" style="2"/>
  </cols>
  <sheetData>
    <row r="1" spans="1:41" ht="20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64"/>
      <c r="T1" s="177" t="s">
        <v>30</v>
      </c>
      <c r="U1" s="178"/>
    </row>
    <row r="2" spans="1:41" ht="20" customHeight="1" x14ac:dyDescent="0.2">
      <c r="A2" s="64"/>
      <c r="B2" s="48" t="s">
        <v>15</v>
      </c>
      <c r="C2" s="66" t="s">
        <v>16</v>
      </c>
      <c r="D2" s="66" t="s">
        <v>17</v>
      </c>
      <c r="E2" s="66" t="s">
        <v>18</v>
      </c>
      <c r="F2" s="66" t="s">
        <v>19</v>
      </c>
      <c r="G2" s="66" t="s">
        <v>20</v>
      </c>
      <c r="H2" s="66" t="s">
        <v>21</v>
      </c>
      <c r="I2" s="66" t="s">
        <v>22</v>
      </c>
      <c r="J2" s="66" t="s">
        <v>23</v>
      </c>
      <c r="K2" s="66" t="s">
        <v>24</v>
      </c>
      <c r="L2" s="66" t="s">
        <v>64</v>
      </c>
      <c r="M2" s="59"/>
    </row>
    <row r="3" spans="1:41" ht="20" customHeight="1" x14ac:dyDescent="0.2">
      <c r="A3" s="43"/>
      <c r="B3" s="74">
        <v>292.7</v>
      </c>
      <c r="C3" s="186">
        <v>0.10521999999999999</v>
      </c>
      <c r="D3" s="180">
        <f>C3/2</f>
        <v>5.2609999999999997E-2</v>
      </c>
      <c r="E3" s="75">
        <v>1.353</v>
      </c>
      <c r="F3" s="88">
        <v>0.99395</v>
      </c>
      <c r="G3" s="77">
        <f>Costanti!$C$10*E3/Costanti!$C$4</f>
        <v>1.0200856340183461E-3</v>
      </c>
      <c r="H3" s="78">
        <f>G3*F3</f>
        <v>1.0139141159325351E-3</v>
      </c>
      <c r="I3" s="77">
        <f>2*B3/((D3*H3)^2)</f>
        <v>205737650353.69852</v>
      </c>
      <c r="J3" s="76">
        <f>Costanti!$R$5</f>
        <v>1.5E-3</v>
      </c>
      <c r="K3" s="79">
        <f>SQRT(((-Costanti!$C$10*E3*(1/(Costanti!$C$4^2)))^2)*(Costanti!$E$4^2)+((Costanti!$C$10/Costanti!$C$4)^2)*(Costanti!$C$9^2))</f>
        <v>2.7376308751902018E-6</v>
      </c>
      <c r="L3" s="77">
        <f xml:space="preserve"> I3 * Costanti!$C$8 /B3</f>
        <v>70289596.977689967</v>
      </c>
      <c r="M3" s="59"/>
      <c r="T3" s="20" t="s">
        <v>32</v>
      </c>
      <c r="U3" s="20" t="s">
        <v>33</v>
      </c>
      <c r="V3" s="20" t="s">
        <v>34</v>
      </c>
      <c r="X3" s="20" t="s">
        <v>35</v>
      </c>
      <c r="Y3" s="20" t="s">
        <v>36</v>
      </c>
      <c r="Z3" s="20" t="s">
        <v>37</v>
      </c>
      <c r="AA3" s="20" t="s">
        <v>38</v>
      </c>
      <c r="AB3" s="20" t="s">
        <v>39</v>
      </c>
    </row>
    <row r="4" spans="1:41" ht="20" customHeight="1" x14ac:dyDescent="0.2">
      <c r="A4" s="43"/>
      <c r="B4" s="81">
        <v>267.60000000000002</v>
      </c>
      <c r="C4" s="187">
        <v>0.10426000000000001</v>
      </c>
      <c r="D4" s="180">
        <f t="shared" ref="D4:D15" si="0">C4/2</f>
        <v>5.2130000000000003E-2</v>
      </c>
      <c r="E4" s="82">
        <v>1.3149999999999999</v>
      </c>
      <c r="F4" s="89">
        <v>0.99395</v>
      </c>
      <c r="G4" s="84">
        <f>Costanti!$C$10*E4/Costanti!$C$4</f>
        <v>9.9143577881310053E-4</v>
      </c>
      <c r="H4" s="85">
        <f t="shared" ref="H4:H15" si="1">G4*F4</f>
        <v>9.8543759235128134E-4</v>
      </c>
      <c r="I4" s="84">
        <f t="shared" ref="I4:I15" si="2">2*B4/((D4*H4)^2)</f>
        <v>202806749104.84564</v>
      </c>
      <c r="J4" s="83">
        <f>Costanti!$R$5</f>
        <v>1.5E-3</v>
      </c>
      <c r="K4" s="86">
        <f>SQRT(((-Costanti!$C$10*E4*(1/(Costanti!$C$4^2)))^2)*(Costanti!$E$4^2)+((Costanti!$C$10/Costanti!$C$4)^2)*(Costanti!$C$9^2))</f>
        <v>2.6666518072012131E-6</v>
      </c>
      <c r="L4" s="84">
        <f xml:space="preserve"> I4 * Costanti!$C$8 /B4</f>
        <v>75787275.450241268</v>
      </c>
      <c r="M4" s="59"/>
      <c r="T4" s="36">
        <f t="shared" ref="T4:T16" si="3">2*B3</f>
        <v>585.4</v>
      </c>
      <c r="U4" s="37">
        <f t="shared" ref="U4:U16" si="4">(D3^2)*(H3^2)</f>
        <v>2.8453712725580198E-9</v>
      </c>
      <c r="V4" s="35">
        <f>SQRT(((2*D3*(H3^2))^2)*((Costanti!$R$5)^2)+((2*H3*((D3)^2))^2)*(K3)^2)</f>
        <v>1.6297861319375613E-10</v>
      </c>
      <c r="X4" s="35">
        <f>1/(V4^2)</f>
        <v>3.7647727293301236E+19</v>
      </c>
      <c r="Y4" s="35">
        <f>T4*X4</f>
        <v>2.2038979557498542E+22</v>
      </c>
      <c r="Z4" s="37">
        <f>U4*X4</f>
        <v>107121761717.45782</v>
      </c>
      <c r="AA4" s="35">
        <f>(T4^2)*X4</f>
        <v>1.2901618632959646E+25</v>
      </c>
      <c r="AB4" s="37">
        <f>T4*U4*X4</f>
        <v>62709079309399.812</v>
      </c>
      <c r="AD4" s="20" t="s">
        <v>40</v>
      </c>
      <c r="AE4" s="35">
        <f>(AA17*X17)-(Y17^2)</f>
        <v>1.5690122686811736E+45</v>
      </c>
      <c r="AK4" s="14"/>
      <c r="AL4" s="14"/>
      <c r="AM4" s="14"/>
      <c r="AN4" s="14"/>
    </row>
    <row r="5" spans="1:41" ht="20" customHeight="1" x14ac:dyDescent="0.2">
      <c r="A5" s="43"/>
      <c r="B5" s="74">
        <v>254.1</v>
      </c>
      <c r="C5" s="186">
        <v>0.10410999999999999</v>
      </c>
      <c r="D5" s="180">
        <f t="shared" si="0"/>
        <v>5.2054999999999997E-2</v>
      </c>
      <c r="E5" s="75">
        <v>1.2889999999999999</v>
      </c>
      <c r="F5" s="88">
        <v>0.99395</v>
      </c>
      <c r="G5" s="77">
        <f>Costanti!$C$10*E5/Costanti!$C$4</f>
        <v>9.7183324630424844E-4</v>
      </c>
      <c r="H5" s="78">
        <f t="shared" si="1"/>
        <v>9.6595365516410773E-4</v>
      </c>
      <c r="I5" s="77">
        <f t="shared" si="2"/>
        <v>201000518950.08539</v>
      </c>
      <c r="J5" s="76">
        <f>Costanti!$R$5</f>
        <v>1.5E-3</v>
      </c>
      <c r="K5" s="79">
        <f>SQRT(((-Costanti!$C$10*E5*(1/(Costanti!$C$4^2)))^2)*(Costanti!$E$4^2)+((Costanti!$C$10/Costanti!$C$4)^2)*(Costanti!$C$9^2))</f>
        <v>2.6181808027142709E-6</v>
      </c>
      <c r="L5" s="77">
        <f xml:space="preserve"> I5 * Costanti!$C$8 /B5</f>
        <v>79102919.697003305</v>
      </c>
      <c r="M5" s="59"/>
      <c r="N5" s="14"/>
      <c r="T5" s="36">
        <f t="shared" si="3"/>
        <v>535.20000000000005</v>
      </c>
      <c r="U5" s="37">
        <f t="shared" si="4"/>
        <v>2.6389654306983445E-9</v>
      </c>
      <c r="V5" s="35">
        <f>SQRT(((2*D4*(H4^2))^2)*((Costanti!$R$5)^2)+((2*H4*((D4)^2))^2)*(K4)^2)</f>
        <v>1.5253844685470124E-10</v>
      </c>
      <c r="X5" s="35">
        <f t="shared" ref="X5:X10" si="5">1/(V5^2)</f>
        <v>4.2977520862985593E+19</v>
      </c>
      <c r="Y5" s="35">
        <f t="shared" ref="Y5:Y10" si="6">T5*X5</f>
        <v>2.3001569165869893E+22</v>
      </c>
      <c r="Z5" s="35">
        <f t="shared" ref="Z5:Z10" si="7">U5*X5</f>
        <v>113416191854.53586</v>
      </c>
      <c r="AA5" s="35">
        <f t="shared" ref="AA5:AA10" si="8">(T5^2)*X5</f>
        <v>1.2310439817573567E+25</v>
      </c>
      <c r="AB5" s="35">
        <f t="shared" ref="AB5:AB10" si="9">T5*U5*X5</f>
        <v>60700345880547.602</v>
      </c>
      <c r="AD5" s="20" t="s">
        <v>47</v>
      </c>
      <c r="AE5" s="35">
        <f>((X17*AB17)-(Y17*Z17))/AE4</f>
        <v>5.4324552047128063E-12</v>
      </c>
      <c r="AK5" s="14"/>
      <c r="AL5" s="14"/>
      <c r="AM5" s="14"/>
      <c r="AN5" s="14"/>
    </row>
    <row r="6" spans="1:41" ht="20" customHeight="1" x14ac:dyDescent="0.2">
      <c r="A6" s="43"/>
      <c r="B6" s="81">
        <v>238.7</v>
      </c>
      <c r="C6" s="187">
        <v>0.10126</v>
      </c>
      <c r="D6" s="180">
        <f t="shared" si="0"/>
        <v>5.0630000000000001E-2</v>
      </c>
      <c r="E6" s="82">
        <v>1.319</v>
      </c>
      <c r="F6" s="89">
        <v>0.99485999999999997</v>
      </c>
      <c r="G6" s="84">
        <f>Costanti!$C$10*E6/Costanti!$C$4</f>
        <v>9.9445155304523172E-4</v>
      </c>
      <c r="H6" s="85">
        <f t="shared" si="1"/>
        <v>9.8934007206257922E-4</v>
      </c>
      <c r="I6" s="84">
        <f t="shared" si="2"/>
        <v>190272208833.51492</v>
      </c>
      <c r="J6" s="83">
        <f>Costanti!$R$5</f>
        <v>1.5E-3</v>
      </c>
      <c r="K6" s="86">
        <f>SQRT(((-Costanti!$C$10*E6*(1/(Costanti!$C$4^2)))^2)*(Costanti!$E$4^2)+((Costanti!$C$10/Costanti!$C$4)^2)*(Costanti!$C$9^2))</f>
        <v>2.6741157965243351E-6</v>
      </c>
      <c r="L6" s="84">
        <f xml:space="preserve"> I6 * Costanti!$C$8 /B6</f>
        <v>79711859.586725995</v>
      </c>
      <c r="M6" s="59"/>
      <c r="N6" s="14"/>
      <c r="T6" s="36">
        <f t="shared" si="3"/>
        <v>508.2</v>
      </c>
      <c r="U6" s="37">
        <f t="shared" si="4"/>
        <v>2.5283516811526331E-9</v>
      </c>
      <c r="V6" s="35">
        <f>SQRT(((2*D5*(H5^2))^2)*((Costanti!$R$5)^2)+((2*H5*((D5)^2))^2)*(K5)^2)</f>
        <v>1.4635551230372347E-10</v>
      </c>
      <c r="X6" s="35">
        <f t="shared" si="5"/>
        <v>4.6685480332668977E+19</v>
      </c>
      <c r="Y6" s="35">
        <f t="shared" si="6"/>
        <v>2.3725561105062373E+22</v>
      </c>
      <c r="Z6" s="35">
        <f t="shared" si="7"/>
        <v>118037312684.52179</v>
      </c>
      <c r="AA6" s="35">
        <f t="shared" si="8"/>
        <v>1.2057330153592697E+25</v>
      </c>
      <c r="AB6" s="35">
        <f t="shared" si="9"/>
        <v>59986562306273.977</v>
      </c>
      <c r="AD6" s="20" t="s">
        <v>48</v>
      </c>
      <c r="AE6" s="35">
        <f>((Z17*AA17)-(Y17*AB17))/AE4</f>
        <v>-2.0579466370432225E-10</v>
      </c>
      <c r="AK6" s="14"/>
      <c r="AL6" s="14"/>
      <c r="AM6" s="14"/>
      <c r="AN6" s="14"/>
    </row>
    <row r="7" spans="1:41" ht="20" customHeight="1" x14ac:dyDescent="0.2">
      <c r="A7" s="43"/>
      <c r="B7" s="74">
        <v>227.1</v>
      </c>
      <c r="C7" s="186">
        <v>9.8919999999999994E-2</v>
      </c>
      <c r="D7" s="180">
        <f t="shared" si="0"/>
        <v>4.9459999999999997E-2</v>
      </c>
      <c r="E7" s="75">
        <v>1.288</v>
      </c>
      <c r="F7" s="88">
        <v>0.99485999999999997</v>
      </c>
      <c r="G7" s="77">
        <f>Costanti!$C$10*E7/Costanti!$C$4</f>
        <v>9.7107930274621581E-4</v>
      </c>
      <c r="H7" s="78">
        <f t="shared" si="1"/>
        <v>9.6608795513010025E-4</v>
      </c>
      <c r="I7" s="77">
        <f t="shared" si="2"/>
        <v>198932422291.56778</v>
      </c>
      <c r="J7" s="76">
        <f>Costanti!$R$5</f>
        <v>1.5E-3</v>
      </c>
      <c r="K7" s="79">
        <f>SQRT(((-Costanti!$C$10*E7*(1/(Costanti!$C$4^2)))^2)*(Costanti!$E$4^2)+((Costanti!$C$10/Costanti!$C$4)^2)*(Costanti!$C$9^2))</f>
        <v>2.6163181227988801E-6</v>
      </c>
      <c r="L7" s="77">
        <f xml:space="preserve"> I7 * Costanti!$C$8 /B7</f>
        <v>87596839.406238571</v>
      </c>
      <c r="M7" s="59"/>
      <c r="N7" s="14"/>
      <c r="T7" s="36">
        <f t="shared" si="3"/>
        <v>477.4</v>
      </c>
      <c r="U7" s="37">
        <f t="shared" si="4"/>
        <v>2.5090369367484306E-9</v>
      </c>
      <c r="V7" s="35">
        <f>SQRT(((2*D6*(H6^2))^2)*((Costanti!$R$5)^2)+((2*H6*((D6)^2))^2)*(K6)^2)</f>
        <v>1.492864231065771E-10</v>
      </c>
      <c r="X7" s="35">
        <f t="shared" si="5"/>
        <v>4.4870341513468281E+19</v>
      </c>
      <c r="Y7" s="35">
        <f t="shared" si="6"/>
        <v>2.1421101038529755E+22</v>
      </c>
      <c r="Z7" s="35">
        <f t="shared" si="7"/>
        <v>112581344221.8084</v>
      </c>
      <c r="AA7" s="35">
        <f t="shared" si="8"/>
        <v>1.0226433635794104E+25</v>
      </c>
      <c r="AB7" s="35">
        <f t="shared" si="9"/>
        <v>53746333731491.328</v>
      </c>
      <c r="AD7" s="20" t="s">
        <v>43</v>
      </c>
      <c r="AE7" s="35">
        <f>SQRT(X17/AE4)</f>
        <v>6.7655569533237666E-13</v>
      </c>
      <c r="AK7" s="14"/>
      <c r="AL7" s="14"/>
      <c r="AM7" s="14"/>
      <c r="AN7" s="14"/>
    </row>
    <row r="8" spans="1:41" ht="20" customHeight="1" x14ac:dyDescent="0.2">
      <c r="A8" s="43"/>
      <c r="B8" s="81">
        <v>214.3</v>
      </c>
      <c r="C8" s="187">
        <v>9.9640000000000006E-2</v>
      </c>
      <c r="D8" s="180">
        <f t="shared" si="0"/>
        <v>4.9820000000000003E-2</v>
      </c>
      <c r="E8" s="82">
        <v>1.258</v>
      </c>
      <c r="F8" s="89">
        <v>0.99485999999999997</v>
      </c>
      <c r="G8" s="84">
        <f>Costanti!$C$10*E8/Costanti!$C$4</f>
        <v>9.4846099600523232E-4</v>
      </c>
      <c r="H8" s="85">
        <f t="shared" si="1"/>
        <v>9.435859064857654E-4</v>
      </c>
      <c r="I8" s="84">
        <f t="shared" si="2"/>
        <v>193946447525.20197</v>
      </c>
      <c r="J8" s="83">
        <f>Costanti!$R$5</f>
        <v>1.5E-3</v>
      </c>
      <c r="K8" s="86">
        <f>SQRT(((-Costanti!$C$10*E8*(1/(Costanti!$C$4^2)))^2)*(Costanti!$E$4^2)+((Costanti!$C$10/Costanti!$C$4)^2)*(Costanti!$C$9^2))</f>
        <v>2.5604947444319994E-6</v>
      </c>
      <c r="L8" s="84">
        <f xml:space="preserve"> I8 * Costanti!$C$8 /B8</f>
        <v>90502308.691181511</v>
      </c>
      <c r="M8" s="59"/>
      <c r="N8" s="14"/>
      <c r="T8" s="36">
        <f t="shared" si="3"/>
        <v>454.2</v>
      </c>
      <c r="U8" s="37">
        <f t="shared" si="4"/>
        <v>2.2831873998613263E-9</v>
      </c>
      <c r="V8" s="35">
        <f>SQRT(((2*D7*(H7^2))^2)*((Costanti!$R$5)^2)+((2*H7*((D7)^2))^2)*(K7)^2)</f>
        <v>1.3903794998388739E-10</v>
      </c>
      <c r="X8" s="35">
        <f t="shared" si="5"/>
        <v>5.1728905367587365E+19</v>
      </c>
      <c r="Y8" s="35">
        <f t="shared" si="6"/>
        <v>2.3495268817958179E+22</v>
      </c>
      <c r="Z8" s="35">
        <f t="shared" si="7"/>
        <v>118106784943.89441</v>
      </c>
      <c r="AA8" s="35">
        <f t="shared" si="8"/>
        <v>1.0671551097116606E+25</v>
      </c>
      <c r="AB8" s="35">
        <f t="shared" si="9"/>
        <v>53644101721516.828</v>
      </c>
      <c r="AD8" s="20" t="s">
        <v>44</v>
      </c>
      <c r="AE8" s="35">
        <f>SQRT(AA17/AE4)</f>
        <v>3.1383535786363436E-10</v>
      </c>
      <c r="AK8" s="14"/>
      <c r="AL8" s="14"/>
      <c r="AM8" s="14"/>
      <c r="AN8" s="14"/>
    </row>
    <row r="9" spans="1:41" ht="20" customHeight="1" x14ac:dyDescent="0.2">
      <c r="A9" s="43"/>
      <c r="B9" s="74">
        <v>204.2</v>
      </c>
      <c r="C9" s="186">
        <v>0.10791000000000001</v>
      </c>
      <c r="D9" s="180">
        <f t="shared" si="0"/>
        <v>5.3955000000000003E-2</v>
      </c>
      <c r="E9" s="75">
        <v>1.08</v>
      </c>
      <c r="F9" s="88">
        <v>0.99290999999999996</v>
      </c>
      <c r="G9" s="77">
        <f>Costanti!$C$10*E9/Costanti!$C$4</f>
        <v>8.1425904267539827E-4</v>
      </c>
      <c r="H9" s="78">
        <f t="shared" si="1"/>
        <v>8.084859460628297E-4</v>
      </c>
      <c r="I9" s="77">
        <f t="shared" si="2"/>
        <v>214623557749.66556</v>
      </c>
      <c r="J9" s="76">
        <f>Costanti!$R$5</f>
        <v>1.5E-3</v>
      </c>
      <c r="K9" s="79">
        <f>SQRT(((-Costanti!$C$10*E9*(1/(Costanti!$C$4^2)))^2)*(Costanti!$E$4^2)+((Costanti!$C$10/Costanti!$C$4)^2)*(Costanti!$C$9^2))</f>
        <v>2.2319404172047365E-6</v>
      </c>
      <c r="L9" s="77">
        <f xml:space="preserve"> I9 * Costanti!$C$8 /B9</f>
        <v>105104582.63940528</v>
      </c>
      <c r="M9" s="59"/>
      <c r="N9" s="14"/>
      <c r="T9" s="36">
        <f t="shared" si="3"/>
        <v>428.6</v>
      </c>
      <c r="U9" s="37">
        <f t="shared" si="4"/>
        <v>2.209888376245234E-9</v>
      </c>
      <c r="V9" s="35">
        <f>SQRT(((2*D8*(H8^2))^2)*((Costanti!$R$5)^2)+((2*H8*((D8)^2))^2)*(K8)^2)</f>
        <v>1.3361173512512716E-10</v>
      </c>
      <c r="X9" s="38">
        <f t="shared" si="5"/>
        <v>5.6015832161529389E+19</v>
      </c>
      <c r="Y9" s="38">
        <f t="shared" si="6"/>
        <v>2.4008385664431497E+22</v>
      </c>
      <c r="Z9" s="38">
        <f t="shared" si="7"/>
        <v>123788736379.46774</v>
      </c>
      <c r="AA9" s="38">
        <f t="shared" si="8"/>
        <v>1.0289994095775339E+25</v>
      </c>
      <c r="AB9" s="38">
        <f t="shared" si="9"/>
        <v>53055852412239.875</v>
      </c>
      <c r="AK9" s="14"/>
      <c r="AL9" s="14"/>
      <c r="AM9" s="14"/>
      <c r="AN9" s="14"/>
    </row>
    <row r="10" spans="1:41" ht="20" customHeight="1" x14ac:dyDescent="0.2">
      <c r="A10" s="43"/>
      <c r="B10" s="81">
        <v>187.1</v>
      </c>
      <c r="C10" s="187">
        <v>0.10298</v>
      </c>
      <c r="D10" s="180">
        <f t="shared" si="0"/>
        <v>5.1490000000000001E-2</v>
      </c>
      <c r="E10" s="82">
        <v>1.0940000000000001</v>
      </c>
      <c r="F10" s="89">
        <v>0.99395</v>
      </c>
      <c r="G10" s="84">
        <f>Costanti!$C$10*E10/Costanti!$C$4</f>
        <v>8.2481425248785711E-4</v>
      </c>
      <c r="H10" s="85">
        <f t="shared" si="1"/>
        <v>8.1982412626030563E-4</v>
      </c>
      <c r="I10" s="84">
        <f t="shared" si="2"/>
        <v>209998701738.92068</v>
      </c>
      <c r="J10" s="83">
        <f>Costanti!$R$5</f>
        <v>1.5E-3</v>
      </c>
      <c r="K10" s="86">
        <f>SQRT(((-Costanti!$C$10*E10*(1/(Costanti!$C$4^2)))^2)*(Costanti!$E$4^2)+((Costanti!$C$10/Costanti!$C$4)^2)*(Costanti!$C$9^2))</f>
        <v>2.2575903100598323E-6</v>
      </c>
      <c r="L10" s="84">
        <f xml:space="preserve"> I10 * Costanti!$C$8 /B10</f>
        <v>112238750.26131518</v>
      </c>
      <c r="M10" s="59"/>
      <c r="N10" s="14"/>
      <c r="T10" s="36">
        <f t="shared" si="3"/>
        <v>408.4</v>
      </c>
      <c r="U10" s="37">
        <f t="shared" si="4"/>
        <v>1.9028666017937931E-9</v>
      </c>
      <c r="V10" s="35">
        <f>SQRT(((2*D9*(H9^2))^2)*((Costanti!$R$5)^2)+((2*H9*((D9)^2))^2)*(K9)^2)</f>
        <v>1.0632333851780095E-10</v>
      </c>
      <c r="X10" s="105">
        <f t="shared" si="5"/>
        <v>8.8459155776027722E+19</v>
      </c>
      <c r="Y10" s="105">
        <f t="shared" si="6"/>
        <v>3.6126719218929721E+22</v>
      </c>
      <c r="Z10" s="105">
        <f t="shared" si="7"/>
        <v>168325973149.07767</v>
      </c>
      <c r="AA10" s="105">
        <f t="shared" si="8"/>
        <v>1.4754152129010895E+25</v>
      </c>
      <c r="AB10" s="105">
        <f t="shared" si="9"/>
        <v>68744327434083.312</v>
      </c>
      <c r="AD10" s="20" t="s">
        <v>45</v>
      </c>
      <c r="AE10" s="106">
        <f>AE5</f>
        <v>5.4324552047128063E-12</v>
      </c>
      <c r="AF10" s="106" t="s">
        <v>0</v>
      </c>
      <c r="AG10" s="35">
        <f>AE7</f>
        <v>6.7655569533237666E-13</v>
      </c>
      <c r="AK10" s="14"/>
      <c r="AL10" s="14"/>
      <c r="AM10" s="14"/>
      <c r="AN10" s="14"/>
    </row>
    <row r="11" spans="1:41" ht="20" customHeight="1" x14ac:dyDescent="0.2">
      <c r="A11" s="43"/>
      <c r="B11" s="74">
        <v>265.7</v>
      </c>
      <c r="C11" s="186">
        <v>0.10714</v>
      </c>
      <c r="D11" s="180">
        <f t="shared" si="0"/>
        <v>5.357E-2</v>
      </c>
      <c r="E11" s="75">
        <v>1.2889999999999999</v>
      </c>
      <c r="F11" s="88">
        <v>0.99290999999999996</v>
      </c>
      <c r="G11" s="77">
        <f>Costanti!$C$10*E11/Costanti!$C$4</f>
        <v>9.7183324630424844E-4</v>
      </c>
      <c r="H11" s="78">
        <f t="shared" si="1"/>
        <v>9.6494294858795124E-4</v>
      </c>
      <c r="I11" s="77">
        <f>2*B11/((D11*H11)^2)</f>
        <v>198872614690.52032</v>
      </c>
      <c r="J11" s="76">
        <f>Costanti!$R$5</f>
        <v>1.5E-3</v>
      </c>
      <c r="K11" s="79">
        <f>SQRT(((-Costanti!$C$10*E11*(1/(Costanti!$C$4^2)))^2)*(Costanti!$E$4^2)+((Costanti!$C$10/Costanti!$C$4)^2)*(Costanti!$C$9^2))</f>
        <v>2.6181808027142709E-6</v>
      </c>
      <c r="L11" s="77">
        <f xml:space="preserve"> I11 * Costanti!$C$8 /B11</f>
        <v>74848556.526353151</v>
      </c>
      <c r="M11" s="59"/>
      <c r="N11" s="14"/>
      <c r="T11" s="36">
        <f t="shared" si="3"/>
        <v>374.2</v>
      </c>
      <c r="U11" s="37">
        <f t="shared" si="4"/>
        <v>1.781915778056673E-9</v>
      </c>
      <c r="V11" s="35">
        <f>SQRT(((2*D10*(H10^2))^2)*((Costanti!$R$5)^2)+((2*H10*((D10)^2))^2)*(K10)^2)</f>
        <v>1.0428388645092988E-10</v>
      </c>
      <c r="X11" s="105">
        <f t="shared" ref="X11:X16" si="10">1/(V11^2)</f>
        <v>9.1952932462151352E+19</v>
      </c>
      <c r="Y11" s="105">
        <f t="shared" ref="Y11:Y16" si="11">T11*X11</f>
        <v>3.4408787327337034E+22</v>
      </c>
      <c r="Z11" s="105">
        <f t="shared" ref="Z11:Z16" si="12">U11*X11</f>
        <v>163852381192.88712</v>
      </c>
      <c r="AA11" s="105">
        <f t="shared" ref="AA11:AA16" si="13">(T11^2)*X11</f>
        <v>1.2875768217889516E+25</v>
      </c>
      <c r="AB11" s="105">
        <f t="shared" ref="AB11:AB16" si="14">T11*U11*X11</f>
        <v>61313561042378.359</v>
      </c>
      <c r="AD11" s="20" t="s">
        <v>22</v>
      </c>
      <c r="AE11" s="108">
        <f>1/AE10</f>
        <v>184078830347.73523</v>
      </c>
      <c r="AF11" s="108" t="s">
        <v>0</v>
      </c>
      <c r="AG11" s="108">
        <f>(AE11^2)*AG10</f>
        <v>22925100413.868309</v>
      </c>
      <c r="AH11" s="109"/>
      <c r="AK11" s="14"/>
      <c r="AL11" s="14"/>
      <c r="AM11" s="14"/>
      <c r="AN11" s="14"/>
      <c r="AO11" s="14"/>
    </row>
    <row r="12" spans="1:41" ht="20" customHeight="1" x14ac:dyDescent="0.2">
      <c r="A12" s="43"/>
      <c r="B12" s="81">
        <v>243</v>
      </c>
      <c r="C12" s="187">
        <v>0.10477</v>
      </c>
      <c r="D12" s="180">
        <f t="shared" si="0"/>
        <v>5.2385000000000001E-2</v>
      </c>
      <c r="E12" s="82">
        <v>1.2829999999999999</v>
      </c>
      <c r="F12" s="89">
        <v>0.99395</v>
      </c>
      <c r="G12" s="84">
        <f>Costanti!$C$10*E12/Costanti!$C$4</f>
        <v>9.6730958495605177E-4</v>
      </c>
      <c r="H12" s="85">
        <f t="shared" si="1"/>
        <v>9.6145736196706763E-4</v>
      </c>
      <c r="I12" s="84">
        <f t="shared" si="2"/>
        <v>191585357771.94763</v>
      </c>
      <c r="J12" s="83">
        <f>Costanti!$R$5</f>
        <v>1.5E-3</v>
      </c>
      <c r="K12" s="86">
        <f>SQRT(((-Costanti!$C$10*E12*(1/(Costanti!$C$4^2)))^2)*(Costanti!$E$4^2)+((Costanti!$C$10/Costanti!$C$4)^2)*(Costanti!$C$9^2))</f>
        <v>2.607006529712539E-6</v>
      </c>
      <c r="L12" s="84">
        <f xml:space="preserve"> I12 * Costanti!$C$8 /B12</f>
        <v>78841711.017262399</v>
      </c>
      <c r="M12" s="59"/>
      <c r="N12" s="14"/>
      <c r="T12" s="36">
        <f t="shared" si="3"/>
        <v>531.4</v>
      </c>
      <c r="U12" s="37">
        <f t="shared" si="4"/>
        <v>2.6720622184555123E-9</v>
      </c>
      <c r="V12" s="35">
        <f>SQRT(((2*D11*(H11^2))^2)*((Costanti!$R$5)^2)+((2*H11*((D11)^2))^2)*(K11)^2)</f>
        <v>1.5034037619140758E-10</v>
      </c>
      <c r="X12" s="105">
        <f t="shared" si="10"/>
        <v>4.42434245171712E+19</v>
      </c>
      <c r="Y12" s="105">
        <f t="shared" si="11"/>
        <v>2.3510955788424775E+22</v>
      </c>
      <c r="Z12" s="105">
        <f t="shared" si="12"/>
        <v>118221183067.42148</v>
      </c>
      <c r="AA12" s="105">
        <f t="shared" si="13"/>
        <v>1.2493721905968924E+25</v>
      </c>
      <c r="AB12" s="105">
        <f t="shared" si="14"/>
        <v>62822736682027.773</v>
      </c>
      <c r="AG12" s="110"/>
    </row>
    <row r="13" spans="1:41" ht="20" customHeight="1" x14ac:dyDescent="0.2">
      <c r="A13" s="43"/>
      <c r="B13" s="74">
        <v>228.7</v>
      </c>
      <c r="C13" s="186">
        <v>0.10736</v>
      </c>
      <c r="D13" s="180">
        <f t="shared" si="0"/>
        <v>5.3679999999999999E-2</v>
      </c>
      <c r="E13" s="75">
        <v>1.1859999999999999</v>
      </c>
      <c r="F13" s="88">
        <v>0.99395</v>
      </c>
      <c r="G13" s="77">
        <f>Costanti!$C$10*E13/Costanti!$C$4</f>
        <v>8.9417705982687242E-4</v>
      </c>
      <c r="H13" s="78">
        <f t="shared" si="1"/>
        <v>8.8876728861491988E-4</v>
      </c>
      <c r="I13" s="77">
        <f t="shared" si="2"/>
        <v>200953244362.73105</v>
      </c>
      <c r="J13" s="76">
        <f>Costanti!$R$5</f>
        <v>1.5E-3</v>
      </c>
      <c r="K13" s="79">
        <f>SQRT(((-Costanti!$C$10*E13*(1/(Costanti!$C$4^2)))^2)*(Costanti!$E$4^2)+((Costanti!$C$10/Costanti!$C$4)^2)*(Costanti!$C$9^2))</f>
        <v>2.4270044194645682E-6</v>
      </c>
      <c r="L13" s="77">
        <f xml:space="preserve"> I13 * Costanti!$C$8 /B13</f>
        <v>87867618.873078734</v>
      </c>
      <c r="M13" s="59"/>
      <c r="N13" s="14"/>
      <c r="T13" s="36">
        <f t="shared" si="3"/>
        <v>486</v>
      </c>
      <c r="U13" s="37">
        <f t="shared" si="4"/>
        <v>2.5367283056072945E-9</v>
      </c>
      <c r="V13" s="35">
        <f>SQRT(((2*D12*(H12^2))^2)*((Costanti!$R$5)^2)+((2*H12*((D12)^2))^2)*(K12)^2)</f>
        <v>1.4592401811399439E-10</v>
      </c>
      <c r="X13" s="105">
        <f t="shared" si="10"/>
        <v>4.696198446428559E+19</v>
      </c>
      <c r="Y13" s="105">
        <f t="shared" si="11"/>
        <v>2.2823524449642797E+22</v>
      </c>
      <c r="Z13" s="105">
        <f t="shared" si="12"/>
        <v>119129795278.04327</v>
      </c>
      <c r="AA13" s="105">
        <f t="shared" si="13"/>
        <v>1.1092232882526398E+25</v>
      </c>
      <c r="AB13" s="105">
        <f t="shared" si="14"/>
        <v>57897080505129.031</v>
      </c>
    </row>
    <row r="14" spans="1:41" ht="20" customHeight="1" x14ac:dyDescent="0.2">
      <c r="A14" s="43"/>
      <c r="B14" s="81">
        <v>228.7</v>
      </c>
      <c r="C14" s="187">
        <v>0.10274999999999999</v>
      </c>
      <c r="D14" s="180">
        <f t="shared" si="0"/>
        <v>5.1374999999999997E-2</v>
      </c>
      <c r="E14" s="82">
        <v>1.276</v>
      </c>
      <c r="F14" s="89">
        <v>0.99395</v>
      </c>
      <c r="G14" s="84">
        <f>Costanti!$C$10*E14/Costanti!$C$4</f>
        <v>9.6203198004982246E-4</v>
      </c>
      <c r="H14" s="85">
        <f t="shared" si="1"/>
        <v>9.5621168657052103E-4</v>
      </c>
      <c r="I14" s="84">
        <f t="shared" si="2"/>
        <v>189532807633.09964</v>
      </c>
      <c r="J14" s="83">
        <f>Costanti!$R$5</f>
        <v>1.5E-3</v>
      </c>
      <c r="K14" s="86">
        <f>SQRT(((-Costanti!$C$10*E14*(1/(Costanti!$C$4^2)))^2)*(Costanti!$E$4^2)+((Costanti!$C$10/Costanti!$C$4)^2)*(Costanti!$C$9^2))</f>
        <v>2.5939754047698511E-6</v>
      </c>
      <c r="L14" s="84">
        <f xml:space="preserve"> I14 * Costanti!$C$8 /B14</f>
        <v>82873986.721949995</v>
      </c>
      <c r="M14" s="59"/>
      <c r="N14" s="14"/>
      <c r="T14" s="36">
        <f t="shared" si="3"/>
        <v>457.4</v>
      </c>
      <c r="U14" s="37">
        <f t="shared" si="4"/>
        <v>2.2761513577475232E-9</v>
      </c>
      <c r="V14" s="35">
        <f>SQRT(((2*D13*(H13^2))^2)*((Costanti!$R$5)^2)+((2*H13*((D13)^2))^2)*(K13)^2)</f>
        <v>1.2781264481068099E-10</v>
      </c>
      <c r="X14" s="105">
        <f t="shared" si="10"/>
        <v>6.1214225144162705E+19</v>
      </c>
      <c r="Y14" s="105">
        <f t="shared" si="11"/>
        <v>2.7999386580940021E+22</v>
      </c>
      <c r="Z14" s="105">
        <f t="shared" si="12"/>
        <v>139332841675.34851</v>
      </c>
      <c r="AA14" s="105">
        <f t="shared" si="13"/>
        <v>1.2806919422121964E+25</v>
      </c>
      <c r="AB14" s="105">
        <f t="shared" si="14"/>
        <v>63730841782304.406</v>
      </c>
    </row>
    <row r="15" spans="1:41" ht="20" customHeight="1" x14ac:dyDescent="0.2">
      <c r="A15" s="43"/>
      <c r="B15" s="74">
        <v>228.7</v>
      </c>
      <c r="C15" s="186">
        <v>0.10253</v>
      </c>
      <c r="D15" s="180">
        <f t="shared" si="0"/>
        <v>5.1264999999999998E-2</v>
      </c>
      <c r="E15" s="75">
        <v>1.244</v>
      </c>
      <c r="F15" s="88">
        <v>0.99395</v>
      </c>
      <c r="G15" s="77">
        <f>Costanti!$C$10*E15/Costanti!$C$4</f>
        <v>9.3790578619277348E-4</v>
      </c>
      <c r="H15" s="78">
        <f>G15*F15</f>
        <v>9.3223145618630721E-4</v>
      </c>
      <c r="I15" s="77">
        <f t="shared" si="2"/>
        <v>200265772619.62704</v>
      </c>
      <c r="J15" s="76">
        <f>Costanti!$R$5</f>
        <v>1.5E-3</v>
      </c>
      <c r="K15" s="79">
        <f>SQRT(((-Costanti!$C$10*E15*(1/(Costanti!$C$4^2)))^2)*(Costanti!$E$4^2)+((Costanti!$C$10/Costanti!$C$4)^2)*(Costanti!$C$9^2))</f>
        <v>2.5344828495214974E-6</v>
      </c>
      <c r="L15" s="77">
        <f xml:space="preserve"> I15 * Costanti!$C$8 /B15</f>
        <v>87567019.072858348</v>
      </c>
      <c r="M15" s="59"/>
      <c r="N15" s="14"/>
      <c r="T15" s="36">
        <f t="shared" si="3"/>
        <v>457.4</v>
      </c>
      <c r="U15" s="37">
        <f t="shared" si="4"/>
        <v>2.4133025079512442E-9</v>
      </c>
      <c r="V15" s="35">
        <f>SQRT(((2*D14*(H14^2))^2)*((Costanti!$R$5)^2)+((2*H14*((D14)^2))^2)*(K14)^2)</f>
        <v>1.4152973645479551E-10</v>
      </c>
      <c r="X15" s="105">
        <f t="shared" si="10"/>
        <v>4.9923451620372718E+19</v>
      </c>
      <c r="Y15" s="105">
        <f t="shared" si="11"/>
        <v>2.2834986771158479E+22</v>
      </c>
      <c r="Z15" s="105">
        <f t="shared" si="12"/>
        <v>120480391001.02809</v>
      </c>
      <c r="AA15" s="105">
        <f t="shared" si="13"/>
        <v>1.0444722949127888E+25</v>
      </c>
      <c r="AB15" s="105">
        <f t="shared" si="14"/>
        <v>55107730843870.242</v>
      </c>
    </row>
    <row r="16" spans="1:41" ht="20" customHeight="1" x14ac:dyDescent="0.2">
      <c r="A16" s="67" t="s">
        <v>29</v>
      </c>
      <c r="B16" s="68"/>
      <c r="C16" s="69"/>
      <c r="D16" s="69"/>
      <c r="E16" s="69"/>
      <c r="F16" s="69"/>
      <c r="G16" s="69"/>
      <c r="H16" s="70"/>
      <c r="I16" s="70">
        <f>AVERAGE(I3:I15)</f>
        <v>199886773355.80197</v>
      </c>
      <c r="J16" s="69"/>
      <c r="K16" s="71"/>
      <c r="L16" s="69"/>
      <c r="M16" s="59"/>
      <c r="N16" s="14"/>
      <c r="T16" s="36">
        <f t="shared" si="3"/>
        <v>457.4</v>
      </c>
      <c r="U16" s="37">
        <f t="shared" si="4"/>
        <v>2.2839649232959971E-9</v>
      </c>
      <c r="V16" s="35">
        <f>SQRT(((2*D15*(H15^2))^2)*((Costanti!$R$5)^2)+((2*H15*((D15)^2))^2)*(K15)^2)</f>
        <v>1.3423211494606999E-10</v>
      </c>
      <c r="X16" s="105">
        <f t="shared" si="10"/>
        <v>5.5499252541579534E+19</v>
      </c>
      <c r="Y16" s="105">
        <f t="shared" si="11"/>
        <v>2.5385358112518478E+22</v>
      </c>
      <c r="Z16" s="105">
        <f t="shared" si="12"/>
        <v>126758346074.11388</v>
      </c>
      <c r="AA16" s="105">
        <f t="shared" si="13"/>
        <v>1.1611262800665952E+25</v>
      </c>
      <c r="AB16" s="105">
        <f t="shared" si="14"/>
        <v>57979267494299.68</v>
      </c>
    </row>
    <row r="17" spans="1:41" ht="20" customHeight="1" x14ac:dyDescent="0.2">
      <c r="A17" s="150" t="s">
        <v>66</v>
      </c>
      <c r="B17" s="111"/>
      <c r="C17" s="112"/>
      <c r="D17" s="113"/>
      <c r="E17" s="114"/>
      <c r="F17" s="43"/>
      <c r="G17" s="59"/>
      <c r="H17" s="59"/>
      <c r="I17" s="59"/>
      <c r="J17" s="59"/>
      <c r="K17" s="59"/>
      <c r="L17" s="59"/>
      <c r="M17" s="59"/>
      <c r="N17" s="14"/>
      <c r="T17" s="41"/>
      <c r="W17" s="149" t="s">
        <v>46</v>
      </c>
      <c r="X17" s="107">
        <f>SUM(X4:X16)</f>
        <v>7.1818023405729179E+20</v>
      </c>
      <c r="Y17" s="107">
        <f>SUM(Y4:Y16)</f>
        <v>3.3078058359830151E+23</v>
      </c>
      <c r="Z17" s="152">
        <f>SUM(Z4:Z16)</f>
        <v>1649153043239.6057</v>
      </c>
      <c r="AA17" s="107">
        <f>SUM(AA4:AA16)</f>
        <v>1.545361477401235E+26</v>
      </c>
      <c r="AB17" s="152">
        <f>SUM(AB4:AB16)</f>
        <v>771437821145562.12</v>
      </c>
    </row>
    <row r="18" spans="1:41" ht="20" customHeight="1" x14ac:dyDescent="0.2">
      <c r="A18" s="115"/>
      <c r="B18" s="153"/>
      <c r="D18" s="116"/>
      <c r="F18" s="14"/>
      <c r="G18" s="14"/>
      <c r="H18" s="14"/>
      <c r="K18" s="14"/>
      <c r="L18" s="14"/>
      <c r="M18" s="14"/>
      <c r="N18" s="14"/>
      <c r="T18" s="41"/>
    </row>
    <row r="20" spans="1:41" ht="20" customHeight="1" x14ac:dyDescent="0.2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1"/>
      <c r="T20" s="179" t="s">
        <v>30</v>
      </c>
      <c r="U20" s="179"/>
    </row>
    <row r="21" spans="1:41" ht="20" customHeight="1" x14ac:dyDescent="0.2">
      <c r="A21" s="121"/>
      <c r="B21" s="122" t="s">
        <v>15</v>
      </c>
      <c r="C21" s="123" t="s">
        <v>16</v>
      </c>
      <c r="D21" s="123" t="s">
        <v>17</v>
      </c>
      <c r="E21" s="123" t="s">
        <v>18</v>
      </c>
      <c r="F21" s="123" t="s">
        <v>19</v>
      </c>
      <c r="G21" s="123" t="s">
        <v>20</v>
      </c>
      <c r="H21" s="123" t="s">
        <v>21</v>
      </c>
      <c r="I21" s="123" t="s">
        <v>22</v>
      </c>
      <c r="J21" s="123" t="s">
        <v>23</v>
      </c>
      <c r="K21" s="123" t="s">
        <v>24</v>
      </c>
      <c r="L21" s="123" t="s">
        <v>67</v>
      </c>
      <c r="M21" s="124"/>
      <c r="O21" s="146" t="s">
        <v>25</v>
      </c>
      <c r="P21" s="146" t="s">
        <v>26</v>
      </c>
      <c r="Q21" s="146" t="s">
        <v>27</v>
      </c>
      <c r="R21" s="146" t="s">
        <v>28</v>
      </c>
      <c r="AI21" s="14"/>
      <c r="AJ21" s="14"/>
      <c r="AK21" s="14"/>
      <c r="AL21" s="14"/>
    </row>
    <row r="22" spans="1:41" ht="20" customHeight="1" x14ac:dyDescent="0.2">
      <c r="A22" s="120"/>
      <c r="B22" s="125">
        <f t="shared" ref="B22:F34" si="15">B3</f>
        <v>292.7</v>
      </c>
      <c r="C22" s="126">
        <f t="shared" si="15"/>
        <v>0.10521999999999999</v>
      </c>
      <c r="D22" s="185">
        <f t="shared" si="15"/>
        <v>5.2609999999999997E-2</v>
      </c>
      <c r="E22" s="126">
        <f t="shared" si="15"/>
        <v>1.353</v>
      </c>
      <c r="F22" s="127">
        <f t="shared" si="15"/>
        <v>0.99395</v>
      </c>
      <c r="G22" s="77">
        <f>Costanti!$C$10*E22/Costanti!$C$4+'CM Terrestre'!$I$2</f>
        <v>1.0710727847684717E-3</v>
      </c>
      <c r="H22" s="129">
        <f>G22*F22</f>
        <v>1.0645927944206224E-3</v>
      </c>
      <c r="I22" s="128">
        <f>2*B22/((D22*H22)^2)</f>
        <v>186616083105.66095</v>
      </c>
      <c r="J22" s="130">
        <f t="shared" ref="H22:J34" si="16">J3</f>
        <v>1.5E-3</v>
      </c>
      <c r="K22" s="131">
        <f>SQRT(((-Costanti!$C$10*E3*(1/(Costanti!$C$4^2)))^2)*(Costanti!$E$4^2)+((Costanti!$C$10/Costanti!$C$4)^2)*(Costanti!$C$9^2 + 'CM Terrestre'!$K$2^2))</f>
        <v>2.737630893904787E-6</v>
      </c>
      <c r="L22" s="77">
        <f xml:space="preserve"> I22 * Costanti!$C$8 /B22</f>
        <v>63756775.915839076</v>
      </c>
      <c r="M22" s="124"/>
      <c r="O22" s="2">
        <f t="shared" ref="O22:O34" si="17" xml:space="preserve"> 1 /J22^ 2</f>
        <v>444444.44444444444</v>
      </c>
      <c r="P22" s="2">
        <f t="shared" ref="P22:P34" si="18" xml:space="preserve"> O22 *D22</f>
        <v>23382.222222222219</v>
      </c>
      <c r="Q22" s="145">
        <f t="shared" ref="Q22:Q34" si="19" xml:space="preserve"> 1 /K22^ 2</f>
        <v>133428994605.89711</v>
      </c>
      <c r="R22" s="14">
        <f t="shared" ref="R22:R34" si="20" xml:space="preserve"> Q22 *H22</f>
        <v>142047546.22422618</v>
      </c>
      <c r="T22" s="20" t="s">
        <v>32</v>
      </c>
      <c r="U22" s="20" t="s">
        <v>33</v>
      </c>
      <c r="V22" s="20" t="s">
        <v>34</v>
      </c>
      <c r="X22" s="20" t="s">
        <v>35</v>
      </c>
      <c r="Y22" s="20" t="s">
        <v>36</v>
      </c>
      <c r="Z22" s="20" t="s">
        <v>37</v>
      </c>
      <c r="AA22" s="20" t="s">
        <v>38</v>
      </c>
      <c r="AB22" s="20" t="s">
        <v>39</v>
      </c>
    </row>
    <row r="23" spans="1:41" ht="20" customHeight="1" x14ac:dyDescent="0.2">
      <c r="A23" s="120"/>
      <c r="B23" s="132">
        <f t="shared" si="15"/>
        <v>267.60000000000002</v>
      </c>
      <c r="C23" s="133">
        <f t="shared" si="15"/>
        <v>0.10426000000000001</v>
      </c>
      <c r="D23" s="185">
        <f t="shared" si="15"/>
        <v>5.2130000000000003E-2</v>
      </c>
      <c r="E23" s="133">
        <f t="shared" si="15"/>
        <v>1.3149999999999999</v>
      </c>
      <c r="F23" s="134">
        <f t="shared" si="15"/>
        <v>0.99395</v>
      </c>
      <c r="G23" s="135">
        <f>Costanti!$C$10*E23/Costanti!$C$4+'CM Terrestre'!$I$2</f>
        <v>1.0424229295632262E-3</v>
      </c>
      <c r="H23" s="136">
        <f t="shared" ref="H23:H34" si="21">G23*F23</f>
        <v>1.0361162708393686E-3</v>
      </c>
      <c r="I23" s="135">
        <f t="shared" ref="I23:I34" si="22">2*B23/((D23*H23)^2)</f>
        <v>183452513883.04907</v>
      </c>
      <c r="J23" s="137">
        <f t="shared" ref="J23:L23" si="23">J4</f>
        <v>1.5E-3</v>
      </c>
      <c r="K23" s="138">
        <f>SQRT(((-Costanti!$C$10*E4*(1/(Costanti!$C$4^2)))^2)*(Costanti!$E$4^2)+((Costanti!$C$10/Costanti!$C$4)^2)*(Costanti!$C$9^2 + 'CM Terrestre'!$K$2^2))</f>
        <v>2.6666518264139299E-6</v>
      </c>
      <c r="L23" s="84">
        <f xml:space="preserve"> I23 * Costanti!$C$8 /B23</f>
        <v>68554751.077372596</v>
      </c>
      <c r="M23" s="124"/>
      <c r="O23" s="2">
        <f t="shared" si="17"/>
        <v>444444.44444444444</v>
      </c>
      <c r="P23" s="2">
        <f t="shared" si="18"/>
        <v>23168.888888888891</v>
      </c>
      <c r="Q23" s="145">
        <f t="shared" si="19"/>
        <v>140626565195.97153</v>
      </c>
      <c r="R23" s="14">
        <f t="shared" si="20"/>
        <v>145705472.31179938</v>
      </c>
      <c r="T23" s="36">
        <f t="shared" ref="T23:T35" si="24">2*B22</f>
        <v>585.4</v>
      </c>
      <c r="U23" s="106">
        <f t="shared" ref="U23:U35" si="25">(D22^2)*(H22^2)</f>
        <v>3.1369214821026434E-9</v>
      </c>
      <c r="V23" s="106">
        <f>SQRT(((2*D22*(H22^2))^2)*((Costanti!$R$5)^2)+((2*H22*((D22)^2))^2)*(K22)^2)</f>
        <v>1.7960394179008234E-10</v>
      </c>
      <c r="X23" s="106">
        <f>1/(V23^2)</f>
        <v>3.1000469560931983E+19</v>
      </c>
      <c r="Y23" s="35">
        <f>T23*X23</f>
        <v>1.8147674880969582E+22</v>
      </c>
      <c r="Z23" s="35">
        <f>U23*X23</f>
        <v>97246038920.956635</v>
      </c>
      <c r="AA23" s="35">
        <f>(T23^2)*X23</f>
        <v>1.0623648875319593E+25</v>
      </c>
      <c r="AB23" s="35">
        <f>T23*U23*X23</f>
        <v>56927831184328.016</v>
      </c>
      <c r="AD23" s="20" t="s">
        <v>40</v>
      </c>
      <c r="AE23" s="106">
        <f>(AA36*X36)-(Y36^2)</f>
        <v>2.8922893327787995E+44</v>
      </c>
      <c r="AF23" s="14"/>
      <c r="AI23" s="14"/>
      <c r="AJ23" s="14"/>
      <c r="AK23" s="14"/>
      <c r="AL23" s="14"/>
      <c r="AM23" s="14"/>
      <c r="AN23" s="14"/>
    </row>
    <row r="24" spans="1:41" ht="20" customHeight="1" x14ac:dyDescent="0.2">
      <c r="A24" s="120"/>
      <c r="B24" s="125">
        <f t="shared" si="15"/>
        <v>254.1</v>
      </c>
      <c r="C24" s="126">
        <f t="shared" si="15"/>
        <v>0.10410999999999999</v>
      </c>
      <c r="D24" s="185">
        <f t="shared" si="15"/>
        <v>5.2054999999999997E-2</v>
      </c>
      <c r="E24" s="126">
        <f t="shared" si="15"/>
        <v>1.2889999999999999</v>
      </c>
      <c r="F24" s="127">
        <f t="shared" si="15"/>
        <v>0.99395</v>
      </c>
      <c r="G24" s="128">
        <f>Costanti!$C$10*E24/Costanti!$C$4+'CM Terrestre'!$I$2</f>
        <v>1.022820397054374E-3</v>
      </c>
      <c r="H24" s="129">
        <f t="shared" si="21"/>
        <v>1.016632333652195E-3</v>
      </c>
      <c r="I24" s="128">
        <f t="shared" si="22"/>
        <v>181460424592.88101</v>
      </c>
      <c r="J24" s="130">
        <f t="shared" ref="J24:L24" si="26">J5</f>
        <v>1.5E-3</v>
      </c>
      <c r="K24" s="131">
        <f>SQRT(((-Costanti!$C$10*E5*(1/(Costanti!$C$4^2)))^2)*(Costanti!$E$4^2)+((Costanti!$C$10/Costanti!$C$4)^2)*(Costanti!$C$9^2 + 'CM Terrestre'!$K$2^2))</f>
        <v>2.6181808222826772E-6</v>
      </c>
      <c r="L24" s="77">
        <f xml:space="preserve"> I24 * Costanti!$C$8 /B24</f>
        <v>71412996.691413224</v>
      </c>
      <c r="M24" s="124"/>
      <c r="O24" s="2">
        <f t="shared" si="17"/>
        <v>444444.44444444444</v>
      </c>
      <c r="P24" s="2">
        <f t="shared" si="18"/>
        <v>23135.555555555555</v>
      </c>
      <c r="Q24" s="145">
        <f t="shared" si="19"/>
        <v>145881669622.35172</v>
      </c>
      <c r="R24" s="14">
        <f t="shared" si="20"/>
        <v>148308022.22524995</v>
      </c>
      <c r="T24" s="36">
        <f t="shared" si="24"/>
        <v>535.20000000000005</v>
      </c>
      <c r="U24" s="106">
        <f t="shared" si="25"/>
        <v>2.9173762118146279E-9</v>
      </c>
      <c r="V24" s="106">
        <f>SQRT(((2*D23*(H23^2))^2)*((Costanti!$R$5)^2)+((2*H23*((D23)^2))^2)*(K23)^2)</f>
        <v>1.6856069257782422E-10</v>
      </c>
      <c r="X24" s="35">
        <f t="shared" ref="X24:X29" si="27">1/(V24^2)</f>
        <v>3.5195519986985181E+19</v>
      </c>
      <c r="Y24" s="35">
        <f t="shared" ref="Y24:Y29" si="28">T24*X24</f>
        <v>1.8836642297034471E+22</v>
      </c>
      <c r="Z24" s="35">
        <f t="shared" ref="Z24:Z29" si="29">U24*X24</f>
        <v>102678572772.47685</v>
      </c>
      <c r="AA24" s="35">
        <f t="shared" ref="AA24:AA29" si="30">(T24^2)*X24</f>
        <v>1.008137095737285E+25</v>
      </c>
      <c r="AB24" s="35">
        <f t="shared" ref="AB24:AB29" si="31">T24*U24*X24</f>
        <v>54953572147829.617</v>
      </c>
      <c r="AD24" s="20" t="s">
        <v>47</v>
      </c>
      <c r="AE24" s="106">
        <f>((X36*AB36)-(Y36*Z36))/AE23</f>
        <v>5.4009486486413045E-12</v>
      </c>
      <c r="AF24" s="14"/>
      <c r="AI24" s="14"/>
      <c r="AJ24" s="14"/>
      <c r="AK24" s="14"/>
      <c r="AL24" s="14"/>
      <c r="AM24" s="14"/>
      <c r="AN24" s="14"/>
    </row>
    <row r="25" spans="1:41" ht="20" customHeight="1" x14ac:dyDescent="0.2">
      <c r="A25" s="120"/>
      <c r="B25" s="132">
        <f t="shared" si="15"/>
        <v>238.7</v>
      </c>
      <c r="C25" s="133">
        <f t="shared" si="15"/>
        <v>0.10126</v>
      </c>
      <c r="D25" s="185">
        <f t="shared" si="15"/>
        <v>5.0630000000000001E-2</v>
      </c>
      <c r="E25" s="133">
        <f t="shared" si="15"/>
        <v>1.319</v>
      </c>
      <c r="F25" s="134">
        <f t="shared" si="15"/>
        <v>0.99485999999999997</v>
      </c>
      <c r="G25" s="135">
        <f>Costanti!$C$10*E25/Costanti!$C$4+'CM Terrestre'!$I$2</f>
        <v>1.0454387037953574E-3</v>
      </c>
      <c r="H25" s="136">
        <f t="shared" si="21"/>
        <v>1.0400651488578492E-3</v>
      </c>
      <c r="I25" s="135">
        <f t="shared" si="22"/>
        <v>172165239821.35596</v>
      </c>
      <c r="J25" s="137">
        <f t="shared" ref="J25:L25" si="32">J6</f>
        <v>1.5E-3</v>
      </c>
      <c r="K25" s="138">
        <f>SQRT(((-Costanti!$C$10*E6*(1/(Costanti!$C$4^2)))^2)*(Costanti!$E$4^2)+((Costanti!$C$10/Costanti!$C$4)^2)*(Costanti!$C$9^2 + 'CM Terrestre'!$K$2^2))</f>
        <v>2.6741158156834254E-6</v>
      </c>
      <c r="L25" s="84">
        <f xml:space="preserve"> I25 * Costanti!$C$8 /B25</f>
        <v>72126200.176521152</v>
      </c>
      <c r="M25" s="124"/>
      <c r="O25" s="2">
        <f t="shared" si="17"/>
        <v>444444.44444444444</v>
      </c>
      <c r="P25" s="2">
        <f t="shared" si="18"/>
        <v>22502.222222222223</v>
      </c>
      <c r="Q25" s="145">
        <f t="shared" si="19"/>
        <v>139842627344.67758</v>
      </c>
      <c r="R25" s="14">
        <f t="shared" si="20"/>
        <v>145445443.02591482</v>
      </c>
      <c r="T25" s="36">
        <f t="shared" si="24"/>
        <v>508.2</v>
      </c>
      <c r="U25" s="106">
        <f t="shared" si="25"/>
        <v>2.8006106628493886E-9</v>
      </c>
      <c r="V25" s="106">
        <f>SQRT(((2*D24*(H24^2))^2)*((Costanti!$R$5)^2)+((2*H24*((D24)^2))^2)*(K24)^2)</f>
        <v>1.6204630282649356E-10</v>
      </c>
      <c r="X25" s="35">
        <f t="shared" si="27"/>
        <v>3.8082175169656144E+19</v>
      </c>
      <c r="Y25" s="35">
        <f t="shared" si="28"/>
        <v>1.9353361421219251E+22</v>
      </c>
      <c r="Z25" s="35">
        <f t="shared" si="29"/>
        <v>106653345844.63722</v>
      </c>
      <c r="AA25" s="35">
        <f t="shared" si="30"/>
        <v>9.8353782742636237E+24</v>
      </c>
      <c r="AB25" s="35">
        <f t="shared" si="31"/>
        <v>54201230358244.633</v>
      </c>
      <c r="AD25" s="20" t="s">
        <v>48</v>
      </c>
      <c r="AE25" s="106">
        <f>((Z36*AA36)-(Y36*AB36))/AE23</f>
        <v>5.0369697093304664E-11</v>
      </c>
      <c r="AF25" s="14"/>
      <c r="AI25" s="14"/>
      <c r="AJ25" s="14"/>
      <c r="AK25" s="14"/>
      <c r="AL25" s="14"/>
      <c r="AM25" s="14"/>
      <c r="AN25" s="14"/>
    </row>
    <row r="26" spans="1:41" ht="20" customHeight="1" x14ac:dyDescent="0.2">
      <c r="A26" s="120"/>
      <c r="B26" s="125">
        <f t="shared" si="15"/>
        <v>227.1</v>
      </c>
      <c r="C26" s="126">
        <f t="shared" si="15"/>
        <v>9.8919999999999994E-2</v>
      </c>
      <c r="D26" s="185">
        <f t="shared" si="15"/>
        <v>4.9459999999999997E-2</v>
      </c>
      <c r="E26" s="126">
        <f t="shared" si="15"/>
        <v>1.288</v>
      </c>
      <c r="F26" s="127">
        <f t="shared" si="15"/>
        <v>0.99485999999999997</v>
      </c>
      <c r="G26" s="128">
        <f>Costanti!$C$10*E26/Costanti!$C$4+'CM Terrestre'!$I$2</f>
        <v>1.0220664534963415E-3</v>
      </c>
      <c r="H26" s="129">
        <f t="shared" si="21"/>
        <v>1.0168130319253702E-3</v>
      </c>
      <c r="I26" s="128">
        <f t="shared" si="22"/>
        <v>179579475364.92133</v>
      </c>
      <c r="J26" s="130">
        <f t="shared" ref="J26:L26" si="33">J7</f>
        <v>1.5E-3</v>
      </c>
      <c r="K26" s="131">
        <f>SQRT(((-Costanti!$C$10*E7*(1/(Costanti!$C$4^2)))^2)*(Costanti!$E$4^2)+((Costanti!$C$10/Costanti!$C$4)^2)*(Costanti!$C$9^2 + 'CM Terrestre'!$K$2^2))</f>
        <v>2.6163181423812184E-6</v>
      </c>
      <c r="L26" s="77">
        <f xml:space="preserve"> I26 * Costanti!$C$8 /B26</f>
        <v>79075066.210885659</v>
      </c>
      <c r="M26" s="124"/>
      <c r="O26" s="2">
        <f t="shared" si="17"/>
        <v>444444.44444444444</v>
      </c>
      <c r="P26" s="2">
        <f t="shared" si="18"/>
        <v>21982.222222222219</v>
      </c>
      <c r="Q26" s="145">
        <f t="shared" si="19"/>
        <v>146089463604.72656</v>
      </c>
      <c r="R26" s="14">
        <f t="shared" si="20"/>
        <v>148545670.42027304</v>
      </c>
      <c r="T26" s="36">
        <f t="shared" si="24"/>
        <v>477.4</v>
      </c>
      <c r="U26" s="106">
        <f t="shared" si="25"/>
        <v>2.7729174628709328E-9</v>
      </c>
      <c r="V26" s="106">
        <f>SQRT(((2*D25*(H25^2))^2)*((Costanti!$R$5)^2)+((2*H25*((D25)^2))^2)*(K25)^2)</f>
        <v>1.6492236490343537E-10</v>
      </c>
      <c r="X26" s="35">
        <f t="shared" si="27"/>
        <v>3.6765535208286212E+19</v>
      </c>
      <c r="Y26" s="35">
        <f t="shared" si="28"/>
        <v>1.7551866508435836E+22</v>
      </c>
      <c r="Z26" s="35">
        <f t="shared" si="29"/>
        <v>101947794610.85295</v>
      </c>
      <c r="AA26" s="35">
        <f t="shared" si="30"/>
        <v>8.3792610711272686E+24</v>
      </c>
      <c r="AB26" s="35">
        <f t="shared" si="31"/>
        <v>48669877147221.195</v>
      </c>
      <c r="AD26" s="20" t="s">
        <v>43</v>
      </c>
      <c r="AE26" s="35">
        <f>SQRT(X36/AE23)</f>
        <v>1.0153124795539189E-12</v>
      </c>
      <c r="AI26" s="14"/>
      <c r="AJ26" s="14"/>
      <c r="AK26" s="14"/>
      <c r="AL26" s="14"/>
      <c r="AM26" s="14"/>
      <c r="AN26" s="14"/>
    </row>
    <row r="27" spans="1:41" ht="20" customHeight="1" x14ac:dyDescent="0.2">
      <c r="A27" s="120"/>
      <c r="B27" s="132">
        <f t="shared" si="15"/>
        <v>214.3</v>
      </c>
      <c r="C27" s="133">
        <f t="shared" si="15"/>
        <v>9.9640000000000006E-2</v>
      </c>
      <c r="D27" s="185">
        <f t="shared" si="15"/>
        <v>4.9820000000000003E-2</v>
      </c>
      <c r="E27" s="133">
        <f t="shared" si="15"/>
        <v>1.258</v>
      </c>
      <c r="F27" s="134">
        <f t="shared" si="15"/>
        <v>0.99485999999999997</v>
      </c>
      <c r="G27" s="135">
        <f>Costanti!$C$10*E27/Costanti!$C$4+'CM Terrestre'!$I$2</f>
        <v>9.9944814675535787E-4</v>
      </c>
      <c r="H27" s="136">
        <f t="shared" si="21"/>
        <v>9.9431098328103536E-4</v>
      </c>
      <c r="I27" s="135">
        <f t="shared" si="22"/>
        <v>174662731178.53976</v>
      </c>
      <c r="J27" s="137">
        <f t="shared" ref="J27:L27" si="34">J8</f>
        <v>1.5E-3</v>
      </c>
      <c r="K27" s="138">
        <f>SQRT(((-Costanti!$C$10*E8*(1/(Costanti!$C$4^2)))^2)*(Costanti!$E$4^2)+((Costanti!$C$10/Costanti!$C$4)^2)*(Costanti!$C$9^2 + 'CM Terrestre'!$K$2^2))</f>
        <v>2.5604947644412677E-6</v>
      </c>
      <c r="L27" s="84">
        <f xml:space="preserve"> I27 * Costanti!$C$8 /B27</f>
        <v>81503840.960587844</v>
      </c>
      <c r="M27" s="124"/>
      <c r="O27" s="2">
        <f t="shared" si="17"/>
        <v>444444.44444444444</v>
      </c>
      <c r="P27" s="2">
        <f t="shared" si="18"/>
        <v>22142.222222222223</v>
      </c>
      <c r="Q27" s="145">
        <f t="shared" si="19"/>
        <v>152528927201.56982</v>
      </c>
      <c r="R27" s="14">
        <f t="shared" si="20"/>
        <v>151661187.58459434</v>
      </c>
      <c r="T27" s="36">
        <f t="shared" si="24"/>
        <v>454.2</v>
      </c>
      <c r="U27" s="106">
        <f t="shared" si="25"/>
        <v>2.5292422704600595E-9</v>
      </c>
      <c r="V27" s="106">
        <f>SQRT(((2*D26*(H26^2))^2)*((Costanti!$R$5)^2)+((2*H26*((D26)^2))^2)*(K26)^2)</f>
        <v>1.5396253284828056E-10</v>
      </c>
      <c r="X27" s="38">
        <f t="shared" si="27"/>
        <v>4.2186151291040694E+19</v>
      </c>
      <c r="Y27" s="38">
        <f t="shared" si="28"/>
        <v>1.9160949916390681E+22</v>
      </c>
      <c r="Z27" s="38">
        <f t="shared" si="29"/>
        <v>106698997073.32333</v>
      </c>
      <c r="AA27" s="35">
        <f t="shared" si="30"/>
        <v>8.7029034520246482E+24</v>
      </c>
      <c r="AB27" s="35">
        <f t="shared" si="31"/>
        <v>48462684470703.453</v>
      </c>
      <c r="AD27" s="20" t="s">
        <v>44</v>
      </c>
      <c r="AE27" s="35">
        <f>SQRT(AA36/AE23)</f>
        <v>4.8330659073538845E-10</v>
      </c>
      <c r="AI27" s="14"/>
      <c r="AJ27" s="14"/>
      <c r="AK27" s="14"/>
      <c r="AL27" s="14"/>
      <c r="AM27" s="14"/>
      <c r="AN27" s="14"/>
    </row>
    <row r="28" spans="1:41" ht="20" customHeight="1" x14ac:dyDescent="0.2">
      <c r="A28" s="120"/>
      <c r="B28" s="125">
        <f t="shared" si="15"/>
        <v>204.2</v>
      </c>
      <c r="C28" s="126">
        <f t="shared" si="15"/>
        <v>0.10791000000000001</v>
      </c>
      <c r="D28" s="185">
        <f t="shared" si="15"/>
        <v>5.3955000000000003E-2</v>
      </c>
      <c r="E28" s="126">
        <f t="shared" si="15"/>
        <v>1.08</v>
      </c>
      <c r="F28" s="127">
        <f t="shared" si="15"/>
        <v>0.99290999999999996</v>
      </c>
      <c r="G28" s="128">
        <f>Costanti!$C$10*E28/Costanti!$C$4+'CM Terrestre'!$I$2</f>
        <v>8.6524619342552393E-4</v>
      </c>
      <c r="H28" s="129">
        <f t="shared" si="21"/>
        <v>8.591115979141369E-4</v>
      </c>
      <c r="I28" s="128">
        <f t="shared" si="22"/>
        <v>190074201921.5975</v>
      </c>
      <c r="J28" s="130">
        <f t="shared" ref="J28:L28" si="35">J9</f>
        <v>1.5E-3</v>
      </c>
      <c r="K28" s="131">
        <f>SQRT(((-Costanti!$C$10*E9*(1/(Costanti!$C$4^2)))^2)*(Costanti!$E$4^2)+((Costanti!$C$10/Costanti!$C$4)^2)*(Costanti!$C$9^2 + 'CM Terrestre'!$K$2^2))</f>
        <v>2.2319404401594827E-6</v>
      </c>
      <c r="L28" s="77">
        <f xml:space="preserve"> I28 * Costanti!$C$8 /B28</f>
        <v>93082371.166306332</v>
      </c>
      <c r="M28" s="124"/>
      <c r="O28" s="2">
        <f t="shared" si="17"/>
        <v>444444.44444444444</v>
      </c>
      <c r="P28" s="2">
        <f t="shared" si="18"/>
        <v>23980</v>
      </c>
      <c r="Q28" s="145">
        <f t="shared" si="19"/>
        <v>200740405756.80472</v>
      </c>
      <c r="R28" s="14">
        <f t="shared" si="20"/>
        <v>172458410.75566071</v>
      </c>
      <c r="T28" s="36">
        <f t="shared" si="24"/>
        <v>428.6</v>
      </c>
      <c r="U28" s="106">
        <f t="shared" si="25"/>
        <v>2.4538720831170693E-9</v>
      </c>
      <c r="V28" s="106">
        <f>SQRT(((2*D27*(H27^2))^2)*((Costanti!$R$5)^2)+((2*H27*((D27)^2))^2)*(K27)^2)</f>
        <v>1.4830375672298857E-10</v>
      </c>
      <c r="X28" s="39">
        <f t="shared" si="27"/>
        <v>4.5466936727966753E+19</v>
      </c>
      <c r="Y28" s="105">
        <f t="shared" si="28"/>
        <v>1.9487129081606553E+22</v>
      </c>
      <c r="Z28" s="105">
        <f t="shared" si="29"/>
        <v>111570046741.60776</v>
      </c>
      <c r="AA28" s="117">
        <f t="shared" si="30"/>
        <v>8.3521835243765685E+24</v>
      </c>
      <c r="AB28" s="38">
        <f t="shared" si="31"/>
        <v>47818922033453.094</v>
      </c>
      <c r="AI28" s="14"/>
      <c r="AJ28" s="14"/>
      <c r="AK28" s="14"/>
      <c r="AL28" s="14"/>
      <c r="AM28" s="14"/>
      <c r="AN28" s="14"/>
    </row>
    <row r="29" spans="1:41" ht="20" customHeight="1" x14ac:dyDescent="0.2">
      <c r="A29" s="120"/>
      <c r="B29" s="132">
        <f t="shared" si="15"/>
        <v>187.1</v>
      </c>
      <c r="C29" s="133">
        <f t="shared" si="15"/>
        <v>0.10298</v>
      </c>
      <c r="D29" s="185">
        <f t="shared" si="15"/>
        <v>5.1490000000000001E-2</v>
      </c>
      <c r="E29" s="133">
        <f t="shared" si="15"/>
        <v>1.0940000000000001</v>
      </c>
      <c r="F29" s="134">
        <f t="shared" si="15"/>
        <v>0.99395</v>
      </c>
      <c r="G29" s="135">
        <f>Costanti!$C$10*E29/Costanti!$C$4+'CM Terrestre'!$I$2</f>
        <v>8.7580140323798277E-4</v>
      </c>
      <c r="H29" s="136">
        <f t="shared" si="21"/>
        <v>8.7050280474839303E-4</v>
      </c>
      <c r="I29" s="135">
        <f t="shared" si="22"/>
        <v>186259164286.1618</v>
      </c>
      <c r="J29" s="137">
        <f t="shared" ref="J29:L29" si="36">J10</f>
        <v>1.5E-3</v>
      </c>
      <c r="K29" s="138">
        <f>SQRT(((-Costanti!$C$10*E10*(1/(Costanti!$C$4^2)))^2)*(Costanti!$E$4^2)+((Costanti!$C$10/Costanti!$C$4)^2)*(Costanti!$C$9^2 + 'CM Terrestre'!$K$2^2))</f>
        <v>2.2575903327537749E-6</v>
      </c>
      <c r="L29" s="84">
        <f xml:space="preserve"> I29 * Costanti!$C$8 /B29</f>
        <v>99550595.556473449</v>
      </c>
      <c r="M29" s="124"/>
      <c r="O29" s="2">
        <f t="shared" si="17"/>
        <v>444444.44444444444</v>
      </c>
      <c r="P29" s="2">
        <f t="shared" si="18"/>
        <v>22884.444444444445</v>
      </c>
      <c r="Q29" s="145">
        <f t="shared" si="19"/>
        <v>196204844594.15793</v>
      </c>
      <c r="R29" s="14">
        <f t="shared" si="20"/>
        <v>170796867.52443707</v>
      </c>
      <c r="T29" s="36">
        <f t="shared" si="24"/>
        <v>408.4</v>
      </c>
      <c r="U29" s="106">
        <f t="shared" si="25"/>
        <v>2.1486345641396311E-9</v>
      </c>
      <c r="V29" s="106">
        <f>SQRT(((2*D28*(H28^2))^2)*((Costanti!$R$5)^2)+((2*H28*((D28)^2))^2)*(K28)^2)</f>
        <v>1.1998864758140632E-10</v>
      </c>
      <c r="X29" s="39">
        <f t="shared" si="27"/>
        <v>6.9457585682597798E+19</v>
      </c>
      <c r="Y29" s="39">
        <f t="shared" si="28"/>
        <v>2.836647799277294E+22</v>
      </c>
      <c r="Z29" s="39">
        <f t="shared" si="29"/>
        <v>149238969339.31961</v>
      </c>
      <c r="AA29" s="39">
        <f t="shared" si="30"/>
        <v>1.1584869612248466E+25</v>
      </c>
      <c r="AB29" s="39">
        <f t="shared" si="31"/>
        <v>60949195078178.125</v>
      </c>
      <c r="AD29" s="20" t="s">
        <v>45</v>
      </c>
      <c r="AE29" s="106">
        <f>AE24</f>
        <v>5.4009486486413045E-12</v>
      </c>
      <c r="AF29" s="106" t="s">
        <v>0</v>
      </c>
      <c r="AG29" s="35">
        <f>AE26</f>
        <v>1.0153124795539189E-12</v>
      </c>
      <c r="AI29" s="14"/>
      <c r="AJ29" s="14"/>
      <c r="AK29" s="14"/>
      <c r="AL29" s="14"/>
      <c r="AM29" s="14"/>
      <c r="AN29" s="14"/>
    </row>
    <row r="30" spans="1:41" ht="20" customHeight="1" x14ac:dyDescent="0.2">
      <c r="A30" s="120"/>
      <c r="B30" s="125">
        <f t="shared" si="15"/>
        <v>265.7</v>
      </c>
      <c r="C30" s="126">
        <f t="shared" si="15"/>
        <v>0.10714</v>
      </c>
      <c r="D30" s="185">
        <f t="shared" si="15"/>
        <v>5.357E-2</v>
      </c>
      <c r="E30" s="126">
        <f t="shared" si="15"/>
        <v>1.2889999999999999</v>
      </c>
      <c r="F30" s="127">
        <f t="shared" si="15"/>
        <v>0.99290999999999996</v>
      </c>
      <c r="G30" s="128">
        <f>Costanti!$C$10*E30/Costanti!$C$4+'CM Terrestre'!$I$2</f>
        <v>1.022820397054374E-3</v>
      </c>
      <c r="H30" s="129">
        <f t="shared" si="21"/>
        <v>1.0155686004392585E-3</v>
      </c>
      <c r="I30" s="128">
        <f t="shared" si="22"/>
        <v>179539382734.62799</v>
      </c>
      <c r="J30" s="130">
        <f t="shared" ref="J30:L30" si="37">J11</f>
        <v>1.5E-3</v>
      </c>
      <c r="K30" s="131">
        <f>SQRT(((-Costanti!$C$10*E11*(1/(Costanti!$C$4^2)))^2)*(Costanti!$E$4^2)+((Costanti!$C$10/Costanti!$C$4)^2)*(Costanti!$C$9^2 + 'CM Terrestre'!$K$2^2))</f>
        <v>2.6181808222826772E-6</v>
      </c>
      <c r="L30" s="77">
        <f xml:space="preserve"> I30 * Costanti!$C$8 /B30</f>
        <v>67572217.815065116</v>
      </c>
      <c r="M30" s="124"/>
      <c r="O30" s="2">
        <f t="shared" si="17"/>
        <v>444444.44444444444</v>
      </c>
      <c r="P30" s="2">
        <f t="shared" si="18"/>
        <v>23808.888888888887</v>
      </c>
      <c r="Q30" s="145">
        <f t="shared" si="19"/>
        <v>145881669622.35172</v>
      </c>
      <c r="R30" s="14">
        <f t="shared" si="20"/>
        <v>148152843.04811403</v>
      </c>
      <c r="T30" s="36">
        <f t="shared" si="24"/>
        <v>374.2</v>
      </c>
      <c r="U30" s="106">
        <f t="shared" si="25"/>
        <v>2.0090286640881349E-9</v>
      </c>
      <c r="V30" s="106">
        <f>SQRT(((2*D29*(H29^2))^2)*((Costanti!$R$5)^2)+((2*H29*((D29)^2))^2)*(K29)^2)</f>
        <v>1.175164488757323E-10</v>
      </c>
      <c r="X30" s="39">
        <f t="shared" ref="X30:X35" si="38">1/(V30^2)</f>
        <v>7.2410689210861928E+19</v>
      </c>
      <c r="Y30" s="39">
        <f t="shared" ref="Y30:Y35" si="39">T30*X30</f>
        <v>2.7096079902704535E+22</v>
      </c>
      <c r="Z30" s="39">
        <f t="shared" ref="Z30:Z35" si="40">U30*X30</f>
        <v>145475150210.99905</v>
      </c>
      <c r="AA30" s="39">
        <f t="shared" ref="AA30:AA35" si="41">(T30^2)*X30</f>
        <v>1.0139353099592035E+25</v>
      </c>
      <c r="AB30" s="39">
        <f t="shared" ref="AB30:AB35" si="42">T30*U30*X30</f>
        <v>54436801208955.852</v>
      </c>
      <c r="AD30" s="20" t="s">
        <v>22</v>
      </c>
      <c r="AE30" s="119">
        <f>1/AE29</f>
        <v>185152658367.07523</v>
      </c>
      <c r="AF30" s="119" t="s">
        <v>0</v>
      </c>
      <c r="AG30" s="108">
        <f>(AE30^2)*AG29</f>
        <v>34806441773.884697</v>
      </c>
      <c r="AH30" s="14">
        <f>SQRT( 4*(Costanti!C8)^2/(H35*D35)^4 + 16*B35^2*K35^2/(D35^4*H35^6) + 16*B35^2*J35^2/(H35^4*D35^6))</f>
        <v>2946833932.0773411</v>
      </c>
      <c r="AI30" s="14"/>
      <c r="AJ30" s="14"/>
      <c r="AK30" s="14"/>
      <c r="AL30" s="14"/>
      <c r="AM30" s="14"/>
      <c r="AN30" s="14"/>
      <c r="AO30" s="14"/>
    </row>
    <row r="31" spans="1:41" ht="20" customHeight="1" x14ac:dyDescent="0.2">
      <c r="A31" s="120"/>
      <c r="B31" s="132">
        <f t="shared" si="15"/>
        <v>243</v>
      </c>
      <c r="C31" s="133">
        <f t="shared" si="15"/>
        <v>0.10477</v>
      </c>
      <c r="D31" s="185">
        <f t="shared" si="15"/>
        <v>5.2385000000000001E-2</v>
      </c>
      <c r="E31" s="133">
        <f t="shared" si="15"/>
        <v>1.2829999999999999</v>
      </c>
      <c r="F31" s="134">
        <f t="shared" si="15"/>
        <v>0.99395</v>
      </c>
      <c r="G31" s="135">
        <f>Costanti!$C$10*E31/Costanti!$C$4+'CM Terrestre'!$I$2</f>
        <v>1.0182967357061773E-3</v>
      </c>
      <c r="H31" s="136">
        <f t="shared" si="21"/>
        <v>1.0121360404551549E-3</v>
      </c>
      <c r="I31" s="135">
        <f t="shared" si="22"/>
        <v>172879936165.49402</v>
      </c>
      <c r="J31" s="137">
        <f t="shared" ref="J31:L31" si="43">J12</f>
        <v>1.5E-3</v>
      </c>
      <c r="K31" s="138">
        <f>SQRT(((-Costanti!$C$10*E12*(1/(Costanti!$C$4^2)))^2)*(Costanti!$E$4^2)+((Costanti!$C$10/Costanti!$C$4)^2)*(Costanti!$C$9^2 + 'CM Terrestre'!$K$2^2))</f>
        <v>2.6070065493648202E-6</v>
      </c>
      <c r="L31" s="84">
        <f xml:space="preserve"> I31 * Costanti!$C$8 /B31</f>
        <v>71144006.652466685</v>
      </c>
      <c r="M31" s="124"/>
      <c r="O31" s="2">
        <f t="shared" si="17"/>
        <v>444444.44444444444</v>
      </c>
      <c r="P31" s="2">
        <f t="shared" si="18"/>
        <v>23282.222222222223</v>
      </c>
      <c r="Q31" s="145">
        <f t="shared" si="19"/>
        <v>147134919363.53067</v>
      </c>
      <c r="R31" s="14">
        <f t="shared" si="20"/>
        <v>148920554.69729245</v>
      </c>
      <c r="T31" s="36">
        <f t="shared" si="24"/>
        <v>531.4</v>
      </c>
      <c r="U31" s="106">
        <f t="shared" si="25"/>
        <v>2.9597962959772839E-9</v>
      </c>
      <c r="V31" s="106">
        <f>SQRT(((2*D30*(H30^2))^2)*((Costanti!$R$5)^2)+((2*H30*((D30)^2))^2)*(K30)^2)</f>
        <v>1.6645407314134296E-10</v>
      </c>
      <c r="X31" s="39">
        <f t="shared" si="38"/>
        <v>3.6092016424351343E+19</v>
      </c>
      <c r="Y31" s="39">
        <f t="shared" si="39"/>
        <v>1.9179297527900301E+22</v>
      </c>
      <c r="Z31" s="39">
        <f t="shared" si="40"/>
        <v>106825016527.14639</v>
      </c>
      <c r="AA31" s="39">
        <f t="shared" si="41"/>
        <v>1.019187870632622E+25</v>
      </c>
      <c r="AB31" s="39">
        <f t="shared" si="42"/>
        <v>56766813782525.594</v>
      </c>
      <c r="AI31" s="14"/>
      <c r="AJ31" s="14"/>
      <c r="AK31" s="14"/>
      <c r="AL31" s="14"/>
      <c r="AO31" s="14"/>
    </row>
    <row r="32" spans="1:41" ht="20" customHeight="1" x14ac:dyDescent="0.2">
      <c r="A32" s="120"/>
      <c r="B32" s="125">
        <f t="shared" si="15"/>
        <v>228.7</v>
      </c>
      <c r="C32" s="126">
        <f t="shared" si="15"/>
        <v>0.10736</v>
      </c>
      <c r="D32" s="185">
        <f t="shared" si="15"/>
        <v>5.3679999999999999E-2</v>
      </c>
      <c r="E32" s="126">
        <f t="shared" si="15"/>
        <v>1.1859999999999999</v>
      </c>
      <c r="F32" s="127">
        <f t="shared" si="15"/>
        <v>0.99395</v>
      </c>
      <c r="G32" s="128">
        <f>Costanti!$C$10*E32/Costanti!$C$4+'CM Terrestre'!$I$2</f>
        <v>9.4516421057699808E-4</v>
      </c>
      <c r="H32" s="129">
        <f t="shared" si="21"/>
        <v>9.3944596710300728E-4</v>
      </c>
      <c r="I32" s="128">
        <f t="shared" si="22"/>
        <v>179857077859.29968</v>
      </c>
      <c r="J32" s="130">
        <f t="shared" ref="J32:L32" si="44">J13</f>
        <v>1.5E-3</v>
      </c>
      <c r="K32" s="131">
        <f>SQRT(((-Costanti!$C$10*E13*(1/(Costanti!$C$4^2)))^2)*(Costanti!$E$4^2)+((Costanti!$C$10/Costanti!$C$4)^2)*(Costanti!$C$9^2 + 'CM Terrestre'!$K$2^2))</f>
        <v>2.4270044405743881E-6</v>
      </c>
      <c r="L32" s="77">
        <f xml:space="preserve"> I32 * Costanti!$C$8 /B32</f>
        <v>78643234.74390018</v>
      </c>
      <c r="M32" s="124"/>
      <c r="O32" s="2">
        <f t="shared" si="17"/>
        <v>444444.44444444444</v>
      </c>
      <c r="P32" s="2">
        <f t="shared" si="18"/>
        <v>23857.777777777777</v>
      </c>
      <c r="Q32" s="145">
        <f t="shared" si="19"/>
        <v>169769182790.74725</v>
      </c>
      <c r="R32" s="14">
        <f t="shared" si="20"/>
        <v>159488974.11114079</v>
      </c>
      <c r="T32" s="36">
        <f t="shared" si="24"/>
        <v>486</v>
      </c>
      <c r="U32" s="106">
        <f t="shared" si="25"/>
        <v>2.8111995572161903E-9</v>
      </c>
      <c r="V32" s="106">
        <f>SQRT(((2*D31*(H31^2))^2)*((Costanti!$R$5)^2)+((2*H31*((D31)^2))^2)*(K31)^2)</f>
        <v>1.6164266200901487E-10</v>
      </c>
      <c r="X32" s="39">
        <f t="shared" si="38"/>
        <v>3.8272604012838806E+19</v>
      </c>
      <c r="Y32" s="39">
        <f t="shared" si="39"/>
        <v>1.8600485550239659E+22</v>
      </c>
      <c r="Z32" s="39">
        <f t="shared" si="40"/>
        <v>107591927454.40305</v>
      </c>
      <c r="AA32" s="39">
        <f t="shared" si="41"/>
        <v>9.0398359774164748E+24</v>
      </c>
      <c r="AB32" s="39">
        <f t="shared" si="42"/>
        <v>52289676742839.875</v>
      </c>
      <c r="AI32" s="14"/>
      <c r="AJ32" s="14"/>
      <c r="AK32" s="14"/>
      <c r="AL32" s="14"/>
      <c r="AO32" s="14"/>
    </row>
    <row r="33" spans="1:41" ht="20" customHeight="1" x14ac:dyDescent="0.2">
      <c r="A33" s="120"/>
      <c r="B33" s="132">
        <f t="shared" si="15"/>
        <v>228.7</v>
      </c>
      <c r="C33" s="133">
        <f t="shared" si="15"/>
        <v>0.10274999999999999</v>
      </c>
      <c r="D33" s="185">
        <f t="shared" si="15"/>
        <v>5.1374999999999997E-2</v>
      </c>
      <c r="E33" s="133">
        <f t="shared" si="15"/>
        <v>1.276</v>
      </c>
      <c r="F33" s="134">
        <f t="shared" si="15"/>
        <v>0.99395</v>
      </c>
      <c r="G33" s="135">
        <f>Costanti!$C$10*E33/Costanti!$C$4+'CM Terrestre'!$I$2</f>
        <v>1.0130191307999481E-3</v>
      </c>
      <c r="H33" s="136">
        <f t="shared" si="21"/>
        <v>1.0068903650586084E-3</v>
      </c>
      <c r="I33" s="135">
        <f t="shared" si="22"/>
        <v>170933868021.17691</v>
      </c>
      <c r="J33" s="137">
        <f t="shared" ref="J33:L33" si="45">J14</f>
        <v>1.5E-3</v>
      </c>
      <c r="K33" s="138">
        <f>SQRT(((-Costanti!$C$10*E14*(1/(Costanti!$C$4^2)))^2)*(Costanti!$E$4^2)+((Costanti!$C$10/Costanti!$C$4)^2)*(Costanti!$C$9^2 + 'CM Terrestre'!$K$2^2))</f>
        <v>2.5939754245208578E-6</v>
      </c>
      <c r="L33" s="84">
        <f xml:space="preserve"> I33 * Costanti!$C$8 /B33</f>
        <v>74741525.151367262</v>
      </c>
      <c r="M33" s="124"/>
      <c r="N33" s="14"/>
      <c r="O33" s="2">
        <f t="shared" si="17"/>
        <v>444444.44444444444</v>
      </c>
      <c r="P33" s="2">
        <f t="shared" si="18"/>
        <v>22833.333333333332</v>
      </c>
      <c r="Q33" s="145">
        <f t="shared" si="19"/>
        <v>148616929913.28867</v>
      </c>
      <c r="R33" s="14">
        <f t="shared" si="20"/>
        <v>149640954.81428084</v>
      </c>
      <c r="T33" s="36">
        <f t="shared" si="24"/>
        <v>457.4</v>
      </c>
      <c r="U33" s="106">
        <f t="shared" si="25"/>
        <v>2.5431303868831847E-9</v>
      </c>
      <c r="V33" s="106">
        <f>SQRT(((2*D32*(H32^2))^2)*((Costanti!$R$5)^2)+((2*H32*((D32)^2))^2)*(K32)^2)</f>
        <v>1.427333822764417E-10</v>
      </c>
      <c r="X33" s="39">
        <f t="shared" si="38"/>
        <v>4.9085010211992289E+19</v>
      </c>
      <c r="Y33" s="39">
        <f t="shared" si="39"/>
        <v>2.2451483670965274E+22</v>
      </c>
      <c r="Z33" s="39">
        <f t="shared" si="40"/>
        <v>124829581010.58902</v>
      </c>
      <c r="AA33" s="39">
        <f t="shared" si="41"/>
        <v>1.0269308631099515E+25</v>
      </c>
      <c r="AB33" s="39">
        <f t="shared" si="42"/>
        <v>57097050354243.414</v>
      </c>
      <c r="AI33" s="14"/>
      <c r="AJ33" s="14"/>
      <c r="AK33" s="14"/>
      <c r="AL33" s="14"/>
      <c r="AO33" s="14"/>
    </row>
    <row r="34" spans="1:41" ht="20" customHeight="1" x14ac:dyDescent="0.2">
      <c r="A34" s="120"/>
      <c r="B34" s="125">
        <f t="shared" si="15"/>
        <v>228.7</v>
      </c>
      <c r="C34" s="126">
        <f t="shared" si="15"/>
        <v>0.10253</v>
      </c>
      <c r="D34" s="185">
        <f t="shared" si="15"/>
        <v>5.1264999999999998E-2</v>
      </c>
      <c r="E34" s="126">
        <f t="shared" si="15"/>
        <v>1.244</v>
      </c>
      <c r="F34" s="127">
        <f t="shared" si="15"/>
        <v>0.99395</v>
      </c>
      <c r="G34" s="128">
        <f>Costanti!$C$10*E34/Costanti!$C$4+'CM Terrestre'!$I$2</f>
        <v>9.8889293694289903E-4</v>
      </c>
      <c r="H34" s="129">
        <f t="shared" si="21"/>
        <v>9.829101346743945E-4</v>
      </c>
      <c r="I34" s="128">
        <f t="shared" si="22"/>
        <v>180146824356.9953</v>
      </c>
      <c r="J34" s="130">
        <f t="shared" ref="J34:L34" si="46">J15</f>
        <v>1.5E-3</v>
      </c>
      <c r="K34" s="131">
        <f>SQRT(((-Costanti!$C$10*E15*(1/(Costanti!$C$4^2)))^2)*(Costanti!$E$4^2)+((Costanti!$C$10/Costanti!$C$4)^2)*(Costanti!$C$9^2 + 'CM Terrestre'!$K$2^2))</f>
        <v>2.5344828697361246E-6</v>
      </c>
      <c r="L34" s="77">
        <f xml:space="preserve"> I34 * Costanti!$C$8 /B34</f>
        <v>78769927.571926251</v>
      </c>
      <c r="M34" s="124"/>
      <c r="N34" s="14"/>
      <c r="O34" s="2">
        <f t="shared" si="17"/>
        <v>444444.44444444444</v>
      </c>
      <c r="P34" s="2">
        <f t="shared" si="18"/>
        <v>22784.444444444442</v>
      </c>
      <c r="Q34" s="145">
        <f t="shared" si="19"/>
        <v>155675862142.37811</v>
      </c>
      <c r="R34" s="14">
        <f t="shared" si="20"/>
        <v>153015382.62391734</v>
      </c>
      <c r="T34" s="36">
        <f t="shared" si="24"/>
        <v>457.4</v>
      </c>
      <c r="U34" s="106">
        <f t="shared" si="25"/>
        <v>2.6758886655705529E-9</v>
      </c>
      <c r="V34" s="106">
        <f>SQRT(((2*D33*(H33^2))^2)*((Costanti!$R$5)^2)+((2*H33*((D33)^2))^2)*(K33)^2)</f>
        <v>1.5686336249011139E-10</v>
      </c>
      <c r="X34" s="39">
        <f t="shared" si="38"/>
        <v>4.0640305089092731E+19</v>
      </c>
      <c r="Y34" s="39">
        <f t="shared" si="39"/>
        <v>1.8588875547751014E+22</v>
      </c>
      <c r="Z34" s="39">
        <f t="shared" si="40"/>
        <v>108748931753.2325</v>
      </c>
      <c r="AA34" s="39">
        <f t="shared" si="41"/>
        <v>8.5025516755413137E+24</v>
      </c>
      <c r="AB34" s="39">
        <f t="shared" si="42"/>
        <v>49741761383928.539</v>
      </c>
      <c r="AI34" s="14"/>
      <c r="AJ34" s="14"/>
      <c r="AK34" s="14"/>
      <c r="AL34" s="14"/>
      <c r="AO34" s="14"/>
    </row>
    <row r="35" spans="1:41" ht="20" customHeight="1" x14ac:dyDescent="0.2">
      <c r="A35" s="139" t="s">
        <v>29</v>
      </c>
      <c r="B35" s="140">
        <f>AVERAGE(B22:B34)</f>
        <v>236.96923076923071</v>
      </c>
      <c r="C35" s="141"/>
      <c r="D35" s="141">
        <f xml:space="preserve"> SUM(P22:P34)/SUM(O22:O34)</f>
        <v>5.1878846153846157E-2</v>
      </c>
      <c r="E35" s="141"/>
      <c r="F35" s="141"/>
      <c r="G35" s="141"/>
      <c r="H35" s="142">
        <f>SUM(R22:R34)/SUM(Q22:Q34)</f>
        <v>9.8109458301779578E-4</v>
      </c>
      <c r="I35" s="142"/>
      <c r="J35" s="141">
        <f>1 / SQRT(SUM(O22:O34))</f>
        <v>4.1602514716892195E-4</v>
      </c>
      <c r="K35" s="143">
        <f>1 / SQRT(SUM(Q22:Q34))</f>
        <v>7.0317610272002747E-7</v>
      </c>
      <c r="L35" s="141"/>
      <c r="M35" s="124"/>
      <c r="N35" s="14"/>
      <c r="T35" s="36">
        <f t="shared" si="24"/>
        <v>457.4</v>
      </c>
      <c r="U35" s="106">
        <f t="shared" si="25"/>
        <v>2.5390400393268918E-9</v>
      </c>
      <c r="V35" s="106">
        <f>SQRT(((2*D34*(H34^2))^2)*((Costanti!$R$5)^2)+((2*H34*((D34)^2))^2)*(K34)^2)</f>
        <v>1.4915909651151983E-10</v>
      </c>
      <c r="X35" s="105">
        <f t="shared" si="38"/>
        <v>4.4946979498147406E+19</v>
      </c>
      <c r="Y35" s="105">
        <f t="shared" si="39"/>
        <v>2.0558748422452623E+22</v>
      </c>
      <c r="Z35" s="105">
        <f t="shared" si="40"/>
        <v>114122180592.6012</v>
      </c>
      <c r="AA35" s="105">
        <f t="shared" si="41"/>
        <v>9.4035715284298292E+24</v>
      </c>
      <c r="AB35" s="105">
        <f t="shared" si="42"/>
        <v>52199485403055.789</v>
      </c>
      <c r="AI35" s="14"/>
      <c r="AJ35" s="14"/>
      <c r="AK35" s="14"/>
      <c r="AL35" s="14"/>
      <c r="AN35" s="14"/>
    </row>
    <row r="36" spans="1:41" ht="20" customHeight="1" x14ac:dyDescent="0.2">
      <c r="A36" s="151" t="s">
        <v>68</v>
      </c>
      <c r="B36" s="144"/>
      <c r="C36" s="144"/>
      <c r="D36" s="144"/>
      <c r="E36" s="144"/>
      <c r="F36" s="120"/>
      <c r="G36" s="124"/>
      <c r="H36" s="124"/>
      <c r="I36" s="124"/>
      <c r="J36" s="124"/>
      <c r="K36" s="124"/>
      <c r="L36" s="124"/>
      <c r="M36" s="124"/>
      <c r="N36" s="14"/>
      <c r="T36" s="41"/>
      <c r="U36" s="14"/>
      <c r="V36" s="14"/>
      <c r="W36" s="148" t="s">
        <v>46</v>
      </c>
      <c r="X36" s="147">
        <f>SUM(X23:X29)</f>
        <v>2.9815437362746471E+20</v>
      </c>
      <c r="Y36" s="107">
        <f>SUM(Y23:Y29)</f>
        <v>1.4090410209842931E+23</v>
      </c>
      <c r="Z36" s="107">
        <f>SUM(Z23:Z29)</f>
        <v>776033765303.17432</v>
      </c>
      <c r="AA36" s="107">
        <f>SUM(AA23:AA29)</f>
        <v>6.755961576673302E+25</v>
      </c>
      <c r="AB36" s="107">
        <f>SUM(AB23:AB29)</f>
        <v>371983312419958.12</v>
      </c>
      <c r="AI36" s="14"/>
      <c r="AL36" s="14"/>
      <c r="AM36" s="14"/>
    </row>
    <row r="37" spans="1:41" ht="20" customHeight="1" x14ac:dyDescent="0.2">
      <c r="A37" s="41"/>
      <c r="D37" s="118"/>
      <c r="F37" s="40"/>
      <c r="G37" s="40"/>
      <c r="K37" s="14"/>
      <c r="L37" s="14"/>
      <c r="M37" s="14"/>
      <c r="N37" s="14"/>
      <c r="T37" s="41"/>
      <c r="U37" s="14"/>
      <c r="V37" s="14"/>
      <c r="AI37" s="14"/>
      <c r="AL37" s="14"/>
      <c r="AM37" s="14"/>
    </row>
    <row r="38" spans="1:41" ht="20" customHeight="1" x14ac:dyDescent="0.2">
      <c r="F38" s="40"/>
      <c r="G38" s="40"/>
      <c r="K38" s="14"/>
      <c r="L38" s="14"/>
      <c r="M38" s="14"/>
      <c r="N38" s="14"/>
      <c r="T38" s="41"/>
      <c r="U38" s="14"/>
      <c r="V38" s="14"/>
    </row>
    <row r="39" spans="1:41" ht="20" customHeight="1" x14ac:dyDescent="0.2">
      <c r="F39" s="40"/>
      <c r="G39" s="40"/>
      <c r="K39" s="14"/>
      <c r="L39" s="14"/>
      <c r="M39" s="14"/>
      <c r="N39" s="14"/>
      <c r="T39" s="41"/>
      <c r="U39" s="14"/>
      <c r="V39" s="14"/>
    </row>
    <row r="40" spans="1:41" ht="20" customHeight="1" x14ac:dyDescent="0.2">
      <c r="F40" s="40"/>
      <c r="G40" s="40"/>
      <c r="K40" s="14"/>
      <c r="L40" s="14"/>
      <c r="M40" s="14"/>
      <c r="N40" s="14"/>
      <c r="T40" s="41"/>
      <c r="U40" s="14"/>
      <c r="V40" s="14"/>
    </row>
    <row r="41" spans="1:41" ht="20" customHeight="1" x14ac:dyDescent="0.2">
      <c r="G41" s="40"/>
      <c r="T41" s="41"/>
      <c r="U41" s="14"/>
      <c r="V41" s="14"/>
    </row>
    <row r="42" spans="1:41" ht="20" customHeight="1" x14ac:dyDescent="0.2">
      <c r="T42" s="41"/>
      <c r="U42" s="14"/>
      <c r="V42" s="14"/>
    </row>
  </sheetData>
  <mergeCells count="2">
    <mergeCell ref="T1:U1"/>
    <mergeCell ref="T20:U20"/>
  </mergeCells>
  <pageMargins left="0.7" right="0.7" top="0.75" bottom="0.75" header="0.3" footer="0.3"/>
  <pageSetup paperSize="9" orientation="portrait" horizontalDpi="0" verticalDpi="0"/>
  <ignoredErrors>
    <ignoredError sqref="K22 G35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5434-5DD6-504A-818F-FF0F515298D4}">
  <dimension ref="A1:AO42"/>
  <sheetViews>
    <sheetView tabSelected="1" zoomScale="112" workbookViewId="0">
      <selection activeCell="J42" sqref="J42"/>
    </sheetView>
  </sheetViews>
  <sheetFormatPr baseColWidth="10" defaultColWidth="7.33203125" defaultRowHeight="20" customHeight="1" x14ac:dyDescent="0.2"/>
  <cols>
    <col min="1" max="1" width="7.5" style="2" customWidth="1"/>
    <col min="2" max="2" width="6.33203125" style="2" bestFit="1" customWidth="1"/>
    <col min="3" max="3" width="10" style="2" bestFit="1" customWidth="1"/>
    <col min="4" max="4" width="13.6640625" style="2" bestFit="1" customWidth="1"/>
    <col min="5" max="5" width="6.33203125" style="2" bestFit="1" customWidth="1"/>
    <col min="6" max="6" width="11" style="2" bestFit="1" customWidth="1"/>
    <col min="7" max="8" width="12.6640625" style="2" bestFit="1" customWidth="1"/>
    <col min="9" max="9" width="13" style="2" bestFit="1" customWidth="1"/>
    <col min="10" max="10" width="13.6640625" style="2" bestFit="1" customWidth="1"/>
    <col min="11" max="11" width="7" style="2" bestFit="1" customWidth="1"/>
    <col min="12" max="12" width="13" style="2" bestFit="1" customWidth="1"/>
    <col min="13" max="14" width="7.33203125" style="2"/>
    <col min="15" max="15" width="13.6640625" style="2" bestFit="1" customWidth="1"/>
    <col min="16" max="16" width="13.6640625" bestFit="1" customWidth="1"/>
    <col min="17" max="17" width="7.5" bestFit="1" customWidth="1"/>
    <col min="18" max="18" width="13" bestFit="1" customWidth="1"/>
    <col min="20" max="20" width="7.33203125" style="2"/>
    <col min="21" max="21" width="12.6640625" style="2" bestFit="1" customWidth="1"/>
    <col min="22" max="22" width="13.6640625" style="2" bestFit="1" customWidth="1"/>
    <col min="23" max="23" width="7" style="2" bestFit="1" customWidth="1"/>
    <col min="24" max="28" width="13.6640625" style="2" bestFit="1" customWidth="1"/>
    <col min="29" max="29" width="7.33203125" style="2"/>
    <col min="30" max="30" width="9.6640625" style="2" bestFit="1" customWidth="1"/>
    <col min="31" max="31" width="14.1640625" style="2" bestFit="1" customWidth="1"/>
    <col min="32" max="32" width="2.6640625" style="2" bestFit="1" customWidth="1"/>
    <col min="33" max="33" width="13.6640625" style="2" bestFit="1" customWidth="1"/>
    <col min="34" max="34" width="13" style="2" bestFit="1" customWidth="1"/>
    <col min="35" max="16384" width="7.33203125" style="2"/>
  </cols>
  <sheetData>
    <row r="1" spans="1:41" ht="20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64"/>
      <c r="T1" s="177" t="s">
        <v>30</v>
      </c>
      <c r="U1" s="178"/>
    </row>
    <row r="2" spans="1:41" ht="20" customHeight="1" x14ac:dyDescent="0.2">
      <c r="A2" s="64"/>
      <c r="B2" s="48" t="s">
        <v>15</v>
      </c>
      <c r="C2" s="66" t="s">
        <v>16</v>
      </c>
      <c r="D2" s="66" t="s">
        <v>17</v>
      </c>
      <c r="E2" s="66" t="s">
        <v>18</v>
      </c>
      <c r="F2" s="66" t="s">
        <v>19</v>
      </c>
      <c r="G2" s="66" t="s">
        <v>20</v>
      </c>
      <c r="H2" s="66" t="s">
        <v>21</v>
      </c>
      <c r="I2" s="66" t="s">
        <v>22</v>
      </c>
      <c r="J2" s="66" t="s">
        <v>23</v>
      </c>
      <c r="K2" s="66" t="s">
        <v>24</v>
      </c>
      <c r="L2" s="66" t="s">
        <v>64</v>
      </c>
      <c r="M2" s="59"/>
    </row>
    <row r="3" spans="1:41" ht="20" customHeight="1" x14ac:dyDescent="0.2">
      <c r="A3" s="43"/>
      <c r="B3" s="74">
        <v>222.3</v>
      </c>
      <c r="C3" s="186">
        <v>0.1057</v>
      </c>
      <c r="D3" s="180">
        <f>C3/2</f>
        <v>5.2850000000000001E-2</v>
      </c>
      <c r="E3" s="75">
        <v>1.2116</v>
      </c>
      <c r="F3" s="88">
        <v>0.99395</v>
      </c>
      <c r="G3" s="77">
        <f>Costanti!$C$10*E3/Costanti!$C$4</f>
        <v>9.1347801491251167E-4</v>
      </c>
      <c r="H3" s="78">
        <f>G3*F3</f>
        <v>9.07951472922291E-4</v>
      </c>
      <c r="I3" s="77">
        <f>2*B3/((D3*H3)^2)</f>
        <v>193087518013.86276</v>
      </c>
      <c r="J3" s="76">
        <f>Costanti!$R$5</f>
        <v>1.5E-3</v>
      </c>
      <c r="K3" s="79">
        <f>SQRT(((-Costanti!$C$10*E3*(1/(Costanti!$C$4^2)))^2)*(Costanti!$E$4^2)+((Costanti!$C$10/Costanti!$C$4)^2)*(Costanti!$C$9^2))</f>
        <v>2.4743845717697137E-6</v>
      </c>
      <c r="L3" s="77">
        <f xml:space="preserve"> I3 * Costanti!$C$8 /B3</f>
        <v>86858982.462376401</v>
      </c>
      <c r="M3" s="59"/>
      <c r="T3" s="20" t="s">
        <v>32</v>
      </c>
      <c r="U3" s="20" t="s">
        <v>33</v>
      </c>
      <c r="V3" s="20" t="s">
        <v>34</v>
      </c>
      <c r="X3" s="20" t="s">
        <v>35</v>
      </c>
      <c r="Y3" s="20" t="s">
        <v>36</v>
      </c>
      <c r="Z3" s="20" t="s">
        <v>37</v>
      </c>
      <c r="AA3" s="20" t="s">
        <v>38</v>
      </c>
      <c r="AB3" s="20" t="s">
        <v>39</v>
      </c>
    </row>
    <row r="4" spans="1:41" ht="20" customHeight="1" x14ac:dyDescent="0.2">
      <c r="A4" s="43"/>
      <c r="B4" s="81">
        <v>210.9</v>
      </c>
      <c r="C4" s="187">
        <v>0.10321</v>
      </c>
      <c r="D4" s="180">
        <f t="shared" ref="D4:D15" si="0">C4/2</f>
        <v>5.1604999999999998E-2</v>
      </c>
      <c r="E4" s="82">
        <v>1.2170000000000001</v>
      </c>
      <c r="F4" s="89">
        <v>0.99395</v>
      </c>
      <c r="G4" s="84">
        <f>Costanti!$C$10*E4/Costanti!$C$4</f>
        <v>9.1754931012588876E-4</v>
      </c>
      <c r="H4" s="85">
        <f t="shared" ref="H4:H15" si="1">G4*F4</f>
        <v>9.1199813679962709E-4</v>
      </c>
      <c r="I4" s="84">
        <f t="shared" ref="I4:I15" si="2">2*B4/((D4*H4)^2)</f>
        <v>190429886466.7739</v>
      </c>
      <c r="J4" s="83">
        <f>Costanti!$R$5</f>
        <v>1.5E-3</v>
      </c>
      <c r="K4" s="86">
        <f>SQRT(((-Costanti!$C$10*E4*(1/(Costanti!$C$4^2)))^2)*(Costanti!$E$4^2)+((Costanti!$C$10/Costanti!$C$4)^2)*(Costanti!$C$9^2))</f>
        <v>2.4843908882670359E-6</v>
      </c>
      <c r="L4" s="84">
        <f xml:space="preserve"> I4 * Costanti!$C$8 /B4</f>
        <v>90293924.355985731</v>
      </c>
      <c r="M4" s="59"/>
      <c r="T4" s="36">
        <f t="shared" ref="T4:T16" si="3">2*B3</f>
        <v>444.6</v>
      </c>
      <c r="U4" s="37">
        <f t="shared" ref="U4:U16" si="4">(D3^2)*(H3^2)</f>
        <v>2.3025828110136044E-9</v>
      </c>
      <c r="V4" s="35">
        <f>SQRT(((2*D3*(H3^2))^2)*((Costanti!$R$5)^2)+((2*H3*((D3)^2))^2)*(K3)^2)</f>
        <v>1.3130594212990234E-10</v>
      </c>
      <c r="X4" s="35">
        <f>1/(V4^2)</f>
        <v>5.8000433527718511E+19</v>
      </c>
      <c r="Y4" s="35">
        <f>T4*X4</f>
        <v>2.5786992746423652E+22</v>
      </c>
      <c r="Z4" s="37">
        <f>U4*X4</f>
        <v>133550801272.2618</v>
      </c>
      <c r="AA4" s="35">
        <f>(T4^2)*X4</f>
        <v>1.1464896975059956E+25</v>
      </c>
      <c r="AB4" s="37">
        <f>T4*U4*X4</f>
        <v>59376686245647.594</v>
      </c>
      <c r="AD4" s="20" t="s">
        <v>40</v>
      </c>
      <c r="AE4" s="35">
        <f>(AA17*X17)-(Y17^2)</f>
        <v>1.3246241679217129E+45</v>
      </c>
      <c r="AK4" s="14"/>
      <c r="AL4" s="14"/>
      <c r="AM4" s="14"/>
      <c r="AN4" s="14"/>
    </row>
    <row r="5" spans="1:41" ht="20" customHeight="1" x14ac:dyDescent="0.2">
      <c r="A5" s="43"/>
      <c r="B5" s="74">
        <v>190.7</v>
      </c>
      <c r="C5" s="186">
        <v>0.10435999999999999</v>
      </c>
      <c r="D5" s="180">
        <f t="shared" si="0"/>
        <v>5.2179999999999997E-2</v>
      </c>
      <c r="E5" s="75">
        <v>1.139</v>
      </c>
      <c r="F5" s="88">
        <v>0.99395</v>
      </c>
      <c r="G5" s="77">
        <f>Costanti!$C$10*E5/Costanti!$C$4</f>
        <v>8.5874171259933219E-4</v>
      </c>
      <c r="H5" s="78">
        <f t="shared" si="1"/>
        <v>8.5354632523810625E-4</v>
      </c>
      <c r="I5" s="77">
        <f t="shared" si="2"/>
        <v>192273018934.42645</v>
      </c>
      <c r="J5" s="76">
        <f>Costanti!$R$5</f>
        <v>1.5E-3</v>
      </c>
      <c r="K5" s="79">
        <f>SQRT(((-Costanti!$C$10*E5*(1/(Costanti!$C$4^2)))^2)*(Costanti!$E$4^2)+((Costanti!$C$10/Costanti!$C$4)^2)*(Costanti!$C$9^2))</f>
        <v>2.3402785195087601E-6</v>
      </c>
      <c r="L5" s="77">
        <f xml:space="preserve"> I5 * Costanti!$C$8 /B5</f>
        <v>100824865.72334896</v>
      </c>
      <c r="M5" s="59"/>
      <c r="N5" s="14"/>
      <c r="T5" s="36">
        <f t="shared" si="3"/>
        <v>421.8</v>
      </c>
      <c r="U5" s="37">
        <f t="shared" si="4"/>
        <v>2.2149884549429455E-9</v>
      </c>
      <c r="V5" s="35">
        <f>SQRT(((2*D4*(H4^2))^2)*((Costanti!$R$5)^2)+((2*H4*((D4)^2))^2)*(K4)^2)</f>
        <v>1.2933017366426377E-10</v>
      </c>
      <c r="X5" s="35">
        <f t="shared" ref="X5:X16" si="5">1/(V5^2)</f>
        <v>5.9786107476036706E+19</v>
      </c>
      <c r="Y5" s="35">
        <f t="shared" ref="Y5:Y16" si="6">T5*X5</f>
        <v>2.5217780133392282E+22</v>
      </c>
      <c r="Z5" s="35">
        <f t="shared" ref="Z5:Z16" si="7">U5*X5</f>
        <v>132425537825.39943</v>
      </c>
      <c r="AA5" s="35">
        <f t="shared" ref="AA5:AA16" si="8">(T5^2)*X5</f>
        <v>1.0636859660264867E+25</v>
      </c>
      <c r="AB5" s="35">
        <f t="shared" ref="AB5:AB16" si="9">T5*U5*X5</f>
        <v>55857091854753.477</v>
      </c>
      <c r="AD5" s="20" t="s">
        <v>47</v>
      </c>
      <c r="AE5" s="35">
        <f>((X17*AB17)-(Y17*Z17))/AE4</f>
        <v>5.7770506601884857E-12</v>
      </c>
      <c r="AK5" s="14"/>
      <c r="AL5" s="14"/>
      <c r="AM5" s="14"/>
      <c r="AN5" s="14"/>
    </row>
    <row r="6" spans="1:41" ht="20" customHeight="1" x14ac:dyDescent="0.2">
      <c r="A6" s="43"/>
      <c r="B6" s="81">
        <v>234.1</v>
      </c>
      <c r="C6" s="187">
        <v>0.10965</v>
      </c>
      <c r="D6" s="180">
        <f t="shared" si="0"/>
        <v>5.4824999999999999E-2</v>
      </c>
      <c r="E6" s="82">
        <v>1.242</v>
      </c>
      <c r="F6" s="89">
        <v>0.99290999999999996</v>
      </c>
      <c r="G6" s="84">
        <f>Costanti!$C$10*E6/Costanti!$C$4</f>
        <v>9.3639789907670799E-4</v>
      </c>
      <c r="H6" s="85">
        <f t="shared" si="1"/>
        <v>9.2975883797225412E-4</v>
      </c>
      <c r="I6" s="84">
        <f t="shared" si="2"/>
        <v>180191167028.46533</v>
      </c>
      <c r="J6" s="83">
        <f>Costanti!$R$5</f>
        <v>1.5E-3</v>
      </c>
      <c r="K6" s="86">
        <f>SQRT(((-Costanti!$C$10*E6*(1/(Costanti!$C$4^2)))^2)*(Costanti!$E$4^2)+((Costanti!$C$10/Costanti!$C$4)^2)*(Costanti!$C$9^2))</f>
        <v>2.5307689597662054E-6</v>
      </c>
      <c r="L6" s="84">
        <f xml:space="preserve"> I6 * Costanti!$C$8 /B6</f>
        <v>76971878.269314542</v>
      </c>
      <c r="M6" s="59"/>
      <c r="N6" s="14"/>
      <c r="T6" s="36">
        <f t="shared" si="3"/>
        <v>381.4</v>
      </c>
      <c r="U6" s="37">
        <f t="shared" si="4"/>
        <v>1.9836376529255733E-9</v>
      </c>
      <c r="V6" s="35">
        <f>SQRT(((2*D5*(H5^2))^2)*((Costanti!$R$5)^2)+((2*H5*((D5)^2))^2)*(K5)^2)</f>
        <v>1.1456343279409E-10</v>
      </c>
      <c r="X6" s="35">
        <f t="shared" si="5"/>
        <v>7.6191752534013854E+19</v>
      </c>
      <c r="Y6" s="35">
        <f t="shared" si="6"/>
        <v>2.9059534416472883E+22</v>
      </c>
      <c r="Z6" s="35">
        <f t="shared" si="7"/>
        <v>151136829168.85733</v>
      </c>
      <c r="AA6" s="35">
        <f t="shared" si="8"/>
        <v>1.1083306426442758E+25</v>
      </c>
      <c r="AB6" s="35">
        <f t="shared" si="9"/>
        <v>57643586645002.188</v>
      </c>
      <c r="AD6" s="20" t="s">
        <v>48</v>
      </c>
      <c r="AE6" s="35">
        <f>((Z17*AA17)-(Y17*AB17))/AE4</f>
        <v>-2.3479349026943243E-10</v>
      </c>
      <c r="AK6" s="14"/>
      <c r="AL6" s="14"/>
      <c r="AM6" s="14"/>
      <c r="AN6" s="14"/>
    </row>
    <row r="7" spans="1:41" ht="20" customHeight="1" x14ac:dyDescent="0.2">
      <c r="A7" s="43"/>
      <c r="B7" s="74">
        <v>259.60000000000002</v>
      </c>
      <c r="C7" s="186">
        <v>0.10557</v>
      </c>
      <c r="D7" s="180">
        <f t="shared" si="0"/>
        <v>5.2784999999999999E-2</v>
      </c>
      <c r="E7" s="75">
        <v>1.323</v>
      </c>
      <c r="F7" s="88">
        <v>0.99395</v>
      </c>
      <c r="G7" s="77">
        <f>Costanti!$C$10*E7/Costanti!$C$4</f>
        <v>9.9746732727736291E-4</v>
      </c>
      <c r="H7" s="78">
        <f t="shared" si="1"/>
        <v>9.9143264994733487E-4</v>
      </c>
      <c r="I7" s="77">
        <f t="shared" si="2"/>
        <v>189577677279.0195</v>
      </c>
      <c r="J7" s="76">
        <f>Costanti!$R$5</f>
        <v>1.5E-3</v>
      </c>
      <c r="K7" s="79">
        <f>SQRT(((-Costanti!$C$10*E7*(1/(Costanti!$C$4^2)))^2)*(Costanti!$E$4^2)+((Costanti!$C$10/Costanti!$C$4)^2)*(Costanti!$C$9^2))</f>
        <v>2.68158158537817E-6</v>
      </c>
      <c r="L7" s="77">
        <f xml:space="preserve"> I7 * Costanti!$C$8 /B7</f>
        <v>73026840.246155426</v>
      </c>
      <c r="M7" s="59"/>
      <c r="N7" s="14"/>
      <c r="T7" s="36">
        <f t="shared" si="3"/>
        <v>468.2</v>
      </c>
      <c r="U7" s="37">
        <f t="shared" si="4"/>
        <v>2.598351560296166E-9</v>
      </c>
      <c r="V7" s="35">
        <f>SQRT(((2*D6*(H6^2))^2)*((Costanti!$R$5)^2)+((2*H6*((D6)^2))^2)*(K6)^2)</f>
        <v>1.4288256598462555E-10</v>
      </c>
      <c r="X7" s="35">
        <f t="shared" si="5"/>
        <v>4.8982564388996399E+19</v>
      </c>
      <c r="Y7" s="35">
        <f t="shared" si="6"/>
        <v>2.2933636646928113E+22</v>
      </c>
      <c r="Z7" s="35">
        <f t="shared" si="7"/>
        <v>127273922607.45621</v>
      </c>
      <c r="AA7" s="35">
        <f t="shared" si="8"/>
        <v>1.0737528678091743E+25</v>
      </c>
      <c r="AB7" s="35">
        <f t="shared" si="9"/>
        <v>59589650564811</v>
      </c>
      <c r="AD7" s="20" t="s">
        <v>43</v>
      </c>
      <c r="AE7" s="35">
        <f>SQRT(X17/AE4)</f>
        <v>6.9162341227439405E-13</v>
      </c>
      <c r="AK7" s="14"/>
      <c r="AL7" s="14"/>
      <c r="AM7" s="14"/>
      <c r="AN7" s="14"/>
    </row>
    <row r="8" spans="1:41" ht="20" customHeight="1" x14ac:dyDescent="0.2">
      <c r="A8" s="43"/>
      <c r="B8" s="81">
        <v>244.6</v>
      </c>
      <c r="C8" s="187">
        <v>0.10185</v>
      </c>
      <c r="D8" s="180">
        <f t="shared" si="0"/>
        <v>5.0924999999999998E-2</v>
      </c>
      <c r="E8" s="82">
        <v>1.323</v>
      </c>
      <c r="F8" s="89">
        <v>0.99485999999999997</v>
      </c>
      <c r="G8" s="84">
        <f>Costanti!$C$10*E8/Costanti!$C$4</f>
        <v>9.9746732727736291E-4</v>
      </c>
      <c r="H8" s="85">
        <f t="shared" si="1"/>
        <v>9.9234034521515722E-4</v>
      </c>
      <c r="I8" s="84">
        <f t="shared" si="2"/>
        <v>191559226923.64438</v>
      </c>
      <c r="J8" s="83">
        <f>Costanti!$R$5</f>
        <v>1.5E-3</v>
      </c>
      <c r="K8" s="86">
        <f>SQRT(((-Costanti!$C$10*E8*(1/(Costanti!$C$4^2)))^2)*(Costanti!$E$4^2)+((Costanti!$C$10/Costanti!$C$4)^2)*(Costanti!$C$9^2))</f>
        <v>2.68158158537817E-6</v>
      </c>
      <c r="L8" s="84">
        <f xml:space="preserve"> I8 * Costanti!$C$8 /B8</f>
        <v>78315301.277041852</v>
      </c>
      <c r="M8" s="59"/>
      <c r="N8" s="14"/>
      <c r="T8" s="36">
        <f t="shared" si="3"/>
        <v>519.20000000000005</v>
      </c>
      <c r="U8" s="37">
        <f t="shared" si="4"/>
        <v>2.7387190699453718E-9</v>
      </c>
      <c r="V8" s="35">
        <f>SQRT(((2*D7*(H7^2))^2)*((Costanti!$R$5)^2)+((2*H7*((D7)^2))^2)*(K7)^2)</f>
        <v>1.5635672205749345E-10</v>
      </c>
      <c r="X8" s="35">
        <f t="shared" si="5"/>
        <v>4.0904104179480674E+19</v>
      </c>
      <c r="Y8" s="35">
        <f t="shared" si="6"/>
        <v>2.1237410889986369E+22</v>
      </c>
      <c r="Z8" s="35">
        <f t="shared" si="7"/>
        <v>112024850155.3759</v>
      </c>
      <c r="AA8" s="35">
        <f t="shared" si="8"/>
        <v>1.1026463734080925E+25</v>
      </c>
      <c r="AB8" s="35">
        <f t="shared" si="9"/>
        <v>58163302200671.172</v>
      </c>
      <c r="AD8" s="20" t="s">
        <v>44</v>
      </c>
      <c r="AE8" s="35">
        <f>SQRT(AA17/AE4)</f>
        <v>3.2406280946483707E-10</v>
      </c>
      <c r="AK8" s="14"/>
      <c r="AL8" s="14"/>
      <c r="AM8" s="14"/>
      <c r="AN8" s="14"/>
    </row>
    <row r="9" spans="1:41" ht="20" customHeight="1" x14ac:dyDescent="0.2">
      <c r="A9" s="43"/>
      <c r="B9" s="74">
        <v>270.89999999999998</v>
      </c>
      <c r="C9" s="186">
        <v>0.10058</v>
      </c>
      <c r="D9" s="180">
        <f t="shared" si="0"/>
        <v>5.0290000000000001E-2</v>
      </c>
      <c r="E9" s="75">
        <v>1.411</v>
      </c>
      <c r="F9" s="88">
        <v>0.99485999999999997</v>
      </c>
      <c r="G9" s="77">
        <f>Costanti!$C$10*E9/Costanti!$C$4</f>
        <v>1.0638143603842471E-3</v>
      </c>
      <c r="H9" s="78">
        <f t="shared" si="1"/>
        <v>1.058346354571872E-3</v>
      </c>
      <c r="I9" s="77">
        <f t="shared" si="2"/>
        <v>191258212698.439</v>
      </c>
      <c r="J9" s="76">
        <f>Costanti!$R$5</f>
        <v>1.5E-3</v>
      </c>
      <c r="K9" s="79">
        <f>SQRT(((-Costanti!$C$10*E9*(1/(Costanti!$C$4^2)))^2)*(Costanti!$E$4^2)+((Costanti!$C$10/Costanti!$C$4)^2)*(Costanti!$C$9^2))</f>
        <v>2.8462555242093808E-6</v>
      </c>
      <c r="L9" s="77">
        <f xml:space="preserve"> I9 * Costanti!$C$8 /B9</f>
        <v>70601038.279231817</v>
      </c>
      <c r="M9" s="59"/>
      <c r="N9" s="14"/>
      <c r="T9" s="36">
        <f t="shared" si="3"/>
        <v>489.2</v>
      </c>
      <c r="U9" s="37">
        <f t="shared" si="4"/>
        <v>2.5537793603384888E-9</v>
      </c>
      <c r="V9" s="35">
        <f>SQRT(((2*D8*(H8^2))^2)*((Costanti!$R$5)^2)+((2*H8*((D8)^2))^2)*(K8)^2)</f>
        <v>1.5107534609651471E-10</v>
      </c>
      <c r="X9" s="38">
        <f t="shared" si="5"/>
        <v>4.3813989952438551E+19</v>
      </c>
      <c r="Y9" s="38">
        <f t="shared" si="6"/>
        <v>2.143380388473294E+22</v>
      </c>
      <c r="Z9" s="38">
        <f t="shared" si="7"/>
        <v>111891263234.61549</v>
      </c>
      <c r="AA9" s="38">
        <f t="shared" si="8"/>
        <v>1.0485416860411352E+25</v>
      </c>
      <c r="AB9" s="38">
        <f t="shared" si="9"/>
        <v>54737205974373.906</v>
      </c>
      <c r="AK9" s="14"/>
      <c r="AL9" s="14"/>
      <c r="AM9" s="14"/>
      <c r="AN9" s="14"/>
    </row>
    <row r="10" spans="1:41" ht="20" customHeight="1" x14ac:dyDescent="0.2">
      <c r="A10" s="43"/>
      <c r="B10" s="81">
        <v>292.2</v>
      </c>
      <c r="C10" s="187">
        <v>9.8879999999999996E-2</v>
      </c>
      <c r="D10" s="180">
        <f t="shared" si="0"/>
        <v>4.9439999999999998E-2</v>
      </c>
      <c r="E10" s="82">
        <v>1.5029999999999999</v>
      </c>
      <c r="F10" s="89">
        <v>0.99485999999999997</v>
      </c>
      <c r="G10" s="84">
        <f>Costanti!$C$10*E10/Costanti!$C$4</f>
        <v>1.1331771677232625E-3</v>
      </c>
      <c r="H10" s="85">
        <f t="shared" si="1"/>
        <v>1.127352637081165E-3</v>
      </c>
      <c r="I10" s="84">
        <f t="shared" si="2"/>
        <v>188119455471.64084</v>
      </c>
      <c r="J10" s="83">
        <f>Costanti!$R$5</f>
        <v>1.5E-3</v>
      </c>
      <c r="K10" s="86">
        <f>SQRT(((-Costanti!$C$10*E10*(1/(Costanti!$C$4^2)))^2)*(Costanti!$E$4^2)+((Costanti!$C$10/Costanti!$C$4)^2)*(Costanti!$C$9^2))</f>
        <v>3.0191875692545621E-6</v>
      </c>
      <c r="L10" s="84">
        <f xml:space="preserve"> I10 * Costanti!$C$8 /B10</f>
        <v>64380374.90473678</v>
      </c>
      <c r="M10" s="59"/>
      <c r="N10" s="14"/>
      <c r="T10" s="36">
        <f t="shared" si="3"/>
        <v>541.79999999999995</v>
      </c>
      <c r="U10" s="37">
        <f t="shared" si="4"/>
        <v>2.8328195289279825E-9</v>
      </c>
      <c r="V10" s="35">
        <f>SQRT(((2*D9*(H9^2))^2)*((Costanti!$R$5)^2)+((2*H9*((D9)^2))^2)*(K9)^2)</f>
        <v>1.6967455738629971E-10</v>
      </c>
      <c r="X10" s="105">
        <f t="shared" si="5"/>
        <v>3.4734939764026909E+19</v>
      </c>
      <c r="Y10" s="105">
        <f t="shared" si="6"/>
        <v>1.8819390364149778E+22</v>
      </c>
      <c r="Z10" s="105">
        <f t="shared" si="7"/>
        <v>98397815699.672562</v>
      </c>
      <c r="AA10" s="105">
        <f t="shared" si="8"/>
        <v>1.0196345699296347E+25</v>
      </c>
      <c r="AB10" s="105">
        <f t="shared" si="9"/>
        <v>53311936546082.586</v>
      </c>
      <c r="AD10" s="20" t="s">
        <v>45</v>
      </c>
      <c r="AE10" s="106">
        <f>AE5</f>
        <v>5.7770506601884857E-12</v>
      </c>
      <c r="AF10" s="106" t="s">
        <v>0</v>
      </c>
      <c r="AG10" s="35">
        <f>AE7</f>
        <v>6.9162341227439405E-13</v>
      </c>
      <c r="AK10" s="14"/>
      <c r="AL10" s="14"/>
      <c r="AM10" s="14"/>
      <c r="AN10" s="14"/>
    </row>
    <row r="11" spans="1:41" ht="20" customHeight="1" x14ac:dyDescent="0.2">
      <c r="A11" s="43"/>
      <c r="B11" s="74">
        <v>271.10000000000002</v>
      </c>
      <c r="C11" s="186">
        <v>0.10208</v>
      </c>
      <c r="D11" s="180">
        <f t="shared" si="0"/>
        <v>5.1040000000000002E-2</v>
      </c>
      <c r="E11" s="75">
        <v>1.417</v>
      </c>
      <c r="F11" s="88">
        <v>0.99485999999999997</v>
      </c>
      <c r="G11" s="77">
        <f>Costanti!$C$10*E11/Costanti!$C$4</f>
        <v>1.0683380217324438E-3</v>
      </c>
      <c r="H11" s="78">
        <f t="shared" si="1"/>
        <v>1.0628467643007391E-3</v>
      </c>
      <c r="I11" s="77">
        <f>2*B11/((D11*H11)^2)</f>
        <v>184245492740.33957</v>
      </c>
      <c r="J11" s="76">
        <f>Costanti!$R$5</f>
        <v>1.5E-3</v>
      </c>
      <c r="K11" s="79">
        <f>SQRT(((-Costanti!$C$10*E11*(1/(Costanti!$C$4^2)))^2)*(Costanti!$E$4^2)+((Costanti!$C$10/Costanti!$C$4)^2)*(Costanti!$C$9^2))</f>
        <v>2.8575111030892568E-6</v>
      </c>
      <c r="L11" s="77">
        <f xml:space="preserve"> I11 * Costanti!$C$8 /B11</f>
        <v>67962188.395551294</v>
      </c>
      <c r="M11" s="59"/>
      <c r="N11" s="14"/>
      <c r="T11" s="36">
        <f t="shared" si="3"/>
        <v>584.4</v>
      </c>
      <c r="U11" s="37">
        <f t="shared" si="4"/>
        <v>3.1065367403644159E-9</v>
      </c>
      <c r="V11" s="35">
        <f>SQRT(((2*D10*(H10^2))^2)*((Costanti!$R$5)^2)+((2*H10*((D10)^2))^2)*(K10)^2)</f>
        <v>1.8923640386914241E-10</v>
      </c>
      <c r="X11" s="105">
        <f t="shared" si="5"/>
        <v>2.7924835742209323E+19</v>
      </c>
      <c r="Y11" s="105">
        <f t="shared" si="6"/>
        <v>1.6319274007747128E+22</v>
      </c>
      <c r="Z11" s="105">
        <f t="shared" si="7"/>
        <v>86749528201.814682</v>
      </c>
      <c r="AA11" s="105">
        <f t="shared" si="8"/>
        <v>9.5369837301274214E+24</v>
      </c>
      <c r="AB11" s="105">
        <f t="shared" si="9"/>
        <v>50696424281140.5</v>
      </c>
      <c r="AD11" s="20" t="s">
        <v>22</v>
      </c>
      <c r="AE11" s="108">
        <f>1/AE10</f>
        <v>173098707077.52689</v>
      </c>
      <c r="AF11" s="108" t="s">
        <v>0</v>
      </c>
      <c r="AG11" s="108">
        <f>(AE11^2)*AG10</f>
        <v>20723224616.025597</v>
      </c>
      <c r="AH11" s="109"/>
      <c r="AK11" s="14"/>
      <c r="AL11" s="14"/>
      <c r="AM11" s="14"/>
      <c r="AN11" s="14"/>
      <c r="AO11" s="14"/>
    </row>
    <row r="12" spans="1:41" ht="20" customHeight="1" x14ac:dyDescent="0.2">
      <c r="A12" s="43"/>
      <c r="B12" s="81">
        <v>260</v>
      </c>
      <c r="C12" s="187">
        <v>0.10267</v>
      </c>
      <c r="D12" s="180">
        <f t="shared" si="0"/>
        <v>5.1334999999999999E-2</v>
      </c>
      <c r="E12" s="82">
        <v>1.383</v>
      </c>
      <c r="F12" s="89">
        <v>0.99485999999999997</v>
      </c>
      <c r="G12" s="84">
        <f>Costanti!$C$10*E12/Costanti!$C$4</f>
        <v>1.0427039407593295E-3</v>
      </c>
      <c r="H12" s="85">
        <f t="shared" si="1"/>
        <v>1.0373444425038265E-3</v>
      </c>
      <c r="I12" s="84">
        <f t="shared" si="2"/>
        <v>183370826194.48914</v>
      </c>
      <c r="J12" s="83">
        <f>Costanti!$R$5</f>
        <v>1.5E-3</v>
      </c>
      <c r="K12" s="86">
        <f>SQRT(((-Costanti!$C$10*E12*(1/(Costanti!$C$4^2)))^2)*(Costanti!$E$4^2)+((Costanti!$C$10/Costanti!$C$4)^2)*(Costanti!$C$9^2))</f>
        <v>2.7937745435046634E-6</v>
      </c>
      <c r="L12" s="84">
        <f xml:space="preserve"> I12 * Costanti!$C$8 /B12</f>
        <v>70527240.844034284</v>
      </c>
      <c r="M12" s="59"/>
      <c r="N12" s="14"/>
      <c r="T12" s="36">
        <f t="shared" si="3"/>
        <v>542.20000000000005</v>
      </c>
      <c r="U12" s="37">
        <f t="shared" si="4"/>
        <v>2.9428128305104971E-9</v>
      </c>
      <c r="V12" s="35">
        <f>SQRT(((2*D11*(H11^2))^2)*((Costanti!$R$5)^2)+((2*H11*((D11)^2))^2)*(K11)^2)</f>
        <v>1.7369326220866704E-10</v>
      </c>
      <c r="X12" s="105">
        <f t="shared" si="5"/>
        <v>3.3146223633795977E+19</v>
      </c>
      <c r="Y12" s="105">
        <f t="shared" si="6"/>
        <v>1.7971882454244181E+22</v>
      </c>
      <c r="Z12" s="105">
        <f t="shared" si="7"/>
        <v>97543132192.505081</v>
      </c>
      <c r="AA12" s="105">
        <f t="shared" si="8"/>
        <v>9.7443546666911942E+24</v>
      </c>
      <c r="AB12" s="105">
        <f t="shared" si="9"/>
        <v>52887886274776.258</v>
      </c>
      <c r="AG12" s="110"/>
    </row>
    <row r="13" spans="1:41" ht="20" customHeight="1" x14ac:dyDescent="0.2">
      <c r="A13" s="43"/>
      <c r="B13" s="74">
        <v>202.2</v>
      </c>
      <c r="C13" s="186">
        <v>0.10866000000000001</v>
      </c>
      <c r="D13" s="180">
        <f t="shared" si="0"/>
        <v>5.4330000000000003E-2</v>
      </c>
      <c r="E13" s="75">
        <v>1.1180000000000001</v>
      </c>
      <c r="F13" s="88">
        <v>0.99290999999999996</v>
      </c>
      <c r="G13" s="77">
        <f>Costanti!$C$10*E13/Costanti!$C$4</f>
        <v>8.4290889788064393E-4</v>
      </c>
      <c r="H13" s="78">
        <f t="shared" si="1"/>
        <v>8.369326737946701E-4</v>
      </c>
      <c r="I13" s="77">
        <f t="shared" si="2"/>
        <v>195591821332.90436</v>
      </c>
      <c r="J13" s="76">
        <f>Costanti!$R$5</f>
        <v>1.5E-3</v>
      </c>
      <c r="K13" s="79">
        <f>SQRT(((-Costanti!$C$10*E13*(1/(Costanti!$C$4^2)))^2)*(Costanti!$E$4^2)+((Costanti!$C$10/Costanti!$C$4)^2)*(Costanti!$C$9^2))</f>
        <v>2.3016461188420451E-6</v>
      </c>
      <c r="L13" s="77">
        <f xml:space="preserve"> I13 * Costanti!$C$8 /B13</f>
        <v>96731860.204205915</v>
      </c>
      <c r="M13" s="59"/>
      <c r="N13" s="14"/>
      <c r="O13" s="189"/>
      <c r="P13" s="74">
        <v>246</v>
      </c>
      <c r="Q13" s="186">
        <v>0.10405</v>
      </c>
      <c r="R13" s="75">
        <v>1.29</v>
      </c>
      <c r="S13" s="88">
        <v>0.99395</v>
      </c>
      <c r="T13" s="36">
        <f t="shared" si="3"/>
        <v>520</v>
      </c>
      <c r="U13" s="37">
        <f t="shared" si="4"/>
        <v>2.8357837001207095E-9</v>
      </c>
      <c r="V13" s="35">
        <f>SQRT(((2*D12*(H12^2))^2)*((Costanti!$R$5)^2)+((2*H12*((D12)^2))^2)*(K12)^2)</f>
        <v>1.6642468386014304E-10</v>
      </c>
      <c r="X13" s="105">
        <f t="shared" si="5"/>
        <v>3.6104764678425182E+19</v>
      </c>
      <c r="Y13" s="105">
        <f t="shared" si="6"/>
        <v>1.8774477632781096E+22</v>
      </c>
      <c r="Z13" s="105">
        <f t="shared" si="7"/>
        <v>102385303171.77206</v>
      </c>
      <c r="AA13" s="105">
        <f t="shared" si="8"/>
        <v>9.7627283690461694E+24</v>
      </c>
      <c r="AB13" s="105">
        <f t="shared" si="9"/>
        <v>53240357649321.477</v>
      </c>
    </row>
    <row r="14" spans="1:41" ht="20" customHeight="1" x14ac:dyDescent="0.2">
      <c r="A14" s="43"/>
      <c r="B14" s="81">
        <v>223.3</v>
      </c>
      <c r="C14" s="187">
        <v>0.10161000000000001</v>
      </c>
      <c r="D14" s="180">
        <f t="shared" si="0"/>
        <v>5.0805000000000003E-2</v>
      </c>
      <c r="E14" s="82">
        <v>1.26</v>
      </c>
      <c r="F14" s="89">
        <v>0.99485999999999997</v>
      </c>
      <c r="G14" s="84">
        <f>Costanti!$C$10*E14/Costanti!$C$4</f>
        <v>9.4996888312129802E-4</v>
      </c>
      <c r="H14" s="85">
        <f t="shared" si="1"/>
        <v>9.450860430620545E-4</v>
      </c>
      <c r="I14" s="84">
        <f>2*B14/((D14*H14)^2)</f>
        <v>193714936327.15915</v>
      </c>
      <c r="J14" s="83">
        <f>Costanti!$R$5</f>
        <v>1.5E-3</v>
      </c>
      <c r="K14" s="86">
        <f>SQRT(((-Costanti!$C$10*E14*(1/(Costanti!$C$4^2)))^2)*(Costanti!$E$4^2)+((Costanti!$C$10/Costanti!$C$4)^2)*(Costanti!$C$9^2))</f>
        <v>2.5642127973239771E-6</v>
      </c>
      <c r="L14" s="84">
        <f xml:space="preserve"> I14 * Costanti!$C$8 /B14</f>
        <v>86750979.098593444</v>
      </c>
      <c r="M14" s="59"/>
      <c r="N14" s="14"/>
      <c r="O14" s="189"/>
      <c r="P14" s="81">
        <v>228.3</v>
      </c>
      <c r="Q14" s="187">
        <v>0.10503</v>
      </c>
      <c r="R14" s="82">
        <v>1.2090000000000001</v>
      </c>
      <c r="S14" s="89">
        <v>0.99395</v>
      </c>
      <c r="T14" s="36">
        <f t="shared" si="3"/>
        <v>404.4</v>
      </c>
      <c r="U14" s="37">
        <f t="shared" si="4"/>
        <v>2.067571114395916E-9</v>
      </c>
      <c r="V14" s="35">
        <f>SQRT(((2*D13*(H13^2))^2)*((Costanti!$R$5)^2)+((2*H13*((D13)^2))^2)*(K13)^2)</f>
        <v>1.1473235061517231E-10</v>
      </c>
      <c r="X14" s="105">
        <f t="shared" si="5"/>
        <v>7.5967566930854855E+19</v>
      </c>
      <c r="Y14" s="105">
        <f t="shared" si="6"/>
        <v>3.0721284066837701E+22</v>
      </c>
      <c r="Z14" s="105">
        <f t="shared" si="7"/>
        <v>157068347017.17392</v>
      </c>
      <c r="AA14" s="105">
        <f t="shared" si="8"/>
        <v>1.2423687276629167E+25</v>
      </c>
      <c r="AB14" s="105">
        <f t="shared" si="9"/>
        <v>63518439533745.125</v>
      </c>
    </row>
    <row r="15" spans="1:41" ht="20" customHeight="1" x14ac:dyDescent="0.2">
      <c r="A15" s="43"/>
      <c r="B15" s="74">
        <v>252.2</v>
      </c>
      <c r="C15" s="186">
        <v>0.10803</v>
      </c>
      <c r="D15" s="180">
        <f t="shared" si="0"/>
        <v>5.4015000000000001E-2</v>
      </c>
      <c r="E15" s="75">
        <v>1.28</v>
      </c>
      <c r="F15" s="88">
        <v>0.99395</v>
      </c>
      <c r="G15" s="77">
        <f>Costanti!$C$10*E15/Costanti!$C$4</f>
        <v>9.6504775428195343E-4</v>
      </c>
      <c r="H15" s="78">
        <f t="shared" si="1"/>
        <v>9.5920921536854758E-4</v>
      </c>
      <c r="I15" s="77">
        <f t="shared" si="2"/>
        <v>187896907388.52576</v>
      </c>
      <c r="J15" s="76">
        <f>Costanti!$R$5</f>
        <v>1.5E-3</v>
      </c>
      <c r="K15" s="79">
        <f>SQRT(((-Costanti!$C$10*E15*(1/(Costanti!$C$4^2)))^2)*(Costanti!$E$4^2)+((Costanti!$C$10/Costanti!$C$4)^2)*(Costanti!$C$9^2))</f>
        <v>2.6014210283642515E-6</v>
      </c>
      <c r="L15" s="77">
        <f xml:space="preserve"> I15 * Costanti!$C$8 /B15</f>
        <v>74503135.364205301</v>
      </c>
      <c r="M15" s="59"/>
      <c r="N15" s="14"/>
      <c r="O15" s="189"/>
      <c r="P15" s="74">
        <v>183.6</v>
      </c>
      <c r="Q15" s="186">
        <v>0.10460999999999999</v>
      </c>
      <c r="R15" s="75">
        <v>1.0580000000000001</v>
      </c>
      <c r="S15" s="88">
        <v>0.99395</v>
      </c>
      <c r="T15" s="36">
        <f t="shared" si="3"/>
        <v>446.6</v>
      </c>
      <c r="U15" s="37">
        <f t="shared" si="4"/>
        <v>2.305449484007527E-9</v>
      </c>
      <c r="V15" s="35">
        <f>SQRT(((2*D14*(H14^2))^2)*((Costanti!$R$5)^2)+((2*H14*((D14)^2))^2)*(K14)^2)</f>
        <v>1.3670880972588244E-10</v>
      </c>
      <c r="X15" s="105">
        <f t="shared" si="5"/>
        <v>5.3506555723172815E+19</v>
      </c>
      <c r="Y15" s="105">
        <f t="shared" si="6"/>
        <v>2.3896027785968981E+22</v>
      </c>
      <c r="Z15" s="105">
        <f t="shared" si="7"/>
        <v>123356661283.00876</v>
      </c>
      <c r="AA15" s="105">
        <f t="shared" si="8"/>
        <v>1.0671966009213747E+25</v>
      </c>
      <c r="AB15" s="105">
        <f t="shared" si="9"/>
        <v>55091084928991.719</v>
      </c>
    </row>
    <row r="16" spans="1:41" ht="20" customHeight="1" x14ac:dyDescent="0.2">
      <c r="A16" s="67" t="s">
        <v>29</v>
      </c>
      <c r="B16" s="68"/>
      <c r="C16" s="69"/>
      <c r="D16" s="69"/>
      <c r="E16" s="69"/>
      <c r="F16" s="69"/>
      <c r="G16" s="69"/>
      <c r="H16" s="70"/>
      <c r="I16" s="70">
        <f>AVERAGE(I3:I15)</f>
        <v>189332011292.28387</v>
      </c>
      <c r="J16" s="69"/>
      <c r="K16" s="71"/>
      <c r="L16" s="69"/>
      <c r="M16" s="59"/>
      <c r="N16" s="14"/>
      <c r="T16" s="36">
        <f t="shared" si="3"/>
        <v>504.4</v>
      </c>
      <c r="U16" s="37">
        <f t="shared" si="4"/>
        <v>2.684450782135662E-9</v>
      </c>
      <c r="V16" s="35">
        <f>SQRT(((2*D15*(H15^2))^2)*((Costanti!$R$5)^2)+((2*H15*((D15)^2))^2)*(K15)^2)</f>
        <v>1.4980405791737184E-10</v>
      </c>
      <c r="X16" s="105">
        <f t="shared" si="5"/>
        <v>4.4560786183951499E+19</v>
      </c>
      <c r="Y16" s="105">
        <f t="shared" si="6"/>
        <v>2.2476460551185134E+22</v>
      </c>
      <c r="Z16" s="105">
        <f t="shared" si="7"/>
        <v>119621237324.08861</v>
      </c>
      <c r="AA16" s="105">
        <f t="shared" si="8"/>
        <v>1.1337126702017782E+25</v>
      </c>
      <c r="AB16" s="105">
        <f t="shared" si="9"/>
        <v>60336952106270.289</v>
      </c>
    </row>
    <row r="17" spans="1:41" ht="20" customHeight="1" x14ac:dyDescent="0.2">
      <c r="A17" s="150" t="s">
        <v>66</v>
      </c>
      <c r="B17" s="111"/>
      <c r="C17" s="112"/>
      <c r="D17" s="113"/>
      <c r="E17" s="114"/>
      <c r="F17" s="43"/>
      <c r="G17" s="59"/>
      <c r="H17" s="59"/>
      <c r="I17" s="59"/>
      <c r="J17" s="59"/>
      <c r="K17" s="59"/>
      <c r="L17" s="59"/>
      <c r="M17" s="59"/>
      <c r="N17" s="14"/>
      <c r="T17" s="41"/>
      <c r="W17" s="149" t="s">
        <v>46</v>
      </c>
      <c r="X17" s="107">
        <f>SUM(X4:X16)</f>
        <v>6.336246247151213E+20</v>
      </c>
      <c r="Y17" s="107">
        <f>SUM(Y4:Y16)</f>
        <v>2.946479555808502E+23</v>
      </c>
      <c r="Z17" s="152">
        <f>SUM(Z4:Z16)</f>
        <v>1553425229154.0017</v>
      </c>
      <c r="AA17" s="107">
        <f>SUM(AA4:AA16)</f>
        <v>1.3910766478737343E+26</v>
      </c>
      <c r="AB17" s="152">
        <f>SUM(AB4:AB16)</f>
        <v>734450604805587.25</v>
      </c>
    </row>
    <row r="18" spans="1:41" ht="20" customHeight="1" x14ac:dyDescent="0.2">
      <c r="A18" s="115"/>
      <c r="B18" s="153"/>
      <c r="D18" s="116"/>
      <c r="F18" s="14"/>
      <c r="G18" s="14"/>
      <c r="H18" s="14"/>
      <c r="K18" s="14"/>
      <c r="L18" s="14"/>
      <c r="M18" s="14"/>
      <c r="N18" s="14"/>
      <c r="T18" s="41"/>
    </row>
    <row r="20" spans="1:41" ht="20" customHeight="1" x14ac:dyDescent="0.2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1"/>
      <c r="T20" s="179" t="s">
        <v>30</v>
      </c>
      <c r="U20" s="179"/>
    </row>
    <row r="21" spans="1:41" ht="20" customHeight="1" x14ac:dyDescent="0.2">
      <c r="A21" s="121"/>
      <c r="B21" s="122" t="s">
        <v>15</v>
      </c>
      <c r="C21" s="123" t="s">
        <v>16</v>
      </c>
      <c r="D21" s="123" t="s">
        <v>17</v>
      </c>
      <c r="E21" s="123" t="s">
        <v>18</v>
      </c>
      <c r="F21" s="123" t="s">
        <v>19</v>
      </c>
      <c r="G21" s="123" t="s">
        <v>20</v>
      </c>
      <c r="H21" s="123" t="s">
        <v>21</v>
      </c>
      <c r="I21" s="123" t="s">
        <v>22</v>
      </c>
      <c r="J21" s="123" t="s">
        <v>23</v>
      </c>
      <c r="K21" s="123" t="s">
        <v>24</v>
      </c>
      <c r="L21" s="123" t="s">
        <v>67</v>
      </c>
      <c r="M21" s="124"/>
      <c r="O21" s="146" t="s">
        <v>25</v>
      </c>
      <c r="P21" s="146" t="s">
        <v>26</v>
      </c>
      <c r="Q21" s="146" t="s">
        <v>27</v>
      </c>
      <c r="R21" s="146" t="s">
        <v>28</v>
      </c>
      <c r="AI21" s="14"/>
      <c r="AJ21" s="14"/>
      <c r="AK21" s="14"/>
      <c r="AL21" s="14"/>
    </row>
    <row r="22" spans="1:41" ht="20" customHeight="1" x14ac:dyDescent="0.2">
      <c r="A22" s="120"/>
      <c r="B22" s="125">
        <f t="shared" ref="B22:F34" si="10">B3</f>
        <v>222.3</v>
      </c>
      <c r="C22" s="126">
        <f t="shared" si="10"/>
        <v>0.1057</v>
      </c>
      <c r="D22" s="185">
        <f t="shared" si="10"/>
        <v>5.2850000000000001E-2</v>
      </c>
      <c r="E22" s="126">
        <f t="shared" si="10"/>
        <v>1.2116</v>
      </c>
      <c r="F22" s="127">
        <f t="shared" si="10"/>
        <v>0.99395</v>
      </c>
      <c r="G22" s="77">
        <f>Costanti!$C$10*E22/Costanti!$C$4-'CM Terrestre'!$I$2</f>
        <v>8.6249086416238601E-4</v>
      </c>
      <c r="H22" s="129">
        <f>G22*F22</f>
        <v>8.572727944342036E-4</v>
      </c>
      <c r="I22" s="188">
        <f>2*B22/((D22*H22)^2)</f>
        <v>216591491454.70007</v>
      </c>
      <c r="J22" s="130">
        <f t="shared" ref="H22:J34" si="11">J3</f>
        <v>1.5E-3</v>
      </c>
      <c r="K22" s="131">
        <f>SQRT(((-Costanti!$C$10*E3*(1/(Costanti!$C$4^2)))^2)*(Costanti!$E$4^2)+((Costanti!$C$10/Costanti!$C$4)^2)*(Costanti!$C$9^2 + 'CM Terrestre'!$K$2^2))</f>
        <v>2.4743845924753172E-6</v>
      </c>
      <c r="L22" s="77">
        <f t="shared" ref="L22:L34" si="12">L3</f>
        <v>86858982.462376401</v>
      </c>
      <c r="M22" s="124"/>
      <c r="O22" s="2">
        <f t="shared" ref="O22:O34" si="13" xml:space="preserve"> 1 /J22^ 2</f>
        <v>444444.44444444444</v>
      </c>
      <c r="P22" s="2">
        <f t="shared" ref="P22:P34" si="14" xml:space="preserve"> O22 *D22</f>
        <v>23488.888888888891</v>
      </c>
      <c r="Q22" s="145">
        <f t="shared" ref="Q22:Q34" si="15" xml:space="preserve"> 1 /K22^ 2</f>
        <v>163329861777.54681</v>
      </c>
      <c r="R22" s="14">
        <f t="shared" ref="R22:R34" si="16" xml:space="preserve"> Q22 *H22</f>
        <v>140018247.02058977</v>
      </c>
      <c r="T22" s="20" t="s">
        <v>32</v>
      </c>
      <c r="U22" s="20" t="s">
        <v>33</v>
      </c>
      <c r="V22" s="20" t="s">
        <v>34</v>
      </c>
      <c r="X22" s="20" t="s">
        <v>35</v>
      </c>
      <c r="Y22" s="20" t="s">
        <v>36</v>
      </c>
      <c r="Z22" s="20" t="s">
        <v>37</v>
      </c>
      <c r="AA22" s="20" t="s">
        <v>38</v>
      </c>
      <c r="AB22" s="20" t="s">
        <v>39</v>
      </c>
    </row>
    <row r="23" spans="1:41" ht="20" customHeight="1" x14ac:dyDescent="0.2">
      <c r="A23" s="120"/>
      <c r="B23" s="132">
        <f t="shared" si="10"/>
        <v>210.9</v>
      </c>
      <c r="C23" s="133">
        <f t="shared" si="10"/>
        <v>0.10321</v>
      </c>
      <c r="D23" s="185">
        <f t="shared" si="10"/>
        <v>5.1604999999999998E-2</v>
      </c>
      <c r="E23" s="133">
        <f t="shared" si="10"/>
        <v>1.2170000000000001</v>
      </c>
      <c r="F23" s="134">
        <f t="shared" si="10"/>
        <v>0.99395</v>
      </c>
      <c r="G23" s="135">
        <f>Costanti!$C$10*E23/Costanti!$C$4-'CM Terrestre'!$I$2</f>
        <v>8.665621593757631E-4</v>
      </c>
      <c r="H23" s="136">
        <f t="shared" ref="H23:H34" si="17">G23*F23</f>
        <v>8.6131945831153969E-4</v>
      </c>
      <c r="I23" s="135">
        <f t="shared" ref="I23:I34" si="18">2*B23/((D23*H23)^2)</f>
        <v>213498335479.40286</v>
      </c>
      <c r="J23" s="137">
        <f t="shared" si="11"/>
        <v>1.5E-3</v>
      </c>
      <c r="K23" s="138">
        <f>SQRT(((-Costanti!$C$10*E4*(1/(Costanti!$C$4^2)))^2)*(Costanti!$E$4^2)+((Costanti!$C$10/Costanti!$C$4)^2)*(Costanti!$C$9^2 + 'CM Terrestre'!$K$2^2))</f>
        <v>2.4843909088892439E-6</v>
      </c>
      <c r="L23" s="84">
        <f t="shared" si="12"/>
        <v>90293924.355985731</v>
      </c>
      <c r="M23" s="124"/>
      <c r="O23" s="2">
        <f t="shared" si="13"/>
        <v>444444.44444444444</v>
      </c>
      <c r="P23" s="2">
        <f t="shared" si="14"/>
        <v>22935.555555555555</v>
      </c>
      <c r="Q23" s="145">
        <f t="shared" si="15"/>
        <v>162016832498.41397</v>
      </c>
      <c r="R23" s="14">
        <f t="shared" si="16"/>
        <v>139548250.40488538</v>
      </c>
      <c r="T23" s="36">
        <f t="shared" ref="T23:T35" si="19">2*B22</f>
        <v>444.6</v>
      </c>
      <c r="U23" s="106">
        <f t="shared" ref="U23:U35" si="20">(D22^2)*(H22^2)</f>
        <v>2.0527122141960397E-9</v>
      </c>
      <c r="V23" s="106">
        <f>SQRT(((2*D22*(H22^2))^2)*((Costanti!$R$5)^2)+((2*H22*((D22)^2))^2)*(K22)^2)</f>
        <v>1.1712201331703672E-10</v>
      </c>
      <c r="X23" s="106">
        <f>1/(V23^2)</f>
        <v>7.2899230063810814E+19</v>
      </c>
      <c r="Y23" s="35">
        <f>T23*X23</f>
        <v>3.2410997686370289E+22</v>
      </c>
      <c r="Z23" s="35">
        <f>U23*X23</f>
        <v>149641139957.47159</v>
      </c>
      <c r="AA23" s="35">
        <f>(T23^2)*X23</f>
        <v>1.4409929571360232E+25</v>
      </c>
      <c r="AB23" s="35">
        <f>T23*U23*X23</f>
        <v>66530450825091.875</v>
      </c>
      <c r="AD23" s="20" t="s">
        <v>40</v>
      </c>
      <c r="AE23" s="106">
        <f>(AA36*X36)-(Y36^2)</f>
        <v>5.5064824113422662E+44</v>
      </c>
      <c r="AF23" s="14"/>
      <c r="AI23" s="14"/>
      <c r="AJ23" s="14"/>
      <c r="AK23" s="14"/>
      <c r="AL23" s="14"/>
      <c r="AM23" s="14"/>
      <c r="AN23" s="14"/>
    </row>
    <row r="24" spans="1:41" ht="20" customHeight="1" x14ac:dyDescent="0.2">
      <c r="A24" s="120"/>
      <c r="B24" s="125">
        <f t="shared" si="10"/>
        <v>190.7</v>
      </c>
      <c r="C24" s="126">
        <f t="shared" si="10"/>
        <v>0.10435999999999999</v>
      </c>
      <c r="D24" s="185">
        <f t="shared" si="10"/>
        <v>5.2179999999999997E-2</v>
      </c>
      <c r="E24" s="126">
        <f t="shared" si="10"/>
        <v>1.139</v>
      </c>
      <c r="F24" s="127">
        <f t="shared" si="10"/>
        <v>0.99395</v>
      </c>
      <c r="G24" s="128">
        <f>Costanti!$C$10*E24/Costanti!$C$4-'CM Terrestre'!$I$2</f>
        <v>8.0775456184920653E-4</v>
      </c>
      <c r="H24" s="129">
        <f t="shared" si="17"/>
        <v>8.0286764675001885E-4</v>
      </c>
      <c r="I24" s="128">
        <f t="shared" si="18"/>
        <v>217312458091.85764</v>
      </c>
      <c r="J24" s="130">
        <f t="shared" si="11"/>
        <v>1.5E-3</v>
      </c>
      <c r="K24" s="131">
        <f>SQRT(((-Costanti!$C$10*E5*(1/(Costanti!$C$4^2)))^2)*(Costanti!$E$4^2)+((Costanti!$C$10/Costanti!$C$4)^2)*(Costanti!$C$9^2 + 'CM Terrestre'!$K$2^2))</f>
        <v>2.3402785414008662E-6</v>
      </c>
      <c r="L24" s="77">
        <f t="shared" si="12"/>
        <v>100824865.72334896</v>
      </c>
      <c r="M24" s="124"/>
      <c r="O24" s="2">
        <f t="shared" si="13"/>
        <v>444444.44444444444</v>
      </c>
      <c r="P24" s="2">
        <f t="shared" si="14"/>
        <v>23191.111111111109</v>
      </c>
      <c r="Q24" s="145">
        <f t="shared" si="15"/>
        <v>182584917256.13739</v>
      </c>
      <c r="R24" s="14">
        <f t="shared" si="16"/>
        <v>146591522.84948194</v>
      </c>
      <c r="T24" s="36">
        <f t="shared" si="19"/>
        <v>421.8</v>
      </c>
      <c r="U24" s="106">
        <f t="shared" si="20"/>
        <v>1.9756594310342664E-9</v>
      </c>
      <c r="V24" s="106">
        <f>SQRT(((2*D23*(H23^2))^2)*((Costanti!$R$5)^2)+((2*H23*((D23)^2))^2)*(K23)^2)</f>
        <v>1.1541689468177024E-10</v>
      </c>
      <c r="X24" s="35">
        <f t="shared" ref="X24:X35" si="21">1/(V24^2)</f>
        <v>7.5069103485792387E+19</v>
      </c>
      <c r="Y24" s="35">
        <f t="shared" ref="Y24:Y35" si="22">T24*X24</f>
        <v>3.1664147850307228E+22</v>
      </c>
      <c r="Z24" s="35">
        <f t="shared" ref="Z24:Z35" si="23">U24*X24</f>
        <v>148310982280.99304</v>
      </c>
      <c r="AA24" s="35">
        <f t="shared" ref="AA24:AA35" si="24">(T24^2)*X24</f>
        <v>1.335593756325959E+25</v>
      </c>
      <c r="AB24" s="35">
        <f t="shared" ref="AB24:AB35" si="25">T24*U24*X24</f>
        <v>62557572326122.875</v>
      </c>
      <c r="AD24" s="20" t="s">
        <v>47</v>
      </c>
      <c r="AE24" s="106">
        <f>((X36*AB36)-(Y36*Z36))/AE23</f>
        <v>5.1763876670012497E-12</v>
      </c>
      <c r="AF24" s="14"/>
      <c r="AI24" s="14"/>
      <c r="AJ24" s="14"/>
      <c r="AK24" s="14"/>
      <c r="AL24" s="14"/>
      <c r="AM24" s="14"/>
      <c r="AN24" s="14"/>
    </row>
    <row r="25" spans="1:41" ht="20" customHeight="1" x14ac:dyDescent="0.2">
      <c r="A25" s="120"/>
      <c r="B25" s="132">
        <f t="shared" si="10"/>
        <v>234.1</v>
      </c>
      <c r="C25" s="133">
        <f t="shared" si="10"/>
        <v>0.10965</v>
      </c>
      <c r="D25" s="185">
        <f t="shared" si="10"/>
        <v>5.4824999999999999E-2</v>
      </c>
      <c r="E25" s="133">
        <f t="shared" si="10"/>
        <v>1.242</v>
      </c>
      <c r="F25" s="134">
        <f t="shared" si="10"/>
        <v>0.99290999999999996</v>
      </c>
      <c r="G25" s="135">
        <f>Costanti!$C$10*E25/Costanti!$C$4-'CM Terrestre'!$I$2</f>
        <v>8.8541074832658234E-4</v>
      </c>
      <c r="H25" s="136">
        <f t="shared" si="17"/>
        <v>8.7913318612094682E-4</v>
      </c>
      <c r="I25" s="135">
        <f t="shared" si="18"/>
        <v>201541636115.52502</v>
      </c>
      <c r="J25" s="137">
        <f t="shared" si="11"/>
        <v>1.5E-3</v>
      </c>
      <c r="K25" s="138">
        <f>SQRT(((-Costanti!$C$10*E6*(1/(Costanti!$C$4^2)))^2)*(Costanti!$E$4^2)+((Costanti!$C$10/Costanti!$C$4)^2)*(Costanti!$C$9^2 + 'CM Terrestre'!$K$2^2))</f>
        <v>2.5307689800104978E-6</v>
      </c>
      <c r="L25" s="84">
        <f t="shared" si="12"/>
        <v>76971878.269314542</v>
      </c>
      <c r="M25" s="124"/>
      <c r="O25" s="2">
        <f t="shared" si="13"/>
        <v>444444.44444444444</v>
      </c>
      <c r="P25" s="2">
        <f t="shared" si="14"/>
        <v>24366.666666666664</v>
      </c>
      <c r="Q25" s="145">
        <f t="shared" si="15"/>
        <v>156133104360.08188</v>
      </c>
      <c r="R25" s="14">
        <f t="shared" si="16"/>
        <v>137261793.49503309</v>
      </c>
      <c r="T25" s="36">
        <f t="shared" si="19"/>
        <v>381.4</v>
      </c>
      <c r="U25" s="106">
        <f t="shared" si="20"/>
        <v>1.7550765535898673E-9</v>
      </c>
      <c r="V25" s="106">
        <f>SQRT(((2*D24*(H24^2))^2)*((Costanti!$R$5)^2)+((2*H24*((D24)^2))^2)*(K24)^2)</f>
        <v>1.0142255051081074E-10</v>
      </c>
      <c r="X25" s="35">
        <f t="shared" si="21"/>
        <v>9.721447711131109E+19</v>
      </c>
      <c r="Y25" s="35">
        <f t="shared" si="22"/>
        <v>3.7077601570254049E+22</v>
      </c>
      <c r="Z25" s="35">
        <f t="shared" si="23"/>
        <v>170618849447.56091</v>
      </c>
      <c r="AA25" s="35">
        <f t="shared" si="24"/>
        <v>1.4141397238894894E+25</v>
      </c>
      <c r="AB25" s="35">
        <f t="shared" si="25"/>
        <v>65074029179299.727</v>
      </c>
      <c r="AD25" s="20" t="s">
        <v>48</v>
      </c>
      <c r="AE25" s="106">
        <f>((Z36*AA36)-(Y36*AB36))/AE23</f>
        <v>-2.0956326887920743E-10</v>
      </c>
      <c r="AF25" s="14"/>
      <c r="AI25" s="14"/>
      <c r="AJ25" s="14"/>
      <c r="AK25" s="14"/>
      <c r="AL25" s="14"/>
      <c r="AM25" s="14"/>
      <c r="AN25" s="14"/>
    </row>
    <row r="26" spans="1:41" ht="20" customHeight="1" x14ac:dyDescent="0.2">
      <c r="A26" s="120"/>
      <c r="B26" s="125">
        <f t="shared" si="10"/>
        <v>259.60000000000002</v>
      </c>
      <c r="C26" s="126">
        <f t="shared" si="10"/>
        <v>0.10557</v>
      </c>
      <c r="D26" s="185">
        <f t="shared" si="10"/>
        <v>5.2784999999999999E-2</v>
      </c>
      <c r="E26" s="126">
        <f t="shared" si="10"/>
        <v>1.323</v>
      </c>
      <c r="F26" s="127">
        <f t="shared" si="10"/>
        <v>0.99395</v>
      </c>
      <c r="G26" s="128">
        <f>Costanti!$C$10*E26/Costanti!$C$4-'CM Terrestre'!$I$2</f>
        <v>9.4648017652723725E-4</v>
      </c>
      <c r="H26" s="129">
        <f t="shared" si="17"/>
        <v>9.4075397145924747E-4</v>
      </c>
      <c r="I26" s="128">
        <f t="shared" si="18"/>
        <v>210553037571.81839</v>
      </c>
      <c r="J26" s="130">
        <f t="shared" si="11"/>
        <v>1.5E-3</v>
      </c>
      <c r="K26" s="131">
        <f>SQRT(((-Costanti!$C$10*E7*(1/(Costanti!$C$4^2)))^2)*(Costanti!$E$4^2)+((Costanti!$C$10/Costanti!$C$4)^2)*(Costanti!$C$9^2 + 'CM Terrestre'!$K$2^2))</f>
        <v>2.6815816044839197E-6</v>
      </c>
      <c r="L26" s="77">
        <f t="shared" si="12"/>
        <v>73026840.246155426</v>
      </c>
      <c r="M26" s="124"/>
      <c r="O26" s="2">
        <f t="shared" si="13"/>
        <v>444444.44444444444</v>
      </c>
      <c r="P26" s="2">
        <f t="shared" si="14"/>
        <v>23460</v>
      </c>
      <c r="Q26" s="145">
        <f t="shared" si="15"/>
        <v>139065039841.71548</v>
      </c>
      <c r="R26" s="14">
        <f t="shared" si="16"/>
        <v>130825988.52223232</v>
      </c>
      <c r="T26" s="36">
        <f t="shared" si="19"/>
        <v>468.2</v>
      </c>
      <c r="U26" s="106">
        <f t="shared" si="20"/>
        <v>2.3230931782831442E-9</v>
      </c>
      <c r="V26" s="106">
        <f>SQRT(((2*D25*(H25^2))^2)*((Costanti!$R$5)^2)+((2*H25*((D25)^2))^2)*(K25)^2)</f>
        <v>1.2782034366838616E-10</v>
      </c>
      <c r="X26" s="35">
        <f t="shared" si="21"/>
        <v>6.1206851272330314E+19</v>
      </c>
      <c r="Y26" s="35">
        <f t="shared" si="22"/>
        <v>2.8657047765705053E+22</v>
      </c>
      <c r="Z26" s="35">
        <f t="shared" si="23"/>
        <v>142189218654.94153</v>
      </c>
      <c r="AA26" s="35">
        <f t="shared" si="24"/>
        <v>1.3417229763903104E+25</v>
      </c>
      <c r="AB26" s="35">
        <f t="shared" si="25"/>
        <v>66572992174243.625</v>
      </c>
      <c r="AD26" s="20" t="s">
        <v>43</v>
      </c>
      <c r="AE26" s="35">
        <f>SQRT(X36/AE23)</f>
        <v>9.0704191416725526E-13</v>
      </c>
      <c r="AI26" s="14"/>
      <c r="AJ26" s="14"/>
      <c r="AK26" s="14"/>
      <c r="AL26" s="14"/>
      <c r="AM26" s="14"/>
      <c r="AN26" s="14"/>
    </row>
    <row r="27" spans="1:41" ht="20" customHeight="1" x14ac:dyDescent="0.2">
      <c r="A27" s="120"/>
      <c r="B27" s="132">
        <f t="shared" si="10"/>
        <v>244.6</v>
      </c>
      <c r="C27" s="133">
        <f t="shared" si="10"/>
        <v>0.10185</v>
      </c>
      <c r="D27" s="185">
        <f t="shared" si="10"/>
        <v>5.0924999999999998E-2</v>
      </c>
      <c r="E27" s="133">
        <f t="shared" si="10"/>
        <v>1.323</v>
      </c>
      <c r="F27" s="134">
        <f t="shared" si="10"/>
        <v>0.99485999999999997</v>
      </c>
      <c r="G27" s="135">
        <f>Costanti!$C$10*E27/Costanti!$C$4-'CM Terrestre'!$I$2</f>
        <v>9.4648017652723725E-4</v>
      </c>
      <c r="H27" s="136">
        <f t="shared" si="17"/>
        <v>9.4161526841988726E-4</v>
      </c>
      <c r="I27" s="135">
        <f t="shared" si="18"/>
        <v>212753830949.83337</v>
      </c>
      <c r="J27" s="137">
        <f t="shared" si="11"/>
        <v>1.5E-3</v>
      </c>
      <c r="K27" s="138">
        <f>SQRT(((-Costanti!$C$10*E8*(1/(Costanti!$C$4^2)))^2)*(Costanti!$E$4^2)+((Costanti!$C$10/Costanti!$C$4)^2)*(Costanti!$C$9^2 + 'CM Terrestre'!$K$2^2))</f>
        <v>2.6815816044839197E-6</v>
      </c>
      <c r="L27" s="84">
        <f t="shared" si="12"/>
        <v>78315301.277041852</v>
      </c>
      <c r="M27" s="124"/>
      <c r="O27" s="2">
        <f t="shared" si="13"/>
        <v>444444.44444444444</v>
      </c>
      <c r="P27" s="2">
        <f t="shared" si="14"/>
        <v>22633.333333333332</v>
      </c>
      <c r="Q27" s="145">
        <f t="shared" si="15"/>
        <v>139065039841.71548</v>
      </c>
      <c r="R27" s="14">
        <f t="shared" si="16"/>
        <v>130945764.81837924</v>
      </c>
      <c r="T27" s="36">
        <f t="shared" si="19"/>
        <v>519.20000000000005</v>
      </c>
      <c r="U27" s="106">
        <f t="shared" si="20"/>
        <v>2.4658870087443123E-9</v>
      </c>
      <c r="V27" s="106">
        <f>SQRT(((2*D26*(H26^2))^2)*((Costanti!$R$5)^2)+((2*H26*((D26)^2))^2)*(K26)^2)</f>
        <v>1.4085032022787827E-10</v>
      </c>
      <c r="X27" s="38">
        <f t="shared" si="21"/>
        <v>5.0406242283936539E+19</v>
      </c>
      <c r="Y27" s="38">
        <f t="shared" si="22"/>
        <v>2.6170920993819852E+22</v>
      </c>
      <c r="Z27" s="38">
        <f t="shared" si="23"/>
        <v>124296098007.57735</v>
      </c>
      <c r="AA27" s="35">
        <f t="shared" si="24"/>
        <v>1.3587942179991271E+25</v>
      </c>
      <c r="AB27" s="35">
        <f t="shared" si="25"/>
        <v>64534534085534.164</v>
      </c>
      <c r="AD27" s="20" t="s">
        <v>44</v>
      </c>
      <c r="AE27" s="35">
        <f>SQRT(AA36/AE23)</f>
        <v>4.1368222309458119E-10</v>
      </c>
      <c r="AI27" s="14"/>
      <c r="AJ27" s="14"/>
      <c r="AK27" s="14"/>
      <c r="AL27" s="14"/>
      <c r="AM27" s="14"/>
      <c r="AN27" s="14"/>
    </row>
    <row r="28" spans="1:41" ht="20" customHeight="1" x14ac:dyDescent="0.2">
      <c r="A28" s="120"/>
      <c r="B28" s="125">
        <f t="shared" si="10"/>
        <v>270.89999999999998</v>
      </c>
      <c r="C28" s="126">
        <f t="shared" si="10"/>
        <v>0.10058</v>
      </c>
      <c r="D28" s="185">
        <f t="shared" si="10"/>
        <v>5.0290000000000001E-2</v>
      </c>
      <c r="E28" s="126">
        <f t="shared" si="10"/>
        <v>1.411</v>
      </c>
      <c r="F28" s="127">
        <f t="shared" si="10"/>
        <v>0.99485999999999997</v>
      </c>
      <c r="G28" s="128">
        <f>Costanti!$C$10*E28/Costanti!$C$4-'CM Terrestre'!$I$2</f>
        <v>1.0128272096341215E-3</v>
      </c>
      <c r="H28" s="129">
        <f t="shared" si="17"/>
        <v>1.0076212777766021E-3</v>
      </c>
      <c r="I28" s="128">
        <f t="shared" si="18"/>
        <v>210999326841.89685</v>
      </c>
      <c r="J28" s="130">
        <f t="shared" si="11"/>
        <v>1.5E-3</v>
      </c>
      <c r="K28" s="131">
        <f>SQRT(((-Costanti!$C$10*E9*(1/(Costanti!$C$4^2)))^2)*(Costanti!$E$4^2)+((Costanti!$C$10/Costanti!$C$4)^2)*(Costanti!$C$9^2 + 'CM Terrestre'!$K$2^2))</f>
        <v>2.8462555422097419E-6</v>
      </c>
      <c r="L28" s="77">
        <f t="shared" si="12"/>
        <v>70601038.279231817</v>
      </c>
      <c r="M28" s="124"/>
      <c r="O28" s="2">
        <f t="shared" si="13"/>
        <v>444444.44444444444</v>
      </c>
      <c r="P28" s="2">
        <f t="shared" si="14"/>
        <v>22351.111111111113</v>
      </c>
      <c r="Q28" s="145">
        <f t="shared" si="15"/>
        <v>123438950733.00719</v>
      </c>
      <c r="R28" s="14">
        <f t="shared" si="16"/>
        <v>124379713.26499572</v>
      </c>
      <c r="T28" s="36">
        <f t="shared" si="19"/>
        <v>489.2</v>
      </c>
      <c r="U28" s="106">
        <f t="shared" si="20"/>
        <v>2.2993710515856784E-9</v>
      </c>
      <c r="V28" s="106">
        <f>SQRT(((2*D27*(H27^2))^2)*((Costanti!$R$5)^2)+((2*H27*((D27)^2))^2)*(K27)^2)</f>
        <v>1.3608796532412266E-10</v>
      </c>
      <c r="X28" s="39">
        <f t="shared" si="21"/>
        <v>5.3995871879135445E+19</v>
      </c>
      <c r="Y28" s="105">
        <f t="shared" si="22"/>
        <v>2.6414780523273058E+22</v>
      </c>
      <c r="Z28" s="105">
        <f t="shared" si="23"/>
        <v>124156544704.01323</v>
      </c>
      <c r="AA28" s="117">
        <f t="shared" si="24"/>
        <v>1.292211063198518E+25</v>
      </c>
      <c r="AB28" s="38">
        <f t="shared" si="25"/>
        <v>60737381669203.266</v>
      </c>
      <c r="AI28" s="14"/>
      <c r="AJ28" s="14"/>
      <c r="AK28" s="14"/>
      <c r="AL28" s="14"/>
      <c r="AM28" s="14"/>
      <c r="AN28" s="14"/>
    </row>
    <row r="29" spans="1:41" ht="20" customHeight="1" x14ac:dyDescent="0.2">
      <c r="A29" s="120"/>
      <c r="B29" s="132">
        <f t="shared" si="10"/>
        <v>292.2</v>
      </c>
      <c r="C29" s="133">
        <f t="shared" si="10"/>
        <v>9.8879999999999996E-2</v>
      </c>
      <c r="D29" s="185">
        <f t="shared" si="10"/>
        <v>4.9439999999999998E-2</v>
      </c>
      <c r="E29" s="133">
        <f t="shared" si="10"/>
        <v>1.5029999999999999</v>
      </c>
      <c r="F29" s="134">
        <f t="shared" si="10"/>
        <v>0.99485999999999997</v>
      </c>
      <c r="G29" s="135">
        <f>Costanti!$C$10*E29/Costanti!$C$4-'CM Terrestre'!$I$2</f>
        <v>1.0821900169731369E-3</v>
      </c>
      <c r="H29" s="136">
        <f t="shared" si="17"/>
        <v>1.0766275602858949E-3</v>
      </c>
      <c r="I29" s="135">
        <f t="shared" si="18"/>
        <v>206263459275.29391</v>
      </c>
      <c r="J29" s="137">
        <f t="shared" si="11"/>
        <v>1.5E-3</v>
      </c>
      <c r="K29" s="138">
        <f>SQRT(((-Costanti!$C$10*E10*(1/(Costanti!$C$4^2)))^2)*(Costanti!$E$4^2)+((Costanti!$C$10/Costanti!$C$4)^2)*(Costanti!$C$9^2 + 'CM Terrestre'!$K$2^2))</f>
        <v>3.0191875862239042E-6</v>
      </c>
      <c r="L29" s="84">
        <f t="shared" si="12"/>
        <v>64380374.90473678</v>
      </c>
      <c r="M29" s="124"/>
      <c r="O29" s="2">
        <f t="shared" si="13"/>
        <v>444444.44444444444</v>
      </c>
      <c r="P29" s="2">
        <f t="shared" si="14"/>
        <v>21973.333333333332</v>
      </c>
      <c r="Q29" s="145">
        <f t="shared" si="15"/>
        <v>109703328751.72398</v>
      </c>
      <c r="R29" s="14">
        <f t="shared" si="16"/>
        <v>118109627.18921006</v>
      </c>
      <c r="T29" s="36">
        <f t="shared" si="19"/>
        <v>541.79999999999995</v>
      </c>
      <c r="U29" s="106">
        <f t="shared" si="20"/>
        <v>2.5677807038975731E-9</v>
      </c>
      <c r="V29" s="106">
        <f>SQRT(((2*D28*(H28^2))^2)*((Costanti!$R$5)^2)+((2*H28*((D28)^2))^2)*(K28)^2)</f>
        <v>1.5386378665622795E-10</v>
      </c>
      <c r="X29" s="39">
        <f t="shared" si="21"/>
        <v>4.2240316843825824E+19</v>
      </c>
      <c r="Y29" s="39">
        <f t="shared" si="22"/>
        <v>2.2885803665984829E+22</v>
      </c>
      <c r="Z29" s="39">
        <f t="shared" si="23"/>
        <v>108463870518.09558</v>
      </c>
      <c r="AA29" s="39">
        <f t="shared" si="24"/>
        <v>1.239952842623058E+25</v>
      </c>
      <c r="AB29" s="39">
        <f t="shared" si="25"/>
        <v>58765725046704.18</v>
      </c>
      <c r="AD29" s="20" t="s">
        <v>45</v>
      </c>
      <c r="AE29" s="106">
        <f>AE24</f>
        <v>5.1763876670012497E-12</v>
      </c>
      <c r="AF29" s="106" t="s">
        <v>0</v>
      </c>
      <c r="AG29" s="35">
        <f>AE26</f>
        <v>9.0704191416725526E-13</v>
      </c>
      <c r="AI29" s="14"/>
      <c r="AJ29" s="14"/>
      <c r="AK29" s="14"/>
      <c r="AL29" s="14"/>
      <c r="AM29" s="14"/>
      <c r="AN29" s="14"/>
    </row>
    <row r="30" spans="1:41" ht="20" customHeight="1" x14ac:dyDescent="0.2">
      <c r="A30" s="120"/>
      <c r="B30" s="125">
        <f t="shared" si="10"/>
        <v>271.10000000000002</v>
      </c>
      <c r="C30" s="126">
        <f t="shared" si="10"/>
        <v>0.10208</v>
      </c>
      <c r="D30" s="185">
        <f t="shared" si="10"/>
        <v>5.1040000000000002E-2</v>
      </c>
      <c r="E30" s="126">
        <f t="shared" si="10"/>
        <v>1.417</v>
      </c>
      <c r="F30" s="127">
        <f t="shared" si="10"/>
        <v>0.99485999999999997</v>
      </c>
      <c r="G30" s="128">
        <f>Costanti!$C$10*E30/Costanti!$C$4-'CM Terrestre'!$I$2</f>
        <v>1.0173508709823182E-3</v>
      </c>
      <c r="H30" s="129">
        <f t="shared" si="17"/>
        <v>1.0121216875054689E-3</v>
      </c>
      <c r="I30" s="128">
        <f t="shared" si="18"/>
        <v>203176146909.8931</v>
      </c>
      <c r="J30" s="130">
        <f t="shared" si="11"/>
        <v>1.5E-3</v>
      </c>
      <c r="K30" s="131">
        <f>SQRT(((-Costanti!$C$10*E11*(1/(Costanti!$C$4^2)))^2)*(Costanti!$E$4^2)+((Costanti!$C$10/Costanti!$C$4)^2)*(Costanti!$C$9^2 + 'CM Terrestre'!$K$2^2))</f>
        <v>2.8575111210187149E-6</v>
      </c>
      <c r="L30" s="77">
        <f t="shared" si="12"/>
        <v>67962188.395551294</v>
      </c>
      <c r="M30" s="124"/>
      <c r="O30" s="2">
        <f t="shared" si="13"/>
        <v>444444.44444444444</v>
      </c>
      <c r="P30" s="2">
        <f t="shared" si="14"/>
        <v>22684.444444444445</v>
      </c>
      <c r="Q30" s="145">
        <f t="shared" si="15"/>
        <v>122468427476.96167</v>
      </c>
      <c r="R30" s="14">
        <f t="shared" si="16"/>
        <v>123952951.48412359</v>
      </c>
      <c r="T30" s="36">
        <f t="shared" si="19"/>
        <v>584.4</v>
      </c>
      <c r="U30" s="106">
        <f t="shared" si="20"/>
        <v>2.833269654515093E-9</v>
      </c>
      <c r="V30" s="106">
        <f>SQRT(((2*D29*(H29^2))^2)*((Costanti!$R$5)^2)+((2*H29*((D29)^2))^2)*(K29)^2)</f>
        <v>1.7265452637502364E-10</v>
      </c>
      <c r="X30" s="39">
        <f t="shared" si="21"/>
        <v>3.3546256479992738E+19</v>
      </c>
      <c r="Y30" s="39">
        <f t="shared" si="22"/>
        <v>1.9604432286907753E+22</v>
      </c>
      <c r="Z30" s="39">
        <f t="shared" si="23"/>
        <v>95045590507.343719</v>
      </c>
      <c r="AA30" s="39">
        <f t="shared" si="24"/>
        <v>1.1456830228468893E+25</v>
      </c>
      <c r="AB30" s="39">
        <f t="shared" si="25"/>
        <v>55544643092491.672</v>
      </c>
      <c r="AD30" s="20" t="s">
        <v>22</v>
      </c>
      <c r="AE30" s="119">
        <f>1/AE29</f>
        <v>193184912786.74136</v>
      </c>
      <c r="AF30" s="119" t="s">
        <v>0</v>
      </c>
      <c r="AG30" s="108">
        <f>(AE30^2)*AG29</f>
        <v>33851176603.20665</v>
      </c>
      <c r="AH30" s="14">
        <f>SQRT( 4*(Costanti!C8)^2/(H35*D35)^4 + 16*B35^2*K35^2/(D35^4*H35^6) + 16*B35^2*J35^2/(H35^4*D35^6))</f>
        <v>3479144363.2712564</v>
      </c>
      <c r="AI30" s="14"/>
      <c r="AJ30" s="14"/>
      <c r="AK30" s="14"/>
      <c r="AL30" s="14"/>
      <c r="AM30" s="14"/>
      <c r="AN30" s="14"/>
      <c r="AO30" s="14"/>
    </row>
    <row r="31" spans="1:41" ht="20" customHeight="1" x14ac:dyDescent="0.2">
      <c r="A31" s="120"/>
      <c r="B31" s="132">
        <f t="shared" si="10"/>
        <v>260</v>
      </c>
      <c r="C31" s="133">
        <f t="shared" si="10"/>
        <v>0.10267</v>
      </c>
      <c r="D31" s="185">
        <f t="shared" si="10"/>
        <v>5.1334999999999999E-2</v>
      </c>
      <c r="E31" s="133">
        <f t="shared" si="10"/>
        <v>1.383</v>
      </c>
      <c r="F31" s="134">
        <f t="shared" si="10"/>
        <v>0.99485999999999997</v>
      </c>
      <c r="G31" s="135">
        <f>Costanti!$C$10*E31/Costanti!$C$4-'CM Terrestre'!$I$2</f>
        <v>9.917167900092038E-4</v>
      </c>
      <c r="H31" s="136">
        <f t="shared" si="17"/>
        <v>9.8661936570855653E-4</v>
      </c>
      <c r="I31" s="135">
        <f t="shared" si="18"/>
        <v>202710824242.15845</v>
      </c>
      <c r="J31" s="137">
        <f t="shared" si="11"/>
        <v>1.5E-3</v>
      </c>
      <c r="K31" s="138">
        <f>SQRT(((-Costanti!$C$10*E12*(1/(Costanti!$C$4^2)))^2)*(Costanti!$E$4^2)+((Costanti!$C$10/Costanti!$C$4)^2)*(Costanti!$C$9^2 + 'CM Terrestre'!$K$2^2))</f>
        <v>2.7937745618431605E-6</v>
      </c>
      <c r="L31" s="84">
        <f t="shared" si="12"/>
        <v>70527240.844034284</v>
      </c>
      <c r="M31" s="124"/>
      <c r="O31" s="2">
        <f t="shared" si="13"/>
        <v>444444.44444444444</v>
      </c>
      <c r="P31" s="2">
        <f t="shared" si="14"/>
        <v>22815.555555555555</v>
      </c>
      <c r="Q31" s="145">
        <f t="shared" si="15"/>
        <v>128120104050.98251</v>
      </c>
      <c r="R31" s="14">
        <f t="shared" si="16"/>
        <v>126405775.79329464</v>
      </c>
      <c r="T31" s="36">
        <f t="shared" si="19"/>
        <v>542.20000000000005</v>
      </c>
      <c r="U31" s="106">
        <f t="shared" si="20"/>
        <v>2.6686203486301041E-9</v>
      </c>
      <c r="V31" s="106">
        <f>SQRT(((2*D30*(H30^2))^2)*((Costanti!$R$5)^2)+((2*H30*((D30)^2))^2)*(K30)^2)</f>
        <v>1.5757677871534944E-10</v>
      </c>
      <c r="X31" s="39">
        <f t="shared" si="21"/>
        <v>4.0273146672496484E+19</v>
      </c>
      <c r="Y31" s="39">
        <f t="shared" si="22"/>
        <v>2.1836100125827594E+22</v>
      </c>
      <c r="Z31" s="39">
        <f t="shared" si="23"/>
        <v>107473738713.58888</v>
      </c>
      <c r="AA31" s="39">
        <f t="shared" si="24"/>
        <v>1.1839533488223722E+25</v>
      </c>
      <c r="AB31" s="39">
        <f t="shared" si="25"/>
        <v>58272261130507.898</v>
      </c>
      <c r="AI31" s="14"/>
      <c r="AJ31" s="14"/>
      <c r="AK31" s="14"/>
      <c r="AL31" s="14"/>
      <c r="AO31" s="14"/>
    </row>
    <row r="32" spans="1:41" ht="20" customHeight="1" x14ac:dyDescent="0.2">
      <c r="A32" s="120"/>
      <c r="B32" s="125">
        <f t="shared" si="10"/>
        <v>202.2</v>
      </c>
      <c r="C32" s="126">
        <f t="shared" si="10"/>
        <v>0.10866000000000001</v>
      </c>
      <c r="D32" s="185">
        <f t="shared" si="10"/>
        <v>5.4330000000000003E-2</v>
      </c>
      <c r="E32" s="126">
        <f t="shared" si="10"/>
        <v>1.1180000000000001</v>
      </c>
      <c r="F32" s="127">
        <f t="shared" si="10"/>
        <v>0.99290999999999996</v>
      </c>
      <c r="G32" s="128">
        <f>Costanti!$C$10*E32/Costanti!$C$4-'CM Terrestre'!$I$2</f>
        <v>7.9192174713051827E-4</v>
      </c>
      <c r="H32" s="129">
        <f t="shared" si="17"/>
        <v>7.863070219433629E-4</v>
      </c>
      <c r="I32" s="128">
        <f t="shared" si="18"/>
        <v>221588607715.90643</v>
      </c>
      <c r="J32" s="130">
        <f t="shared" si="11"/>
        <v>1.5E-3</v>
      </c>
      <c r="K32" s="131">
        <f>SQRT(((-Costanti!$C$10*E13*(1/(Costanti!$C$4^2)))^2)*(Costanti!$E$4^2)+((Costanti!$C$10/Costanti!$C$4)^2)*(Costanti!$C$9^2 + 'CM Terrestre'!$K$2^2))</f>
        <v>2.3016461411016034E-6</v>
      </c>
      <c r="L32" s="77">
        <f t="shared" si="12"/>
        <v>96731860.204205915</v>
      </c>
      <c r="M32" s="124"/>
      <c r="O32" s="2">
        <f t="shared" si="13"/>
        <v>444444.44444444444</v>
      </c>
      <c r="P32" s="2">
        <f t="shared" si="14"/>
        <v>24146.666666666668</v>
      </c>
      <c r="Q32" s="145">
        <f t="shared" si="15"/>
        <v>188765615922.02112</v>
      </c>
      <c r="R32" s="14">
        <f t="shared" si="16"/>
        <v>148427729.30094907</v>
      </c>
      <c r="T32" s="36">
        <f t="shared" si="19"/>
        <v>520</v>
      </c>
      <c r="U32" s="106">
        <f t="shared" si="20"/>
        <v>2.5652305541356177E-9</v>
      </c>
      <c r="V32" s="106">
        <f>SQRT(((2*D31*(H31^2))^2)*((Costanti!$R$5)^2)+((2*H31*((D31)^2))^2)*(K31)^2)</f>
        <v>1.5061349343931079E-10</v>
      </c>
      <c r="X32" s="39">
        <f t="shared" si="21"/>
        <v>4.4083111041415537E+19</v>
      </c>
      <c r="Y32" s="39">
        <f t="shared" si="22"/>
        <v>2.2923217741536081E+22</v>
      </c>
      <c r="Z32" s="39">
        <f t="shared" si="23"/>
        <v>113083343364.79234</v>
      </c>
      <c r="AA32" s="39">
        <f t="shared" si="24"/>
        <v>1.1920073225598761E+25</v>
      </c>
      <c r="AB32" s="39">
        <f t="shared" si="25"/>
        <v>58803338549692.016</v>
      </c>
      <c r="AI32" s="14"/>
      <c r="AJ32" s="14"/>
      <c r="AK32" s="14"/>
      <c r="AL32" s="14"/>
      <c r="AO32" s="14"/>
    </row>
    <row r="33" spans="1:41" ht="20" customHeight="1" x14ac:dyDescent="0.2">
      <c r="A33" s="120"/>
      <c r="B33" s="132">
        <f t="shared" si="10"/>
        <v>223.3</v>
      </c>
      <c r="C33" s="133">
        <f t="shared" si="10"/>
        <v>0.10161000000000001</v>
      </c>
      <c r="D33" s="185">
        <f t="shared" si="10"/>
        <v>5.0805000000000003E-2</v>
      </c>
      <c r="E33" s="133">
        <f t="shared" si="10"/>
        <v>1.26</v>
      </c>
      <c r="F33" s="134">
        <f t="shared" si="10"/>
        <v>0.99485999999999997</v>
      </c>
      <c r="G33" s="135">
        <f>Costanti!$C$10*E33/Costanti!$C$4-'CM Terrestre'!$I$2</f>
        <v>8.9898173237117236E-4</v>
      </c>
      <c r="H33" s="136">
        <f t="shared" si="17"/>
        <v>8.9436096626678454E-4</v>
      </c>
      <c r="I33" s="135">
        <f t="shared" si="18"/>
        <v>216311761709.09821</v>
      </c>
      <c r="J33" s="137">
        <f t="shared" si="11"/>
        <v>1.5E-3</v>
      </c>
      <c r="K33" s="138">
        <f>SQRT(((-Costanti!$C$10*E14*(1/(Costanti!$C$4^2)))^2)*(Costanti!$E$4^2)+((Costanti!$C$10/Costanti!$C$4)^2)*(Costanti!$C$9^2 + 'CM Terrestre'!$K$2^2))</f>
        <v>2.5642128173042324E-6</v>
      </c>
      <c r="L33" s="84">
        <f t="shared" si="12"/>
        <v>86750979.098593444</v>
      </c>
      <c r="M33" s="124"/>
      <c r="N33" s="14"/>
      <c r="O33" s="2">
        <f t="shared" si="13"/>
        <v>444444.44444444444</v>
      </c>
      <c r="P33" s="2">
        <f t="shared" si="14"/>
        <v>22580</v>
      </c>
      <c r="Q33" s="145">
        <f t="shared" si="15"/>
        <v>152086920624.26172</v>
      </c>
      <c r="R33" s="14">
        <f t="shared" si="16"/>
        <v>136020605.28605446</v>
      </c>
      <c r="T33" s="36">
        <f t="shared" si="19"/>
        <v>404.4</v>
      </c>
      <c r="U33" s="106">
        <f t="shared" si="20"/>
        <v>1.8250035693101682E-9</v>
      </c>
      <c r="V33" s="106">
        <f>SQRT(((2*D32*(H32^2))^2)*((Costanti!$R$5)^2)+((2*H32*((D32)^2))^2)*(K32)^2)</f>
        <v>1.0133804409486215E-10</v>
      </c>
      <c r="X33" s="39">
        <f t="shared" si="21"/>
        <v>9.7376680210548392E+19</v>
      </c>
      <c r="Y33" s="39">
        <f t="shared" si="22"/>
        <v>3.9379129477145769E+22</v>
      </c>
      <c r="Z33" s="39">
        <f t="shared" si="23"/>
        <v>177712788951.82562</v>
      </c>
      <c r="AA33" s="39">
        <f t="shared" si="24"/>
        <v>1.5924919960557748E+25</v>
      </c>
      <c r="AB33" s="39">
        <f t="shared" si="25"/>
        <v>71867051852118.281</v>
      </c>
      <c r="AI33" s="14"/>
      <c r="AJ33" s="14"/>
      <c r="AK33" s="14"/>
      <c r="AL33" s="14"/>
      <c r="AO33" s="14"/>
    </row>
    <row r="34" spans="1:41" ht="20" customHeight="1" x14ac:dyDescent="0.2">
      <c r="A34" s="120"/>
      <c r="B34" s="125">
        <f t="shared" si="10"/>
        <v>252.2</v>
      </c>
      <c r="C34" s="126">
        <f t="shared" si="10"/>
        <v>0.10803</v>
      </c>
      <c r="D34" s="185">
        <f t="shared" si="10"/>
        <v>5.4015000000000001E-2</v>
      </c>
      <c r="E34" s="126">
        <f t="shared" si="10"/>
        <v>1.28</v>
      </c>
      <c r="F34" s="127">
        <f t="shared" si="10"/>
        <v>0.99395</v>
      </c>
      <c r="G34" s="128">
        <f>Costanti!$C$10*E34/Costanti!$C$4-'CM Terrestre'!$I$2</f>
        <v>9.1406060353182777E-4</v>
      </c>
      <c r="H34" s="129">
        <f t="shared" si="17"/>
        <v>9.0853053688046018E-4</v>
      </c>
      <c r="I34" s="128">
        <f t="shared" si="18"/>
        <v>209443679466.2507</v>
      </c>
      <c r="J34" s="130">
        <f t="shared" si="11"/>
        <v>1.5E-3</v>
      </c>
      <c r="K34" s="131">
        <f>SQRT(((-Costanti!$C$10*E15*(1/(Costanti!$C$4^2)))^2)*(Costanti!$E$4^2)+((Costanti!$C$10/Costanti!$C$4)^2)*(Costanti!$C$9^2 + 'CM Terrestre'!$K$2^2))</f>
        <v>2.6014210480587281E-6</v>
      </c>
      <c r="L34" s="77">
        <f t="shared" si="12"/>
        <v>74503135.364205301</v>
      </c>
      <c r="M34" s="124"/>
      <c r="N34" s="14"/>
      <c r="O34" s="2">
        <f t="shared" si="13"/>
        <v>444444.44444444444</v>
      </c>
      <c r="P34" s="2">
        <f t="shared" si="14"/>
        <v>24006.666666666668</v>
      </c>
      <c r="Q34" s="145">
        <f t="shared" si="15"/>
        <v>147767423317.97653</v>
      </c>
      <c r="R34" s="14">
        <f t="shared" si="16"/>
        <v>134251216.44052345</v>
      </c>
      <c r="T34" s="36">
        <f t="shared" si="19"/>
        <v>446.6</v>
      </c>
      <c r="U34" s="106">
        <f t="shared" si="20"/>
        <v>2.0646126519953155E-9</v>
      </c>
      <c r="V34" s="106">
        <f>SQRT(((2*D33*(H33^2))^2)*((Costanti!$R$5)^2)+((2*H33*((D33)^2))^2)*(K33)^2)</f>
        <v>1.224874215936901E-10</v>
      </c>
      <c r="X34" s="39">
        <f t="shared" si="21"/>
        <v>6.6652587646486266E+19</v>
      </c>
      <c r="Y34" s="39">
        <f t="shared" si="22"/>
        <v>2.9767045642920766E+22</v>
      </c>
      <c r="Z34" s="39">
        <f t="shared" si="23"/>
        <v>137611775743.16223</v>
      </c>
      <c r="AA34" s="39">
        <f t="shared" si="24"/>
        <v>1.3293962584128416E+25</v>
      </c>
      <c r="AB34" s="39">
        <f t="shared" si="25"/>
        <v>61457419046896.25</v>
      </c>
      <c r="AI34" s="14"/>
      <c r="AJ34" s="14"/>
      <c r="AK34" s="14"/>
      <c r="AL34" s="14"/>
      <c r="AO34" s="14"/>
    </row>
    <row r="35" spans="1:41" ht="20" customHeight="1" x14ac:dyDescent="0.2">
      <c r="A35" s="139" t="s">
        <v>29</v>
      </c>
      <c r="B35" s="140">
        <f>AVERAGE(B22:B34)</f>
        <v>241.08461538461538</v>
      </c>
      <c r="C35" s="141"/>
      <c r="D35" s="141">
        <f xml:space="preserve"> SUM(P22:P34)/SUM(O22:O34)</f>
        <v>5.2032692307692328E-2</v>
      </c>
      <c r="E35" s="141"/>
      <c r="F35" s="141"/>
      <c r="G35" s="141"/>
      <c r="H35" s="142">
        <f>SUM(R22:R34)/SUM(Q22:Q34)</f>
        <v>9.0712867653902358E-4</v>
      </c>
      <c r="I35" s="142"/>
      <c r="J35" s="141">
        <f>1 / SQRT(SUM(O22:O34))</f>
        <v>4.1602514716892195E-4</v>
      </c>
      <c r="K35" s="143">
        <f>1 / SQRT(SUM(Q22:Q34))</f>
        <v>7.2271512953161356E-7</v>
      </c>
      <c r="L35" s="141"/>
      <c r="M35" s="124"/>
      <c r="N35" s="14"/>
      <c r="T35" s="36">
        <f t="shared" si="19"/>
        <v>504.4</v>
      </c>
      <c r="U35" s="106">
        <f t="shared" si="20"/>
        <v>2.4082846581258515E-9</v>
      </c>
      <c r="V35" s="106">
        <f>SQRT(((2*D34*(H34^2))^2)*((Costanti!$R$5)^2)+((2*H34*((D34)^2))^2)*(K34)^2)</f>
        <v>1.3446556365550564E-10</v>
      </c>
      <c r="X35" s="105">
        <f t="shared" si="21"/>
        <v>5.5306712805346517E+19</v>
      </c>
      <c r="Y35" s="105">
        <f t="shared" si="22"/>
        <v>2.7896705939016782E+22</v>
      </c>
      <c r="Z35" s="105">
        <f t="shared" si="23"/>
        <v>133194307940.48859</v>
      </c>
      <c r="AA35" s="105">
        <f t="shared" si="24"/>
        <v>1.4071098475640065E+25</v>
      </c>
      <c r="AB35" s="105">
        <f t="shared" si="25"/>
        <v>67183208925182.438</v>
      </c>
      <c r="AI35" s="14"/>
      <c r="AJ35" s="14"/>
      <c r="AK35" s="14"/>
      <c r="AL35" s="14"/>
      <c r="AN35" s="14"/>
    </row>
    <row r="36" spans="1:41" ht="20" customHeight="1" x14ac:dyDescent="0.2">
      <c r="A36" s="151" t="s">
        <v>68</v>
      </c>
      <c r="B36" s="144"/>
      <c r="C36" s="144"/>
      <c r="D36" s="144"/>
      <c r="E36" s="144"/>
      <c r="F36" s="120"/>
      <c r="G36" s="124"/>
      <c r="H36" s="124"/>
      <c r="I36" s="124"/>
      <c r="J36" s="124"/>
      <c r="K36" s="124"/>
      <c r="L36" s="124"/>
      <c r="M36" s="124"/>
      <c r="N36" s="14"/>
      <c r="T36" s="41"/>
      <c r="U36" s="14"/>
      <c r="V36" s="14"/>
      <c r="W36" s="148" t="s">
        <v>46</v>
      </c>
      <c r="X36" s="147">
        <f>SUM(X23:X29)</f>
        <v>4.5303209294014238E+20</v>
      </c>
      <c r="Y36" s="107">
        <f>SUM(Y23:Y29)</f>
        <v>2.0528130005571436E+23</v>
      </c>
      <c r="Z36" s="107">
        <f>SUM(Z23:Z29)</f>
        <v>967676703570.6532</v>
      </c>
      <c r="AA36" s="107">
        <f>SUM(AA23:AA29)</f>
        <v>9.4234075375624849E+25</v>
      </c>
      <c r="AB36" s="107">
        <f>SUM(AB23:AB29)</f>
        <v>444772685306199.69</v>
      </c>
      <c r="AI36" s="14"/>
      <c r="AL36" s="14"/>
      <c r="AM36" s="14"/>
    </row>
    <row r="37" spans="1:41" ht="20" customHeight="1" x14ac:dyDescent="0.2">
      <c r="A37" s="41"/>
      <c r="D37" s="118"/>
      <c r="F37" s="40"/>
      <c r="G37" s="40"/>
      <c r="K37" s="14"/>
      <c r="L37" s="14"/>
      <c r="M37" s="14"/>
      <c r="N37" s="14"/>
      <c r="T37" s="41"/>
      <c r="U37" s="14"/>
      <c r="V37" s="14"/>
      <c r="AI37" s="14"/>
      <c r="AL37" s="14"/>
      <c r="AM37" s="14"/>
    </row>
    <row r="38" spans="1:41" ht="20" customHeight="1" x14ac:dyDescent="0.2">
      <c r="F38" s="40"/>
      <c r="G38" s="40"/>
      <c r="K38" s="14"/>
      <c r="L38" s="14"/>
      <c r="M38" s="14"/>
      <c r="N38" s="14"/>
      <c r="T38" s="41"/>
      <c r="U38" s="14"/>
      <c r="V38" s="14"/>
    </row>
    <row r="39" spans="1:41" ht="20" customHeight="1" x14ac:dyDescent="0.2">
      <c r="F39" s="40"/>
      <c r="G39" s="40"/>
      <c r="K39" s="14"/>
      <c r="L39" s="14"/>
      <c r="M39" s="14"/>
      <c r="N39" s="14"/>
      <c r="T39" s="41"/>
      <c r="U39" s="14"/>
      <c r="V39" s="14"/>
    </row>
    <row r="40" spans="1:41" ht="20" customHeight="1" x14ac:dyDescent="0.2">
      <c r="F40" s="40"/>
      <c r="G40" s="40"/>
      <c r="K40" s="14"/>
      <c r="L40" s="14"/>
      <c r="M40" s="14"/>
      <c r="N40" s="14"/>
      <c r="T40" s="41"/>
      <c r="U40" s="14"/>
      <c r="V40" s="14"/>
    </row>
    <row r="41" spans="1:41" ht="20" customHeight="1" x14ac:dyDescent="0.2">
      <c r="G41" s="40"/>
      <c r="T41" s="41"/>
      <c r="U41" s="14"/>
      <c r="V41" s="14"/>
    </row>
    <row r="42" spans="1:41" ht="20" customHeight="1" x14ac:dyDescent="0.2">
      <c r="T42" s="41"/>
      <c r="U42" s="14"/>
      <c r="V42" s="14"/>
    </row>
  </sheetData>
  <mergeCells count="2">
    <mergeCell ref="T1:U1"/>
    <mergeCell ref="T20:U20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C418-A316-BB4A-B686-F1A10E0FCA48}">
  <dimension ref="A1:N30"/>
  <sheetViews>
    <sheetView zoomScale="134" workbookViewId="0">
      <selection activeCell="I21" sqref="I21"/>
    </sheetView>
  </sheetViews>
  <sheetFormatPr baseColWidth="10" defaultColWidth="15.5" defaultRowHeight="20" customHeight="1" x14ac:dyDescent="0.2"/>
  <cols>
    <col min="1" max="1" width="8.5" style="155" bestFit="1" customWidth="1"/>
    <col min="2" max="2" width="5.6640625" style="155" bestFit="1" customWidth="1"/>
    <col min="3" max="3" width="6.83203125" style="155" bestFit="1" customWidth="1"/>
    <col min="4" max="4" width="7.5" style="155" bestFit="1" customWidth="1"/>
    <col min="5" max="5" width="6.83203125" style="155" bestFit="1" customWidth="1"/>
    <col min="6" max="6" width="9.5" style="155" bestFit="1" customWidth="1"/>
    <col min="7" max="8" width="13.6640625" style="155" bestFit="1" customWidth="1"/>
    <col min="9" max="9" width="9.6640625" style="155" bestFit="1" customWidth="1"/>
    <col min="10" max="10" width="2.1640625" style="155" bestFit="1" customWidth="1"/>
    <col min="11" max="11" width="8" style="155" bestFit="1" customWidth="1"/>
    <col min="12" max="12" width="7.33203125" style="155" bestFit="1" customWidth="1"/>
    <col min="13" max="13" width="7" style="155" bestFit="1" customWidth="1"/>
    <col min="14" max="14" width="13.6640625" style="155" bestFit="1" customWidth="1"/>
    <col min="15" max="16384" width="15.5" style="155"/>
  </cols>
  <sheetData>
    <row r="1" spans="1:14" ht="20" customHeight="1" x14ac:dyDescent="0.2">
      <c r="A1" s="154" t="s">
        <v>49</v>
      </c>
      <c r="B1" s="154" t="s">
        <v>50</v>
      </c>
      <c r="C1" s="154" t="s">
        <v>51</v>
      </c>
      <c r="D1" s="154" t="s">
        <v>52</v>
      </c>
      <c r="E1" s="154" t="s">
        <v>53</v>
      </c>
      <c r="F1" s="154" t="s">
        <v>54</v>
      </c>
      <c r="G1" s="154" t="s">
        <v>55</v>
      </c>
      <c r="H1" s="154" t="s">
        <v>56</v>
      </c>
      <c r="I1" s="154" t="s">
        <v>57</v>
      </c>
      <c r="J1" s="154"/>
      <c r="K1" s="154" t="s">
        <v>58</v>
      </c>
      <c r="L1" s="154" t="s">
        <v>59</v>
      </c>
      <c r="M1" s="155" t="s">
        <v>60</v>
      </c>
      <c r="N1" s="154" t="s">
        <v>61</v>
      </c>
    </row>
    <row r="2" spans="1:14" ht="20" customHeight="1" x14ac:dyDescent="0.2">
      <c r="A2" s="156">
        <v>70</v>
      </c>
      <c r="B2" s="157">
        <v>87.6</v>
      </c>
      <c r="C2" s="158">
        <v>2.5</v>
      </c>
      <c r="D2" s="159">
        <f>10^(3)*1.545</f>
        <v>1545</v>
      </c>
      <c r="E2" s="159">
        <f>(B2/$L$2)*(D2*_xlfn.COT(RADIANS(A2))+C2)</f>
        <v>494.7945944605637</v>
      </c>
      <c r="F2" s="160">
        <f>SQRT((((D2*_xlfn.COT(RADIANS(A2))+C2)/L$2)*M$2)^2+((B2*D2*N$2)/(L$2*(SIN(RADIANS(A2)))^2))^2)</f>
        <v>26.750955118906234</v>
      </c>
      <c r="G2" s="39">
        <f t="shared" ref="G2:G15" si="0" xml:space="preserve"> 1 / F2^2</f>
        <v>1.3974021739052785E-3</v>
      </c>
      <c r="H2" s="39">
        <f>G2*E2</f>
        <v>0.69142704193577242</v>
      </c>
      <c r="I2" s="161">
        <f xml:space="preserve"> SUM($H$2:$H$29) * 10^(-7) / SUM($G$2:$G$29)</f>
        <v>5.0987150750125638E-5</v>
      </c>
      <c r="J2" s="161" t="s">
        <v>0</v>
      </c>
      <c r="K2" s="162">
        <f xml:space="preserve"> 10^(-7) / SQRT(SUM($G$2:$G$29))</f>
        <v>4.245743083800909E-7</v>
      </c>
      <c r="L2" s="163">
        <f>100</f>
        <v>100</v>
      </c>
      <c r="M2" s="155">
        <v>0.01</v>
      </c>
      <c r="N2" s="155">
        <f>RADIANS(1)</f>
        <v>1.7453292519943295E-2</v>
      </c>
    </row>
    <row r="3" spans="1:14" ht="20" customHeight="1" x14ac:dyDescent="0.2">
      <c r="A3" s="156">
        <v>65</v>
      </c>
      <c r="B3" s="182">
        <v>68.2</v>
      </c>
      <c r="C3" s="158">
        <v>2.5</v>
      </c>
      <c r="D3" s="159">
        <f>10^(3)*1.545</f>
        <v>1545</v>
      </c>
      <c r="E3" s="159">
        <f>(B3/$L$2)*(D3*_xlfn.COT(RADIANS(A3))+C3)</f>
        <v>493.04871632134052</v>
      </c>
      <c r="F3" s="160">
        <f>SQRT((((D3*_xlfn.COT(RADIANS(A3))+C3)/L$2)*M$2)^2+((B3*D3*N$2)/(L$2*(SIN(RADIANS(A3)))^2))^2)</f>
        <v>22.389328430575521</v>
      </c>
      <c r="G3" s="39">
        <f t="shared" si="0"/>
        <v>1.9948850048409419E-3</v>
      </c>
      <c r="H3" s="39">
        <f>G3*E3</f>
        <v>0.98357549084551754</v>
      </c>
      <c r="L3" s="2" t="s">
        <v>62</v>
      </c>
    </row>
    <row r="4" spans="1:14" ht="20" customHeight="1" x14ac:dyDescent="0.2">
      <c r="A4" s="156">
        <v>60</v>
      </c>
      <c r="B4" s="157">
        <v>55.7</v>
      </c>
      <c r="C4" s="158">
        <v>6.2</v>
      </c>
      <c r="D4" s="159">
        <f>10^(3)*1.5472</f>
        <v>1547.1999999999998</v>
      </c>
      <c r="E4" s="159">
        <f t="shared" ref="E4:E15" si="1">(B4/$L$2)*(D4*_xlfn.COT(RADIANS(A4))+C4)</f>
        <v>501.00831942503544</v>
      </c>
      <c r="F4" s="160">
        <f>SQRT((((D4*_xlfn.COT(RADIANS(A4))+C4)/L$2)*M$2)^2+((B4*D4*N$2)/(L$2*(SIN(RADIANS(A4)))^2))^2)</f>
        <v>20.054974967089677</v>
      </c>
      <c r="G4" s="39">
        <f t="shared" si="0"/>
        <v>2.4863127183852862E-3</v>
      </c>
      <c r="H4" s="39">
        <f t="shared" ref="H4:H15" si="2" xml:space="preserve"> G4 * E4</f>
        <v>1.2456633566033037</v>
      </c>
      <c r="L4" s="163">
        <v>240</v>
      </c>
    </row>
    <row r="5" spans="1:14" ht="20" customHeight="1" x14ac:dyDescent="0.2">
      <c r="A5" s="156">
        <v>55</v>
      </c>
      <c r="B5" s="182">
        <v>46.1</v>
      </c>
      <c r="C5" s="158">
        <v>11</v>
      </c>
      <c r="D5" s="159">
        <f>10^(3)*1.548</f>
        <v>1548</v>
      </c>
      <c r="E5" s="159">
        <f t="shared" si="1"/>
        <v>504.75870507751875</v>
      </c>
      <c r="F5" s="160">
        <f>SQRT((((D5*_xlfn.COT(RADIANS(A5))+C5)/L$2)*M$2)^2+((B5*D5*N$2)/(L$2*(SIN(RADIANS(A5)))^2))^2)</f>
        <v>18.562128128031016</v>
      </c>
      <c r="G5" s="39">
        <f t="shared" si="0"/>
        <v>2.9023144743018591E-3</v>
      </c>
      <c r="H5" s="39">
        <f t="shared" si="2"/>
        <v>1.464968495776346</v>
      </c>
    </row>
    <row r="6" spans="1:14" ht="20" customHeight="1" x14ac:dyDescent="0.2">
      <c r="A6" s="156">
        <v>50</v>
      </c>
      <c r="B6" s="157">
        <v>39.270000000000003</v>
      </c>
      <c r="C6" s="158">
        <v>16.7</v>
      </c>
      <c r="D6" s="159">
        <f>10^(3)*1.5471</f>
        <v>1547.1</v>
      </c>
      <c r="E6" s="159">
        <f t="shared" si="1"/>
        <v>516.34985717016912</v>
      </c>
      <c r="F6" s="160">
        <f>SQRT((((D6*_xlfn.COT(RADIANS(A6))+C6)/L$2)*M$2)^2+((B6*D6*N$2)/(L$2*(SIN(RADIANS(A6)))^2))^2)</f>
        <v>18.070086004958856</v>
      </c>
      <c r="G6" s="39">
        <f t="shared" si="0"/>
        <v>3.0625244230381658E-3</v>
      </c>
      <c r="H6" s="39">
        <f t="shared" si="2"/>
        <v>1.5813340484159115</v>
      </c>
    </row>
    <row r="7" spans="1:14" ht="20" customHeight="1" x14ac:dyDescent="0.2">
      <c r="A7" s="156">
        <v>45</v>
      </c>
      <c r="B7" s="182">
        <v>32.130000000000003</v>
      </c>
      <c r="C7" s="158">
        <v>22.8</v>
      </c>
      <c r="D7" s="159">
        <f>10^(3)*1.5438</f>
        <v>1543.8</v>
      </c>
      <c r="E7" s="159">
        <f t="shared" si="1"/>
        <v>503.34858000000014</v>
      </c>
      <c r="F7" s="160">
        <f>SQRT((((D7*_xlfn.COT(RADIANS(A7))+C7)/L$2)*M$2)^2+((B7*D7*N$2)/(L$2*(SIN(RADIANS(A7)))^2))^2)</f>
        <v>17.315175646313374</v>
      </c>
      <c r="G7" s="39">
        <f t="shared" si="0"/>
        <v>3.3353867345728727E-3</v>
      </c>
      <c r="H7" s="39">
        <f t="shared" si="2"/>
        <v>1.6788621765980929</v>
      </c>
    </row>
    <row r="8" spans="1:14" ht="20" customHeight="1" x14ac:dyDescent="0.2">
      <c r="A8" s="156">
        <v>40</v>
      </c>
      <c r="B8" s="157">
        <v>26.99</v>
      </c>
      <c r="C8" s="158">
        <v>28.6</v>
      </c>
      <c r="D8" s="159">
        <f>10^(3)*1.5379</f>
        <v>1537.9</v>
      </c>
      <c r="E8" s="159">
        <f t="shared" si="1"/>
        <v>502.39127972866646</v>
      </c>
      <c r="F8" s="160">
        <f>SQRT((((D8*_xlfn.COT(RADIANS(A8))+C8)/L$2)*M$2)^2+((B8*D8*N$2)/(L$2*(SIN(RADIANS(A8)))^2))^2)</f>
        <v>17.534679294233932</v>
      </c>
      <c r="G8" s="39">
        <f t="shared" si="0"/>
        <v>3.2524029457341925E-3</v>
      </c>
      <c r="H8" s="39">
        <f t="shared" si="2"/>
        <v>1.6339788781006854</v>
      </c>
      <c r="L8" s="2"/>
      <c r="M8" s="2"/>
    </row>
    <row r="9" spans="1:14" ht="20" customHeight="1" x14ac:dyDescent="0.2">
      <c r="A9" s="156">
        <v>35</v>
      </c>
      <c r="B9" s="182">
        <v>22.95</v>
      </c>
      <c r="C9" s="158">
        <v>33.299999999999997</v>
      </c>
      <c r="D9" s="159">
        <f>10^(3)*1.5295</f>
        <v>1529.5</v>
      </c>
      <c r="E9" s="159">
        <f t="shared" si="1"/>
        <v>508.95122036361875</v>
      </c>
      <c r="F9" s="160">
        <f>SQRT((((D9*_xlfn.COT(RADIANS(A9))+C9)/L$2)*M$2)^2+((B9*D9*N$2)/(L$2*(SIN(RADIANS(A9)))^2))^2)</f>
        <v>18.623346745114176</v>
      </c>
      <c r="G9" s="39">
        <f t="shared" si="0"/>
        <v>2.8832648745311623E-3</v>
      </c>
      <c r="H9" s="39">
        <f t="shared" si="2"/>
        <v>1.467441176524191</v>
      </c>
      <c r="L9" s="164"/>
      <c r="M9" s="164"/>
    </row>
    <row r="10" spans="1:14" ht="20" customHeight="1" x14ac:dyDescent="0.2">
      <c r="A10" s="156">
        <v>30</v>
      </c>
      <c r="B10" s="157">
        <v>18.690000000000001</v>
      </c>
      <c r="C10" s="158">
        <v>36.200000000000003</v>
      </c>
      <c r="D10" s="159">
        <f>10^(3)*1.519</f>
        <v>1519</v>
      </c>
      <c r="E10" s="159">
        <f t="shared" si="1"/>
        <v>498.49690952469268</v>
      </c>
      <c r="F10" s="160">
        <f>SQRT((((D10*_xlfn.COT(RADIANS(A10))+C10)/L$2)*M$2)^2+((B10*D10*N$2)/(L$2*(SIN(RADIANS(A10)))^2))^2)</f>
        <v>19.821830316433637</v>
      </c>
      <c r="G10" s="39">
        <f t="shared" si="0"/>
        <v>2.5451447785171631E-3</v>
      </c>
      <c r="H10" s="39">
        <f t="shared" si="2"/>
        <v>1.2687468063837142</v>
      </c>
    </row>
    <row r="11" spans="1:14" ht="20" customHeight="1" x14ac:dyDescent="0.2">
      <c r="A11" s="156">
        <v>25</v>
      </c>
      <c r="B11" s="182">
        <v>15.55</v>
      </c>
      <c r="C11" s="158">
        <v>36.700000000000003</v>
      </c>
      <c r="D11" s="159">
        <f>10^(3)*1.5072</f>
        <v>1507.2</v>
      </c>
      <c r="E11" s="159">
        <f t="shared" si="1"/>
        <v>508.31407915705699</v>
      </c>
      <c r="F11" s="160">
        <f>SQRT((((D11*_xlfn.COT(RADIANS(A11))+C11)/L$2)*M$2)^2+((B11*D11*N$2)/(L$2*(SIN(RADIANS(A11)))^2))^2)</f>
        <v>22.90479245472762</v>
      </c>
      <c r="G11" s="39">
        <f t="shared" si="0"/>
        <v>1.9061070085553593E-3</v>
      </c>
      <c r="H11" s="39">
        <f t="shared" si="2"/>
        <v>0.96890102882863005</v>
      </c>
    </row>
    <row r="12" spans="1:14" ht="20" customHeight="1" x14ac:dyDescent="0.2">
      <c r="A12" s="156">
        <v>20</v>
      </c>
      <c r="B12" s="157">
        <v>11.24</v>
      </c>
      <c r="C12" s="158">
        <v>34.200000000000003</v>
      </c>
      <c r="D12" s="159">
        <f>10^(3)*1.4951</f>
        <v>1495.1000000000001</v>
      </c>
      <c r="E12" s="159">
        <f t="shared" si="1"/>
        <v>465.55557225651057</v>
      </c>
      <c r="F12" s="160">
        <f>SQRT((((D12*_xlfn.COT(RADIANS(A12))+C12)/L$2)*M$2)^2+((B12*D12*N$2)/(L$2*(SIN(RADIANS(A12)))^2))^2)</f>
        <v>25.076666284456611</v>
      </c>
      <c r="G12" s="39">
        <f t="shared" si="0"/>
        <v>1.590231672602602E-3</v>
      </c>
      <c r="H12" s="39">
        <f t="shared" si="2"/>
        <v>0.74034121635893235</v>
      </c>
    </row>
    <row r="13" spans="1:14" ht="20" customHeight="1" x14ac:dyDescent="0.2">
      <c r="A13" s="156">
        <v>15</v>
      </c>
      <c r="B13" s="182">
        <v>8.6999999999999993</v>
      </c>
      <c r="C13" s="158">
        <v>28.9</v>
      </c>
      <c r="D13" s="159">
        <f>10^(3)*1.4839</f>
        <v>1483.9</v>
      </c>
      <c r="E13" s="159">
        <f t="shared" si="1"/>
        <v>484.31944682157672</v>
      </c>
      <c r="F13" s="160">
        <f>SQRT((((D13*_xlfn.COT(RADIANS(A13))+C13)/L$2)*M$2)^2+((B13*D13*N$2)/(L$2*(SIN(RADIANS(A13)))^2))^2)</f>
        <v>33.640951008779496</v>
      </c>
      <c r="G13" s="39">
        <f t="shared" si="0"/>
        <v>8.8361579595134339E-4</v>
      </c>
      <c r="H13" s="39">
        <f t="shared" si="2"/>
        <v>0.42795231349796181</v>
      </c>
    </row>
    <row r="14" spans="1:14" ht="20" customHeight="1" x14ac:dyDescent="0.2">
      <c r="A14" s="156">
        <v>10</v>
      </c>
      <c r="B14" s="157">
        <v>6.06</v>
      </c>
      <c r="C14" s="158">
        <v>20.9</v>
      </c>
      <c r="D14" s="159">
        <f>10^(3)*1.475</f>
        <v>1475</v>
      </c>
      <c r="E14" s="159">
        <f>(B14/$L$2)*(D14*_xlfn.COT(RADIANS(A14))+C14)</f>
        <v>508.19406544652884</v>
      </c>
      <c r="F14" s="160">
        <f>SQRT((((D14*_xlfn.COT(RADIANS(A14))+C14)/L$2)*M$2)^2+((B14*D14*N$2)/(L$2*(SIN(RADIANS(A14)))^2))^2)</f>
        <v>51.743832908460931</v>
      </c>
      <c r="G14" s="39">
        <f t="shared" si="0"/>
        <v>3.7349329386966842E-4</v>
      </c>
      <c r="H14" s="39">
        <f t="shared" si="2"/>
        <v>0.18980707542864189</v>
      </c>
    </row>
    <row r="15" spans="1:14" ht="20" customHeight="1" x14ac:dyDescent="0.2">
      <c r="A15" s="156">
        <v>5</v>
      </c>
      <c r="B15" s="182">
        <v>2.44</v>
      </c>
      <c r="C15" s="158">
        <v>11</v>
      </c>
      <c r="D15" s="159">
        <f>10^(3)*1.4691</f>
        <v>1469.1000000000001</v>
      </c>
      <c r="E15" s="159">
        <f t="shared" si="1"/>
        <v>409.99051204687521</v>
      </c>
      <c r="F15" s="160">
        <f>SQRT((((D15*_xlfn.COT(RADIANS(A15))+C15)/L$2)*M$2)^2+((B15*D15*N$2)/(L$2*(SIN(RADIANS(A15)))^2))^2)</f>
        <v>82.379072233306857</v>
      </c>
      <c r="G15" s="39">
        <f t="shared" si="0"/>
        <v>1.4735545130931091E-4</v>
      </c>
      <c r="H15" s="39">
        <f t="shared" si="2"/>
        <v>6.0414336935202768E-2</v>
      </c>
    </row>
    <row r="16" spans="1:14" ht="20" customHeight="1" x14ac:dyDescent="0.2">
      <c r="A16" s="165">
        <v>70</v>
      </c>
      <c r="B16" s="183">
        <v>88.1</v>
      </c>
      <c r="C16" s="167">
        <v>2.5</v>
      </c>
      <c r="D16" s="168">
        <f>10^(3)*1.545</f>
        <v>1545</v>
      </c>
      <c r="E16" s="168">
        <f>(B16/$L$2)*(D16*_xlfn.COT(RADIANS(A16))+C16)</f>
        <v>497.61876452027013</v>
      </c>
      <c r="F16" s="160">
        <f>SQRT((((D16*_xlfn.COT(RADIANS(A16))+C16)/L$2)*M$2)^2+((B16*D16*N$2)/(L$2*(SIN(RADIANS(A16)))^2))^2)</f>
        <v>26.903642540112006</v>
      </c>
      <c r="G16" s="39">
        <f xml:space="preserve"> 1 / F16^2</f>
        <v>1.3815857080082346E-3</v>
      </c>
      <c r="H16" s="39">
        <f xml:space="preserve"> G16 * E16</f>
        <v>0.68750297309792041</v>
      </c>
    </row>
    <row r="17" spans="1:10" ht="20" customHeight="1" x14ac:dyDescent="0.2">
      <c r="A17" s="165">
        <v>65</v>
      </c>
      <c r="B17" s="166">
        <v>68.8</v>
      </c>
      <c r="C17" s="167">
        <v>2.5</v>
      </c>
      <c r="D17" s="168">
        <f>10^(3)*1.545</f>
        <v>1545</v>
      </c>
      <c r="E17" s="168">
        <f>(B17/$L$2)*(D17*_xlfn.COT(RADIANS(A17))+C17)</f>
        <v>497.38638831243725</v>
      </c>
      <c r="F17" s="160">
        <f>SQRT((((D17*_xlfn.COT(RADIANS(A17))+C17)/L$2)*M$2)^2+((B17*D17*N$2)/(L$2*(SIN(RADIANS(A17)))^2))^2)</f>
        <v>22.586299949737185</v>
      </c>
      <c r="G17" s="39">
        <f xml:space="preserve"> 1 / F17^2</f>
        <v>1.9602425740942674E-3</v>
      </c>
      <c r="H17" s="39">
        <f xml:space="preserve"> G17 * E17</f>
        <v>0.97499797414502287</v>
      </c>
    </row>
    <row r="18" spans="1:10" ht="20" customHeight="1" x14ac:dyDescent="0.2">
      <c r="A18" s="165">
        <v>60</v>
      </c>
      <c r="B18" s="183">
        <v>56.7</v>
      </c>
      <c r="C18" s="167">
        <v>6.2</v>
      </c>
      <c r="D18" s="168">
        <f>10^(3)*1.5472</f>
        <v>1547.1999999999998</v>
      </c>
      <c r="E18" s="168">
        <f>(B18/$L$2)*(D18*_xlfn.COT(RADIANS(A18))+C18)</f>
        <v>510.00308278993731</v>
      </c>
      <c r="F18" s="160">
        <f>SQRT((((D18*_xlfn.COT(RADIANS(A18))+C18)/L$2)*M$2)^2+((B18*D18*N$2)/(L$2*(SIN(RADIANS(A18)))^2))^2)</f>
        <v>20.415021198769651</v>
      </c>
      <c r="G18" s="39">
        <f xml:space="preserve"> 1 / F18^2</f>
        <v>2.3993871549850315E-3</v>
      </c>
      <c r="H18" s="39">
        <f xml:space="preserve"> G18 * E18</f>
        <v>1.2236948458489432</v>
      </c>
    </row>
    <row r="19" spans="1:10" ht="20" customHeight="1" x14ac:dyDescent="0.2">
      <c r="A19" s="165">
        <v>55</v>
      </c>
      <c r="B19" s="166">
        <v>49.7</v>
      </c>
      <c r="C19" s="167">
        <v>11</v>
      </c>
      <c r="D19" s="168">
        <f>10^(3)*1.548</f>
        <v>1548</v>
      </c>
      <c r="E19" s="168">
        <f>(B19/$L$2)*(D19*_xlfn.COT(RADIANS(A19))+C19)</f>
        <v>544.17587076686948</v>
      </c>
      <c r="F19" s="160">
        <f>SQRT((((D19*_xlfn.COT(RADIANS(A19))+C19)/L$2)*M$2)^2+((B19*D19*N$2)/(L$2*(SIN(RADIANS(A19)))^2))^2)</f>
        <v>20.011616639371752</v>
      </c>
      <c r="G19" s="39">
        <f xml:space="preserve"> 1 / F19^2</f>
        <v>2.4970983684422733E-3</v>
      </c>
      <c r="H19" s="39">
        <f xml:space="preserve"> G19 * E19</f>
        <v>1.3588606790376032</v>
      </c>
    </row>
    <row r="20" spans="1:10" ht="20" customHeight="1" x14ac:dyDescent="0.2">
      <c r="A20" s="165">
        <v>50</v>
      </c>
      <c r="B20" s="183">
        <v>39.700000000000003</v>
      </c>
      <c r="C20" s="167">
        <v>16.7</v>
      </c>
      <c r="D20" s="168">
        <f>10^(3)*1.5471</f>
        <v>1547.1</v>
      </c>
      <c r="E20" s="168">
        <f>(B20/$L$2)*(D20*_xlfn.COT(RADIANS(A20))+C20)</f>
        <v>522.00380263956492</v>
      </c>
      <c r="F20" s="160">
        <f>SQRT((((D20*_xlfn.COT(RADIANS(A20))+C20)/L$2)*M$2)^2+((B20*D20*N$2)/(L$2*(SIN(RADIANS(A20)))^2))^2)</f>
        <v>18.26794003603413</v>
      </c>
      <c r="G20" s="39">
        <f xml:space="preserve"> 1 / F20^2</f>
        <v>2.9965452844984588E-3</v>
      </c>
      <c r="H20" s="39">
        <f xml:space="preserve"> G20 * E20</f>
        <v>1.5642080332898525</v>
      </c>
    </row>
    <row r="21" spans="1:10" ht="20" customHeight="1" x14ac:dyDescent="0.2">
      <c r="A21" s="165">
        <v>45</v>
      </c>
      <c r="B21" s="166">
        <v>33.590000000000003</v>
      </c>
      <c r="C21" s="167">
        <v>22.8</v>
      </c>
      <c r="D21" s="168">
        <f>10^(3)*1.5438</f>
        <v>1543.8</v>
      </c>
      <c r="E21" s="168">
        <f>(B21/$L$2)*(D21*_xlfn.COT(RADIANS(A21))+C21)</f>
        <v>526.22094000000016</v>
      </c>
      <c r="F21" s="160">
        <f>SQRT((((D21*_xlfn.COT(RADIANS(A21))+C21)/L$2)*M$2)^2+((B21*D21*N$2)/(L$2*(SIN(RADIANS(A21)))^2))^2)</f>
        <v>18.101921118586244</v>
      </c>
      <c r="G21" s="39">
        <f xml:space="preserve"> 1 / F21^2</f>
        <v>3.0517620203746884E-3</v>
      </c>
      <c r="H21" s="39">
        <f xml:space="preserve"> G21 * E21</f>
        <v>1.6059010790178683</v>
      </c>
    </row>
    <row r="22" spans="1:10" ht="20" customHeight="1" x14ac:dyDescent="0.2">
      <c r="A22" s="165">
        <v>40</v>
      </c>
      <c r="B22" s="183">
        <v>27.65</v>
      </c>
      <c r="C22" s="167">
        <v>28.6</v>
      </c>
      <c r="D22" s="168">
        <f>10^(3)*1.5379</f>
        <v>1537.9</v>
      </c>
      <c r="E22" s="168">
        <f>(B22/$L$2)*(D22*_xlfn.COT(RADIANS(A22))+C22)</f>
        <v>514.67650553900069</v>
      </c>
      <c r="F22" s="160">
        <f>SQRT((((D22*_xlfn.COT(RADIANS(A22))+C22)/L$2)*M$2)^2+((B22*D22*N$2)/(L$2*(SIN(RADIANS(A22)))^2))^2)</f>
        <v>17.963415854306078</v>
      </c>
      <c r="G22" s="39">
        <f xml:space="preserve"> 1 / F22^2</f>
        <v>3.099004109060896E-3</v>
      </c>
      <c r="H22" s="39">
        <f xml:space="preserve"> G22 * E22</f>
        <v>1.5949846055024661</v>
      </c>
    </row>
    <row r="23" spans="1:10" ht="20" customHeight="1" x14ac:dyDescent="0.2">
      <c r="A23" s="165">
        <v>35</v>
      </c>
      <c r="B23" s="166">
        <v>23.88</v>
      </c>
      <c r="C23" s="167">
        <v>33.299999999999997</v>
      </c>
      <c r="D23" s="168">
        <f>10^(3)*1.5295</f>
        <v>1529.5</v>
      </c>
      <c r="E23" s="168">
        <f>(B23/$L$2)*(D23*_xlfn.COT(RADIANS(A23))+C23)</f>
        <v>529.57538746332091</v>
      </c>
      <c r="F23" s="160">
        <f>SQRT((((D23*_xlfn.COT(RADIANS(A23))+C23)/L$2)*M$2)^2+((B23*D23*N$2)/(L$2*(SIN(RADIANS(A23)))^2))^2)</f>
        <v>19.377913384783081</v>
      </c>
      <c r="G23" s="39">
        <f xml:space="preserve"> 1 / F23^2</f>
        <v>2.6630908305834609E-3</v>
      </c>
      <c r="H23" s="39">
        <f xml:space="preserve"> G23 * E23</f>
        <v>1.4103073584562533</v>
      </c>
    </row>
    <row r="24" spans="1:10" ht="20" customHeight="1" x14ac:dyDescent="0.2">
      <c r="A24" s="165">
        <v>30</v>
      </c>
      <c r="B24" s="183">
        <v>19.170000000000002</v>
      </c>
      <c r="C24" s="167">
        <v>36.200000000000003</v>
      </c>
      <c r="D24" s="168">
        <f>10^(3)*1.519</f>
        <v>1519</v>
      </c>
      <c r="E24" s="168">
        <f>(B24/$L$2)*(D24*_xlfn.COT(RADIANS(A24))+C24)</f>
        <v>511.29939837283888</v>
      </c>
      <c r="F24" s="160">
        <f>SQRT((((D24*_xlfn.COT(RADIANS(A24))+C24)/L$2)*M$2)^2+((B24*D24*N$2)/(L$2*(SIN(RADIANS(A24)))^2))^2)</f>
        <v>20.330807172419526</v>
      </c>
      <c r="G24" s="39">
        <f xml:space="preserve"> 1 / F24^2</f>
        <v>2.419305748564411E-3</v>
      </c>
      <c r="H24" s="39">
        <f xml:space="preserve"> G24 * E24</f>
        <v>1.236989573720934</v>
      </c>
    </row>
    <row r="25" spans="1:10" ht="20" customHeight="1" x14ac:dyDescent="0.2">
      <c r="A25" s="165">
        <v>25</v>
      </c>
      <c r="B25" s="166">
        <v>16.12</v>
      </c>
      <c r="C25" s="167">
        <v>36.700000000000003</v>
      </c>
      <c r="D25" s="168">
        <f>10^(3)*1.5072</f>
        <v>1507.2</v>
      </c>
      <c r="E25" s="168">
        <f>(B25/$L$2)*(D25*_xlfn.COT(RADIANS(A25))+C25)</f>
        <v>526.94681389143147</v>
      </c>
      <c r="F25" s="160">
        <f>SQRT((((D25*_xlfn.COT(RADIANS(A25))+C25)/L$2)*M$2)^2+((B25*D25*N$2)/(L$2*(SIN(RADIANS(A25)))^2))^2)</f>
        <v>23.744221361379061</v>
      </c>
      <c r="G25" s="39">
        <f xml:space="preserve"> 1 / F25^2</f>
        <v>1.7737162102748646E-3</v>
      </c>
      <c r="H25" s="39">
        <f xml:space="preserve"> G25 * E25</f>
        <v>0.9346541057519242</v>
      </c>
    </row>
    <row r="26" spans="1:10" ht="20" customHeight="1" x14ac:dyDescent="0.2">
      <c r="A26" s="165">
        <v>20</v>
      </c>
      <c r="B26" s="183">
        <v>12.34</v>
      </c>
      <c r="C26" s="167">
        <v>34.200000000000003</v>
      </c>
      <c r="D26" s="168">
        <f>10^(3)*1.4951</f>
        <v>1495.1000000000001</v>
      </c>
      <c r="E26" s="168">
        <f>(B26/$L$2)*(D26*_xlfn.COT(RADIANS(A26))+C26)</f>
        <v>511.11706064460321</v>
      </c>
      <c r="F26" s="160">
        <f>SQRT((((D26*_xlfn.COT(RADIANS(A26))+C26)/L$2)*M$2)^2+((B26*D26*N$2)/(L$2*(SIN(RADIANS(A26)))^2))^2)</f>
        <v>27.530148738055644</v>
      </c>
      <c r="G26" s="39">
        <f xml:space="preserve"> 1 / F26^2</f>
        <v>1.3194194578239409E-3</v>
      </c>
      <c r="H26" s="39">
        <f xml:space="preserve"> G26 * E26</f>
        <v>0.67437779504026873</v>
      </c>
    </row>
    <row r="27" spans="1:10" ht="20" customHeight="1" x14ac:dyDescent="0.2">
      <c r="A27" s="165">
        <v>15</v>
      </c>
      <c r="B27" s="166">
        <v>9.52</v>
      </c>
      <c r="C27" s="167">
        <v>28.9</v>
      </c>
      <c r="D27" s="168">
        <f>10^(3)*1.4839</f>
        <v>1483.9</v>
      </c>
      <c r="E27" s="168">
        <f>(B27/$L$2)*(D27*_xlfn.COT(RADIANS(A27))+C27)</f>
        <v>529.96794640705866</v>
      </c>
      <c r="F27" s="160">
        <f>SQRT((((D27*_xlfn.COT(RADIANS(A27))+C27)/L$2)*M$2)^2+((B27*D27*N$2)/(L$2*(SIN(RADIANS(A27)))^2))^2)</f>
        <v>36.810876431388252</v>
      </c>
      <c r="G27" s="39">
        <f xml:space="preserve"> 1 / F27^2</f>
        <v>7.3798525486905016E-4</v>
      </c>
      <c r="H27" s="39">
        <f xml:space="preserve"> G27 * E27</f>
        <v>0.39110853000164031</v>
      </c>
    </row>
    <row r="28" spans="1:10" ht="20" customHeight="1" x14ac:dyDescent="0.2">
      <c r="A28" s="169">
        <v>10</v>
      </c>
      <c r="B28" s="184">
        <v>6.26</v>
      </c>
      <c r="C28" s="170">
        <v>20.9</v>
      </c>
      <c r="D28" s="171">
        <f>10^(3)*1.475</f>
        <v>1475</v>
      </c>
      <c r="E28" s="171">
        <f>(B28/$L$2)*(D28*_xlfn.COT(RADIANS(A28))+C28)</f>
        <v>524.96614681440121</v>
      </c>
      <c r="F28" s="160">
        <f>SQRT((((D28*_xlfn.COT(RADIANS(A28))+C28)/L$2)*M$2)^2+((B28*D28*N$2)/(L$2*(SIN(RADIANS(A28)))^2))^2)</f>
        <v>53.451108777804137</v>
      </c>
      <c r="G28" s="105">
        <f xml:space="preserve"> 1 / F28^2</f>
        <v>3.5001492451323631E-4</v>
      </c>
      <c r="H28" s="105">
        <f xml:space="preserve"> G28 * E28</f>
        <v>0.18374598624924718</v>
      </c>
      <c r="I28" s="2"/>
      <c r="J28" s="2"/>
    </row>
    <row r="29" spans="1:10" ht="20" customHeight="1" x14ac:dyDescent="0.2">
      <c r="A29" s="172">
        <v>5</v>
      </c>
      <c r="B29" s="173">
        <v>3.68</v>
      </c>
      <c r="C29" s="174">
        <v>11</v>
      </c>
      <c r="D29" s="174">
        <f>10^(3)*1.4691</f>
        <v>1469.1000000000001</v>
      </c>
      <c r="E29" s="174">
        <f>(B29/$L$2)*(D29*_xlfn.COT(RADIANS(A29))+C29)</f>
        <v>618.34634603791028</v>
      </c>
      <c r="F29" s="160">
        <f>SQRT((((D29*_xlfn.COT(RADIANS(A29))+C29)/L$2)*M$2)^2+((B29*D29*N$2)/(L$2*(SIN(RADIANS(A29)))^2))^2)</f>
        <v>124.22936286943803</v>
      </c>
      <c r="G29" s="39">
        <f xml:space="preserve"> 1 / F29^2</f>
        <v>6.4796490491721682E-5</v>
      </c>
      <c r="H29" s="39">
        <f xml:space="preserve"> G29 * E29</f>
        <v>4.0066673131636296E-2</v>
      </c>
    </row>
    <row r="30" spans="1:10" ht="20" customHeight="1" x14ac:dyDescent="0.2">
      <c r="F30" s="2"/>
      <c r="G30" s="2"/>
      <c r="H30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Cosa contiene questo file</vt:lpstr>
      <vt:lpstr>Costanti</vt:lpstr>
      <vt:lpstr>CM Ortogonale</vt:lpstr>
      <vt:lpstr>CM Parallelo</vt:lpstr>
      <vt:lpstr>CM AntiParallelo</vt:lpstr>
      <vt:lpstr>CM Terrestre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Ballico</dc:creator>
  <cp:lastModifiedBy>Mattia Ballico</cp:lastModifiedBy>
  <dcterms:created xsi:type="dcterms:W3CDTF">2024-11-17T13:42:37Z</dcterms:created>
  <dcterms:modified xsi:type="dcterms:W3CDTF">2024-11-19T18:04:40Z</dcterms:modified>
</cp:coreProperties>
</file>