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0.xml" ContentType="application/vnd.openxmlformats-officedocument.drawing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1.xml" ContentType="application/vnd.openxmlformats-officedocument.drawing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2.xml" ContentType="application/vnd.openxmlformats-officedocument.drawing+xml"/>
  <Override PartName="/xl/charts/chart3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3.xml" ContentType="application/vnd.openxmlformats-officedocument.drawing+xml"/>
  <Override PartName="/xl/charts/chart3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4.xml" ContentType="application/vnd.openxmlformats-officedocument.drawing+xml"/>
  <Override PartName="/xl/charts/chart3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1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harts/chart4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43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9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6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0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9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1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2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2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5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3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8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4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61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35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6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36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6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573664_polimi_it/Documents/Mattia_Puddu_Tesi/"/>
    </mc:Choice>
  </mc:AlternateContent>
  <xr:revisionPtr revIDLastSave="2" documentId="13_ncr:1_{CAAEFAAC-49DD-423D-8A64-E6387D38CD4D}" xr6:coauthVersionLast="47" xr6:coauthVersionMax="47" xr10:uidLastSave="{B0A9CDE3-14E2-48A5-BA07-A3FDC573A9DD}"/>
  <bookViews>
    <workbookView xWindow="-108" yWindow="-108" windowWidth="23256" windowHeight="13176" firstSheet="40" activeTab="42" xr2:uid="{00000000-000D-0000-FFFF-FFFF00000000}"/>
  </bookViews>
  <sheets>
    <sheet name="NG Boiler C Small v2" sheetId="58" r:id="rId1"/>
    <sheet name=" Check NG BOILER Small C" sheetId="63" r:id="rId2"/>
    <sheet name="NG Boiler C Mid-Big" sheetId="27" r:id="rId3"/>
    <sheet name=" Check NG BOILER Mid-Big C" sheetId="62" r:id="rId4"/>
    <sheet name="NG Boiler NC" sheetId="26" r:id="rId5"/>
    <sheet name=" Check NG BOILER NC" sheetId="61" r:id="rId6"/>
    <sheet name="Small Wood Chips Boiler v2" sheetId="54" r:id="rId7"/>
    <sheet name="Mid-Big Wood Chips Boiler v2" sheetId="56" r:id="rId8"/>
    <sheet name="Small Pellet Boiler v2" sheetId="55" r:id="rId9"/>
    <sheet name="Mid-Big Pellet Boiler v2 " sheetId="57" r:id="rId10"/>
    <sheet name="Check Boiler Biomass" sheetId="75" r:id="rId11"/>
    <sheet name="ICE_Small" sheetId="17" r:id="rId12"/>
    <sheet name="Check ICE small" sheetId="64" r:id="rId13"/>
    <sheet name="ICE_Mid" sheetId="19" r:id="rId14"/>
    <sheet name="ICE_Large" sheetId="20" r:id="rId15"/>
    <sheet name="Check ICE Mid-Large" sheetId="65" r:id="rId16"/>
    <sheet name="ORC biomass v2 small" sheetId="100" r:id="rId17"/>
    <sheet name="ORC biomass v2 big" sheetId="101" r:id="rId18"/>
    <sheet name="Check ORC biomass" sheetId="66" r:id="rId19"/>
    <sheet name="SOFC CHP v2 Small" sheetId="105" r:id="rId20"/>
    <sheet name="SOFC CHP v2 Big" sheetId="106" r:id="rId21"/>
    <sheet name="Check SOFC CHP" sheetId="67" r:id="rId22"/>
    <sheet name="PEMFC CHP v2 small" sheetId="107" r:id="rId23"/>
    <sheet name="PEMFC CHP v2 mid-big" sheetId="108" r:id="rId24"/>
    <sheet name="Check PEMFC" sheetId="68" r:id="rId25"/>
    <sheet name="Dati_Absorption" sheetId="37" r:id="rId26"/>
    <sheet name="ABSORPTION Chill steam" sheetId="36" r:id="rId27"/>
    <sheet name="ABSORPTION Chill hot water" sheetId="109" r:id="rId28"/>
    <sheet name="Check ABS chill" sheetId="69" r:id="rId29"/>
    <sheet name="Trane_W_COMPRESSION_Small" sheetId="52" r:id="rId30"/>
    <sheet name="Trane_W_COMPRESSION_Mid" sheetId="102" r:id="rId31"/>
    <sheet name="Check Trane_W_Compr_Chill Sm-Mi" sheetId="89" r:id="rId32"/>
    <sheet name="Trane_W_COMPRESSION_Big_C" sheetId="90" r:id="rId33"/>
    <sheet name="Check Trane_W_Compr_Chill  B" sheetId="91" r:id="rId34"/>
    <sheet name="Trane_A_COMPRESSION_Smal" sheetId="96" r:id="rId35"/>
    <sheet name="Check Trane_A_Comp_Chill Small" sheetId="98" r:id="rId36"/>
    <sheet name="Trane_A_COMPRESSION_Mid v2" sheetId="97" r:id="rId37"/>
    <sheet name="Check Trane_A_Comp_Chill M" sheetId="95" r:id="rId38"/>
    <sheet name="Trane_A_COMPRESSION_Big" sheetId="92" r:id="rId39"/>
    <sheet name="Check Trane_A_Comp_Chill  B" sheetId="93" r:id="rId40"/>
    <sheet name="ALKALINE electrolyzer v2" sheetId="73" r:id="rId41"/>
    <sheet name="Check ALK el" sheetId="72" r:id="rId42"/>
    <sheet name="PEM electrolyzer" sheetId="47" r:id="rId43"/>
    <sheet name="Check PEM el" sheetId="74" r:id="rId44"/>
    <sheet name="Water-Water HP_Small" sheetId="49" r:id="rId45"/>
    <sheet name="EER_Water-Water HP_Small" sheetId="110" r:id="rId46"/>
    <sheet name="Water-Water HP_Mid" sheetId="103" r:id="rId47"/>
    <sheet name="EER_Water-Water HP_Mid" sheetId="111" r:id="rId48"/>
    <sheet name="Check W-W HP Small-Mid" sheetId="86" r:id="rId49"/>
    <sheet name="Water-Water HP_Big" sheetId="48" r:id="rId50"/>
    <sheet name="EER_Water-Water HP_Big" sheetId="112" r:id="rId51"/>
    <sheet name="Check W-W HP Big" sheetId="87" r:id="rId52"/>
    <sheet name="Trane_Air-Water HP_Smal " sheetId="60" r:id="rId53"/>
    <sheet name="EER_Trane_Air-Water HP_Smal" sheetId="113" r:id="rId54"/>
    <sheet name="Check A-W HP Small" sheetId="76" r:id="rId55"/>
    <sheet name="Trane_Air-Water HP_Mid" sheetId="51" r:id="rId56"/>
    <sheet name="EER_Trane_Air-Water HP_Mid" sheetId="114" r:id="rId57"/>
    <sheet name="Check A-W HP Mid" sheetId="78" r:id="rId58"/>
    <sheet name="Check A-W HP Mid v2" sheetId="82" r:id="rId59"/>
    <sheet name="Trane_Air-Water HP_Big" sheetId="50" r:id="rId60"/>
    <sheet name="EER_Trane_Air-Water HP_Big" sheetId="115" r:id="rId61"/>
    <sheet name="Check A-W HP Big-Huge" sheetId="79" r:id="rId62"/>
    <sheet name="Check A-W HP Big v2" sheetId="84" r:id="rId63"/>
    <sheet name="Trane_Air-Water HP_Huge" sheetId="83" r:id="rId64"/>
    <sheet name="EER_Trane_Air-Water HP_Huge" sheetId="116" r:id="rId65"/>
    <sheet name="Check A-W HP Huge v2" sheetId="85" r:id="rId6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06" l="1"/>
  <c r="C68" i="26"/>
  <c r="G52" i="27"/>
  <c r="C52" i="27"/>
  <c r="G55" i="116"/>
  <c r="F55" i="116"/>
  <c r="C55" i="116"/>
  <c r="B55" i="116"/>
  <c r="G59" i="115"/>
  <c r="F59" i="115"/>
  <c r="C59" i="115"/>
  <c r="B59" i="115"/>
  <c r="G63" i="114"/>
  <c r="F63" i="114"/>
  <c r="C63" i="114"/>
  <c r="B63" i="114"/>
  <c r="G55" i="113"/>
  <c r="F55" i="113"/>
  <c r="C55" i="113"/>
  <c r="B55" i="113"/>
  <c r="G87" i="112"/>
  <c r="F87" i="112"/>
  <c r="C87" i="112"/>
  <c r="B87" i="112"/>
  <c r="G61" i="111"/>
  <c r="F61" i="111"/>
  <c r="C61" i="111"/>
  <c r="B61" i="111"/>
  <c r="G45" i="110"/>
  <c r="F45" i="110"/>
  <c r="C45" i="110"/>
  <c r="B45" i="110"/>
  <c r="G84" i="92"/>
  <c r="F84" i="92"/>
  <c r="C84" i="92"/>
  <c r="B84" i="92"/>
  <c r="G80" i="97"/>
  <c r="F80" i="97"/>
  <c r="C80" i="97"/>
  <c r="B80" i="97"/>
  <c r="G44" i="96"/>
  <c r="F44" i="96"/>
  <c r="C44" i="96"/>
  <c r="B44" i="96"/>
  <c r="G68" i="90"/>
  <c r="F68" i="90"/>
  <c r="C68" i="90"/>
  <c r="B68" i="90"/>
  <c r="G80" i="102"/>
  <c r="F80" i="102"/>
  <c r="C80" i="102"/>
  <c r="B80" i="102"/>
  <c r="G52" i="52"/>
  <c r="F52" i="52"/>
  <c r="C52" i="52"/>
  <c r="B52" i="52"/>
  <c r="G47" i="47"/>
  <c r="F47" i="47"/>
  <c r="C47" i="47"/>
  <c r="B47" i="47"/>
  <c r="G53" i="73"/>
  <c r="F53" i="73"/>
  <c r="C53" i="73"/>
  <c r="B53" i="73"/>
  <c r="G32" i="109"/>
  <c r="F32" i="109"/>
  <c r="C32" i="109"/>
  <c r="B32" i="109"/>
  <c r="G126" i="36"/>
  <c r="F126" i="36"/>
  <c r="C126" i="36"/>
  <c r="B126" i="36"/>
  <c r="G70" i="55"/>
  <c r="F70" i="55"/>
  <c r="C70" i="55"/>
  <c r="B70" i="55"/>
  <c r="G60" i="56"/>
  <c r="F60" i="56"/>
  <c r="C60" i="56"/>
  <c r="B60" i="56"/>
  <c r="G70" i="54"/>
  <c r="F70" i="54"/>
  <c r="C70" i="54"/>
  <c r="B70" i="54"/>
  <c r="G87" i="48"/>
  <c r="F87" i="48"/>
  <c r="C87" i="48"/>
  <c r="B87" i="48"/>
  <c r="G61" i="103"/>
  <c r="F61" i="103"/>
  <c r="C61" i="103"/>
  <c r="B61" i="103"/>
  <c r="G45" i="49"/>
  <c r="F45" i="49"/>
  <c r="C45" i="49"/>
  <c r="B45" i="49"/>
  <c r="G51" i="83"/>
  <c r="F51" i="83"/>
  <c r="C51" i="83"/>
  <c r="B51" i="83"/>
  <c r="G59" i="50"/>
  <c r="F59" i="50"/>
  <c r="C59" i="50"/>
  <c r="B59" i="50"/>
  <c r="G63" i="51"/>
  <c r="F63" i="51"/>
  <c r="C63" i="51"/>
  <c r="B63" i="51"/>
  <c r="G55" i="60"/>
  <c r="F55" i="60"/>
  <c r="C55" i="60"/>
  <c r="B55" i="60"/>
  <c r="G68" i="26"/>
  <c r="F68" i="26"/>
  <c r="B68" i="26"/>
  <c r="F52" i="27"/>
  <c r="B52" i="27"/>
  <c r="G55" i="58"/>
  <c r="F55" i="58"/>
  <c r="C55" i="58"/>
  <c r="B55" i="58"/>
  <c r="H34" i="101"/>
  <c r="G34" i="101"/>
  <c r="F34" i="101"/>
  <c r="D34" i="101"/>
  <c r="C34" i="101"/>
  <c r="B34" i="101"/>
  <c r="H38" i="100"/>
  <c r="G38" i="100"/>
  <c r="F38" i="100"/>
  <c r="D38" i="100"/>
  <c r="C38" i="100"/>
  <c r="B38" i="100"/>
  <c r="H31" i="108"/>
  <c r="G31" i="108"/>
  <c r="F31" i="108"/>
  <c r="D31" i="108"/>
  <c r="C31" i="108"/>
  <c r="B31" i="108"/>
  <c r="H27" i="107"/>
  <c r="G27" i="107"/>
  <c r="F27" i="107"/>
  <c r="D27" i="107"/>
  <c r="C27" i="107"/>
  <c r="B27" i="107"/>
  <c r="H33" i="106"/>
  <c r="G33" i="106"/>
  <c r="F33" i="106"/>
  <c r="D33" i="106"/>
  <c r="C33" i="106"/>
  <c r="B33" i="106"/>
  <c r="H33" i="105"/>
  <c r="G33" i="105"/>
  <c r="F33" i="105"/>
  <c r="D33" i="105"/>
  <c r="C33" i="105"/>
  <c r="B33" i="105"/>
  <c r="H60" i="20"/>
  <c r="G60" i="20"/>
  <c r="F60" i="20"/>
  <c r="D60" i="20"/>
  <c r="C60" i="20"/>
  <c r="B60" i="20"/>
  <c r="H56" i="19"/>
  <c r="G56" i="19"/>
  <c r="F56" i="19"/>
  <c r="D56" i="19"/>
  <c r="C56" i="19"/>
  <c r="B56" i="19"/>
  <c r="H44" i="17"/>
  <c r="C44" i="17"/>
  <c r="G44" i="17"/>
  <c r="D44" i="17"/>
  <c r="F44" i="17"/>
  <c r="B44" i="17"/>
  <c r="C20" i="109"/>
  <c r="C19" i="109"/>
  <c r="C18" i="109"/>
  <c r="C17" i="109"/>
  <c r="D16" i="109"/>
  <c r="E16" i="109" s="1"/>
  <c r="C16" i="109"/>
  <c r="C15" i="109"/>
  <c r="F7" i="109"/>
  <c r="D20" i="109" s="1"/>
  <c r="E20" i="109" s="1"/>
  <c r="F6" i="109"/>
  <c r="D19" i="109" s="1"/>
  <c r="E19" i="109" s="1"/>
  <c r="D6" i="109"/>
  <c r="C6" i="109"/>
  <c r="J5" i="109"/>
  <c r="F5" i="109"/>
  <c r="D18" i="109" s="1"/>
  <c r="E18" i="109" s="1"/>
  <c r="D4" i="109"/>
  <c r="C4" i="109"/>
  <c r="I5" i="109" s="1"/>
  <c r="H5" i="109" s="1"/>
  <c r="F3" i="109"/>
  <c r="F2" i="109"/>
  <c r="D15" i="109" s="1"/>
  <c r="D2" i="109"/>
  <c r="C2" i="109"/>
  <c r="J17" i="116"/>
  <c r="I17" i="116"/>
  <c r="H17" i="116" s="1"/>
  <c r="J19" i="115"/>
  <c r="I19" i="115"/>
  <c r="H19" i="115" s="1"/>
  <c r="J19" i="114"/>
  <c r="I19" i="114"/>
  <c r="H19" i="114" s="1"/>
  <c r="J11" i="114"/>
  <c r="I11" i="114"/>
  <c r="H11" i="114" s="1"/>
  <c r="J17" i="113"/>
  <c r="I17" i="113"/>
  <c r="H17" i="113" s="1"/>
  <c r="J15" i="113"/>
  <c r="I15" i="113"/>
  <c r="H15" i="113" s="1"/>
  <c r="J13" i="113"/>
  <c r="I13" i="113"/>
  <c r="H13" i="113" s="1"/>
  <c r="J7" i="113"/>
  <c r="I7" i="113"/>
  <c r="H7" i="113" s="1"/>
  <c r="J5" i="113"/>
  <c r="I5" i="113"/>
  <c r="H5" i="113" s="1"/>
  <c r="J3" i="113"/>
  <c r="I3" i="113"/>
  <c r="H3" i="113" s="1"/>
  <c r="J33" i="112"/>
  <c r="I33" i="112"/>
  <c r="H33" i="112" s="1"/>
  <c r="J21" i="112"/>
  <c r="I21" i="112"/>
  <c r="H21" i="112" s="1"/>
  <c r="J5" i="112"/>
  <c r="I5" i="112"/>
  <c r="H5" i="112" s="1"/>
  <c r="J19" i="111"/>
  <c r="I19" i="111"/>
  <c r="H19" i="111" s="1"/>
  <c r="J9" i="110"/>
  <c r="I9" i="110"/>
  <c r="H9" i="110" s="1"/>
  <c r="J7" i="110"/>
  <c r="I7" i="110"/>
  <c r="H7" i="110" s="1"/>
  <c r="J5" i="110"/>
  <c r="I5" i="110"/>
  <c r="H5" i="110" s="1"/>
  <c r="J3" i="110"/>
  <c r="I3" i="110"/>
  <c r="H3" i="110" s="1"/>
  <c r="O7" i="108"/>
  <c r="N7" i="108"/>
  <c r="M7" i="108"/>
  <c r="K7" i="108" s="1"/>
  <c r="L7" i="108" s="1"/>
  <c r="N3" i="108"/>
  <c r="O3" i="108" s="1"/>
  <c r="M3" i="108"/>
  <c r="K3" i="108" s="1"/>
  <c r="L3" i="108" s="1"/>
  <c r="N3" i="107"/>
  <c r="O3" i="107" s="1"/>
  <c r="M3" i="107"/>
  <c r="K3" i="107" s="1"/>
  <c r="L3" i="107" s="1"/>
  <c r="N5" i="106"/>
  <c r="O5" i="106" s="1"/>
  <c r="M5" i="106"/>
  <c r="K5" i="106" s="1"/>
  <c r="N5" i="105"/>
  <c r="O5" i="105" s="1"/>
  <c r="M5" i="105"/>
  <c r="K5" i="105" s="1"/>
  <c r="L5" i="105" s="1"/>
  <c r="L3" i="105"/>
  <c r="K3" i="105"/>
  <c r="M3" i="105"/>
  <c r="O3" i="105"/>
  <c r="N3" i="105"/>
  <c r="O7" i="101"/>
  <c r="P7" i="101" s="1"/>
  <c r="N7" i="101"/>
  <c r="L7" i="101" s="1"/>
  <c r="M7" i="101" s="1"/>
  <c r="O3" i="100"/>
  <c r="P3" i="100" s="1"/>
  <c r="N3" i="100"/>
  <c r="L3" i="100" s="1"/>
  <c r="M3" i="100" s="1"/>
  <c r="P21" i="20"/>
  <c r="O21" i="20"/>
  <c r="N21" i="20"/>
  <c r="L21" i="20" s="1"/>
  <c r="M21" i="20" s="1"/>
  <c r="O15" i="20"/>
  <c r="P15" i="20" s="1"/>
  <c r="N15" i="20"/>
  <c r="L15" i="20" s="1"/>
  <c r="M15" i="20" s="1"/>
  <c r="O9" i="20"/>
  <c r="P9" i="20" s="1"/>
  <c r="N9" i="20"/>
  <c r="L9" i="20" s="1"/>
  <c r="M9" i="20" s="1"/>
  <c r="O3" i="20"/>
  <c r="P3" i="20" s="1"/>
  <c r="N3" i="20"/>
  <c r="L3" i="20" s="1"/>
  <c r="M3" i="20" s="1"/>
  <c r="O7" i="19"/>
  <c r="P7" i="19" s="1"/>
  <c r="N7" i="19"/>
  <c r="L7" i="19" s="1"/>
  <c r="M7" i="19" s="1"/>
  <c r="O13" i="17"/>
  <c r="P13" i="17" s="1"/>
  <c r="O9" i="17"/>
  <c r="P9" i="17" s="1"/>
  <c r="N9" i="17"/>
  <c r="L9" i="17" s="1"/>
  <c r="O7" i="17"/>
  <c r="P7" i="17" s="1"/>
  <c r="N7" i="17"/>
  <c r="L7" i="17" s="1"/>
  <c r="O3" i="17"/>
  <c r="P3" i="17" s="1"/>
  <c r="N3" i="17"/>
  <c r="L3" i="17" s="1"/>
  <c r="J47" i="36"/>
  <c r="I47" i="36"/>
  <c r="H47" i="36" s="1"/>
  <c r="J21" i="36"/>
  <c r="I21" i="36"/>
  <c r="H21" i="36" s="1"/>
  <c r="J7" i="90"/>
  <c r="I7" i="90"/>
  <c r="H7" i="90" s="1"/>
  <c r="J17" i="92"/>
  <c r="I17" i="92"/>
  <c r="H17" i="92" s="1"/>
  <c r="D26" i="47"/>
  <c r="D27" i="47"/>
  <c r="D28" i="47"/>
  <c r="D29" i="47"/>
  <c r="D30" i="47"/>
  <c r="D31" i="47"/>
  <c r="D32" i="47"/>
  <c r="D33" i="47"/>
  <c r="D34" i="47"/>
  <c r="D35" i="47"/>
  <c r="D25" i="47"/>
  <c r="D24" i="47"/>
  <c r="C26" i="47"/>
  <c r="C27" i="47"/>
  <c r="C28" i="47"/>
  <c r="C29" i="47"/>
  <c r="C30" i="47"/>
  <c r="C31" i="47"/>
  <c r="C32" i="47"/>
  <c r="C33" i="47"/>
  <c r="C34" i="47"/>
  <c r="C35" i="47"/>
  <c r="C25" i="47"/>
  <c r="C24" i="47"/>
  <c r="C4" i="47"/>
  <c r="C5" i="47"/>
  <c r="C6" i="47"/>
  <c r="C7" i="47"/>
  <c r="C8" i="47"/>
  <c r="C9" i="47"/>
  <c r="C10" i="47"/>
  <c r="C11" i="47"/>
  <c r="C12" i="47"/>
  <c r="C13" i="47"/>
  <c r="C3" i="47"/>
  <c r="C2" i="47"/>
  <c r="D28" i="73"/>
  <c r="D29" i="73"/>
  <c r="D30" i="73"/>
  <c r="D31" i="73"/>
  <c r="D32" i="73"/>
  <c r="D33" i="73"/>
  <c r="D34" i="73"/>
  <c r="D35" i="73"/>
  <c r="D36" i="73"/>
  <c r="D37" i="73"/>
  <c r="D38" i="73"/>
  <c r="D39" i="73"/>
  <c r="D40" i="73"/>
  <c r="D41" i="73"/>
  <c r="D27" i="73"/>
  <c r="D26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27" i="73"/>
  <c r="C26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3" i="73"/>
  <c r="C2" i="73"/>
  <c r="J15" i="83"/>
  <c r="I15" i="83"/>
  <c r="H15" i="83" s="1"/>
  <c r="J19" i="50"/>
  <c r="I19" i="50"/>
  <c r="H19" i="50" s="1"/>
  <c r="J17" i="51"/>
  <c r="I17" i="51"/>
  <c r="H17" i="51" s="1"/>
  <c r="J11" i="51"/>
  <c r="I11" i="51"/>
  <c r="H11" i="51" s="1"/>
  <c r="J7" i="51"/>
  <c r="I7" i="51"/>
  <c r="H7" i="51" s="1"/>
  <c r="J17" i="60"/>
  <c r="I17" i="60"/>
  <c r="H17" i="60" s="1"/>
  <c r="J13" i="60"/>
  <c r="I13" i="60"/>
  <c r="H13" i="60" s="1"/>
  <c r="J11" i="60"/>
  <c r="I11" i="60"/>
  <c r="H11" i="60" s="1"/>
  <c r="J9" i="60"/>
  <c r="I9" i="60"/>
  <c r="H9" i="60" s="1"/>
  <c r="J5" i="60"/>
  <c r="I5" i="60"/>
  <c r="H5" i="60" s="1"/>
  <c r="J3" i="60"/>
  <c r="I3" i="60"/>
  <c r="H3" i="60" s="1"/>
  <c r="J33" i="48"/>
  <c r="I33" i="48"/>
  <c r="H33" i="48" s="1"/>
  <c r="J19" i="48"/>
  <c r="I19" i="48"/>
  <c r="H19" i="48" s="1"/>
  <c r="J3" i="48"/>
  <c r="I3" i="48"/>
  <c r="H3" i="48" s="1"/>
  <c r="J15" i="103"/>
  <c r="I15" i="103"/>
  <c r="H15" i="103" s="1"/>
  <c r="J9" i="49"/>
  <c r="I9" i="49"/>
  <c r="H9" i="49" s="1"/>
  <c r="J5" i="49"/>
  <c r="I5" i="49"/>
  <c r="H5" i="49" s="1"/>
  <c r="J3" i="49"/>
  <c r="I3" i="49"/>
  <c r="H3" i="49" s="1"/>
  <c r="J23" i="55"/>
  <c r="I23" i="55"/>
  <c r="H23" i="55" s="1"/>
  <c r="J21" i="55"/>
  <c r="I21" i="55"/>
  <c r="H21" i="55" s="1"/>
  <c r="J19" i="55"/>
  <c r="I19" i="55"/>
  <c r="H19" i="55" s="1"/>
  <c r="J15" i="55"/>
  <c r="I15" i="55"/>
  <c r="H15" i="55" s="1"/>
  <c r="J11" i="55"/>
  <c r="I11" i="55"/>
  <c r="H11" i="55" s="1"/>
  <c r="J7" i="55"/>
  <c r="I7" i="55"/>
  <c r="H7" i="55" s="1"/>
  <c r="J5" i="55"/>
  <c r="I5" i="55"/>
  <c r="H5" i="55" s="1"/>
  <c r="J3" i="55"/>
  <c r="I3" i="55"/>
  <c r="H3" i="55"/>
  <c r="J21" i="56"/>
  <c r="I21" i="56"/>
  <c r="H21" i="56" s="1"/>
  <c r="J19" i="56"/>
  <c r="I19" i="56"/>
  <c r="H19" i="56" s="1"/>
  <c r="J17" i="56"/>
  <c r="I17" i="56"/>
  <c r="H17" i="56" s="1"/>
  <c r="J15" i="56"/>
  <c r="I15" i="56"/>
  <c r="H15" i="56" s="1"/>
  <c r="J13" i="56"/>
  <c r="I13" i="56"/>
  <c r="H13" i="56" s="1"/>
  <c r="J11" i="56"/>
  <c r="I11" i="56"/>
  <c r="H11" i="56"/>
  <c r="J9" i="56"/>
  <c r="I9" i="56"/>
  <c r="H9" i="56" s="1"/>
  <c r="J7" i="56"/>
  <c r="I7" i="56"/>
  <c r="H7" i="56" s="1"/>
  <c r="J5" i="56"/>
  <c r="I5" i="56"/>
  <c r="H5" i="56" s="1"/>
  <c r="J3" i="56"/>
  <c r="I3" i="56"/>
  <c r="H3" i="56" s="1"/>
  <c r="J27" i="54"/>
  <c r="I27" i="54"/>
  <c r="H27" i="54" s="1"/>
  <c r="J23" i="54"/>
  <c r="I23" i="54"/>
  <c r="H23" i="54" s="1"/>
  <c r="J21" i="54"/>
  <c r="I21" i="54"/>
  <c r="H21" i="54" s="1"/>
  <c r="J15" i="54"/>
  <c r="I15" i="54"/>
  <c r="H15" i="54" s="1"/>
  <c r="J11" i="54"/>
  <c r="I11" i="54"/>
  <c r="H11" i="54" s="1"/>
  <c r="J7" i="54"/>
  <c r="I7" i="54"/>
  <c r="H7" i="54" s="1"/>
  <c r="I3" i="54"/>
  <c r="H3" i="54" s="1"/>
  <c r="J3" i="54"/>
  <c r="L25" i="26"/>
  <c r="K25" i="26"/>
  <c r="J25" i="26" s="1"/>
  <c r="K13" i="27"/>
  <c r="J13" i="27"/>
  <c r="I13" i="27" s="1"/>
  <c r="K19" i="58"/>
  <c r="J19" i="58"/>
  <c r="I19" i="58" s="1"/>
  <c r="K13" i="58"/>
  <c r="J13" i="58"/>
  <c r="I13" i="58" s="1"/>
  <c r="K9" i="58"/>
  <c r="J9" i="58"/>
  <c r="I9" i="58" s="1"/>
  <c r="I7" i="58"/>
  <c r="K7" i="58"/>
  <c r="J7" i="58"/>
  <c r="K3" i="58"/>
  <c r="I3" i="58"/>
  <c r="J3" i="58"/>
  <c r="C43" i="116"/>
  <c r="C42" i="116"/>
  <c r="F17" i="116"/>
  <c r="D43" i="116" s="1"/>
  <c r="E43" i="116" s="1"/>
  <c r="F16" i="116"/>
  <c r="D42" i="116" s="1"/>
  <c r="E42" i="116" s="1"/>
  <c r="C41" i="116"/>
  <c r="C40" i="116"/>
  <c r="C39" i="116"/>
  <c r="C38" i="116"/>
  <c r="C37" i="116"/>
  <c r="C36" i="116"/>
  <c r="C35" i="116"/>
  <c r="C34" i="116"/>
  <c r="C33" i="116"/>
  <c r="C32" i="116"/>
  <c r="C31" i="116"/>
  <c r="C30" i="116"/>
  <c r="C29" i="116"/>
  <c r="C28" i="116"/>
  <c r="F15" i="116"/>
  <c r="D41" i="116" s="1"/>
  <c r="E41" i="116" s="1"/>
  <c r="F14" i="116"/>
  <c r="D40" i="116" s="1"/>
  <c r="E40" i="116" s="1"/>
  <c r="F13" i="116"/>
  <c r="D39" i="116" s="1"/>
  <c r="E39" i="116" s="1"/>
  <c r="F12" i="116"/>
  <c r="D38" i="116" s="1"/>
  <c r="E38" i="116" s="1"/>
  <c r="F11" i="116"/>
  <c r="D37" i="116" s="1"/>
  <c r="E37" i="116" s="1"/>
  <c r="F10" i="116"/>
  <c r="D36" i="116" s="1"/>
  <c r="E36" i="116" s="1"/>
  <c r="F9" i="116"/>
  <c r="D35" i="116" s="1"/>
  <c r="E35" i="116" s="1"/>
  <c r="F8" i="116"/>
  <c r="D34" i="116" s="1"/>
  <c r="E34" i="116" s="1"/>
  <c r="F7" i="116"/>
  <c r="D33" i="116" s="1"/>
  <c r="E33" i="116" s="1"/>
  <c r="F6" i="116"/>
  <c r="D32" i="116" s="1"/>
  <c r="E32" i="116" s="1"/>
  <c r="F5" i="116"/>
  <c r="D31" i="116" s="1"/>
  <c r="E31" i="116" s="1"/>
  <c r="F4" i="116"/>
  <c r="D30" i="116" s="1"/>
  <c r="E30" i="116" s="1"/>
  <c r="F3" i="116"/>
  <c r="D29" i="116" s="1"/>
  <c r="E29" i="116" s="1"/>
  <c r="F2" i="116"/>
  <c r="D28" i="116" s="1"/>
  <c r="E28" i="116" s="1"/>
  <c r="C47" i="115"/>
  <c r="C46" i="115"/>
  <c r="C45" i="115"/>
  <c r="C44" i="115"/>
  <c r="C43" i="115"/>
  <c r="C42" i="115"/>
  <c r="C41" i="115"/>
  <c r="C40" i="115"/>
  <c r="C39" i="115"/>
  <c r="C38" i="115"/>
  <c r="C37" i="115"/>
  <c r="C36" i="115"/>
  <c r="C35" i="115"/>
  <c r="C34" i="115"/>
  <c r="C33" i="115"/>
  <c r="C32" i="115"/>
  <c r="D31" i="115"/>
  <c r="E31" i="115" s="1"/>
  <c r="C31" i="115"/>
  <c r="C30" i="115"/>
  <c r="F19" i="115"/>
  <c r="D47" i="115" s="1"/>
  <c r="E47" i="115" s="1"/>
  <c r="F18" i="115"/>
  <c r="D46" i="115" s="1"/>
  <c r="E46" i="115" s="1"/>
  <c r="F17" i="115"/>
  <c r="D45" i="115" s="1"/>
  <c r="E45" i="115" s="1"/>
  <c r="F16" i="115"/>
  <c r="D44" i="115" s="1"/>
  <c r="E44" i="115" s="1"/>
  <c r="F15" i="115"/>
  <c r="D43" i="115" s="1"/>
  <c r="E43" i="115" s="1"/>
  <c r="F14" i="115"/>
  <c r="D42" i="115" s="1"/>
  <c r="E42" i="115" s="1"/>
  <c r="F13" i="115"/>
  <c r="D41" i="115" s="1"/>
  <c r="E41" i="115" s="1"/>
  <c r="F12" i="115"/>
  <c r="D40" i="115" s="1"/>
  <c r="E40" i="115" s="1"/>
  <c r="F11" i="115"/>
  <c r="D39" i="115" s="1"/>
  <c r="E39" i="115" s="1"/>
  <c r="F10" i="115"/>
  <c r="D38" i="115" s="1"/>
  <c r="E38" i="115" s="1"/>
  <c r="F9" i="115"/>
  <c r="D37" i="115" s="1"/>
  <c r="E37" i="115" s="1"/>
  <c r="F8" i="115"/>
  <c r="D36" i="115" s="1"/>
  <c r="E36" i="115" s="1"/>
  <c r="F7" i="115"/>
  <c r="D35" i="115" s="1"/>
  <c r="E35" i="115" s="1"/>
  <c r="F6" i="115"/>
  <c r="D34" i="115" s="1"/>
  <c r="E34" i="115" s="1"/>
  <c r="F5" i="115"/>
  <c r="D33" i="115" s="1"/>
  <c r="E33" i="115" s="1"/>
  <c r="F4" i="115"/>
  <c r="D32" i="115" s="1"/>
  <c r="E32" i="115" s="1"/>
  <c r="F3" i="115"/>
  <c r="F2" i="115"/>
  <c r="D30" i="115" s="1"/>
  <c r="E30" i="115" s="1"/>
  <c r="C42" i="114"/>
  <c r="C43" i="114"/>
  <c r="C44" i="114"/>
  <c r="C45" i="114"/>
  <c r="C46" i="114"/>
  <c r="C47" i="114"/>
  <c r="C48" i="114"/>
  <c r="C49" i="114"/>
  <c r="C50" i="114"/>
  <c r="C51" i="114"/>
  <c r="F10" i="114"/>
  <c r="D40" i="114" s="1"/>
  <c r="E40" i="114" s="1"/>
  <c r="F11" i="114"/>
  <c r="D41" i="114" s="1"/>
  <c r="E41" i="114" s="1"/>
  <c r="F12" i="114"/>
  <c r="D42" i="114" s="1"/>
  <c r="E42" i="114" s="1"/>
  <c r="F13" i="114"/>
  <c r="D43" i="114" s="1"/>
  <c r="E43" i="114" s="1"/>
  <c r="F14" i="114"/>
  <c r="D44" i="114" s="1"/>
  <c r="E44" i="114" s="1"/>
  <c r="F15" i="114"/>
  <c r="D45" i="114" s="1"/>
  <c r="E45" i="114" s="1"/>
  <c r="F16" i="114"/>
  <c r="D46" i="114" s="1"/>
  <c r="E46" i="114" s="1"/>
  <c r="F17" i="114"/>
  <c r="D47" i="114" s="1"/>
  <c r="E47" i="114" s="1"/>
  <c r="F18" i="114"/>
  <c r="D48" i="114" s="1"/>
  <c r="E48" i="114" s="1"/>
  <c r="F19" i="114"/>
  <c r="D49" i="114" s="1"/>
  <c r="E49" i="114" s="1"/>
  <c r="F20" i="114"/>
  <c r="D50" i="114" s="1"/>
  <c r="E50" i="114" s="1"/>
  <c r="F21" i="114"/>
  <c r="D51" i="114" s="1"/>
  <c r="E51" i="114" s="1"/>
  <c r="C41" i="114"/>
  <c r="C40" i="114"/>
  <c r="C39" i="114"/>
  <c r="C38" i="114"/>
  <c r="C37" i="114"/>
  <c r="C36" i="114"/>
  <c r="C35" i="114"/>
  <c r="C34" i="114"/>
  <c r="C33" i="114"/>
  <c r="C32" i="114"/>
  <c r="F9" i="114"/>
  <c r="D39" i="114" s="1"/>
  <c r="E39" i="114" s="1"/>
  <c r="F8" i="114"/>
  <c r="D38" i="114" s="1"/>
  <c r="E38" i="114" s="1"/>
  <c r="F7" i="114"/>
  <c r="D37" i="114" s="1"/>
  <c r="E37" i="114" s="1"/>
  <c r="F6" i="114"/>
  <c r="D36" i="114" s="1"/>
  <c r="E36" i="114" s="1"/>
  <c r="F5" i="114"/>
  <c r="D35" i="114" s="1"/>
  <c r="E35" i="114" s="1"/>
  <c r="F4" i="114"/>
  <c r="D34" i="114" s="1"/>
  <c r="E34" i="114" s="1"/>
  <c r="F3" i="114"/>
  <c r="D33" i="114" s="1"/>
  <c r="E33" i="114" s="1"/>
  <c r="F2" i="114"/>
  <c r="D32" i="114" s="1"/>
  <c r="E32" i="114" s="1"/>
  <c r="C43" i="113"/>
  <c r="C42" i="113"/>
  <c r="C41" i="113"/>
  <c r="C40" i="113"/>
  <c r="C39" i="113"/>
  <c r="C38" i="113"/>
  <c r="C37" i="113"/>
  <c r="C36" i="113"/>
  <c r="C35" i="113"/>
  <c r="C34" i="113"/>
  <c r="C33" i="113"/>
  <c r="C32" i="113"/>
  <c r="C31" i="113"/>
  <c r="C30" i="113"/>
  <c r="C29" i="113"/>
  <c r="C28" i="113"/>
  <c r="F17" i="113"/>
  <c r="D43" i="113" s="1"/>
  <c r="E43" i="113" s="1"/>
  <c r="F16" i="113"/>
  <c r="D42" i="113" s="1"/>
  <c r="E42" i="113" s="1"/>
  <c r="F15" i="113"/>
  <c r="D41" i="113" s="1"/>
  <c r="E41" i="113" s="1"/>
  <c r="F14" i="113"/>
  <c r="D40" i="113" s="1"/>
  <c r="E40" i="113" s="1"/>
  <c r="F13" i="113"/>
  <c r="D39" i="113" s="1"/>
  <c r="E39" i="113" s="1"/>
  <c r="F12" i="113"/>
  <c r="D38" i="113" s="1"/>
  <c r="E38" i="113" s="1"/>
  <c r="F11" i="113"/>
  <c r="D37" i="113" s="1"/>
  <c r="E37" i="113" s="1"/>
  <c r="F10" i="113"/>
  <c r="D36" i="113" s="1"/>
  <c r="E36" i="113" s="1"/>
  <c r="F9" i="113"/>
  <c r="D35" i="113" s="1"/>
  <c r="E35" i="113" s="1"/>
  <c r="F8" i="113"/>
  <c r="D34" i="113" s="1"/>
  <c r="E34" i="113" s="1"/>
  <c r="F7" i="113"/>
  <c r="D33" i="113" s="1"/>
  <c r="E33" i="113" s="1"/>
  <c r="F6" i="113"/>
  <c r="D32" i="113" s="1"/>
  <c r="E32" i="113" s="1"/>
  <c r="F5" i="113"/>
  <c r="D31" i="113" s="1"/>
  <c r="E31" i="113" s="1"/>
  <c r="F4" i="113"/>
  <c r="D30" i="113" s="1"/>
  <c r="E30" i="113" s="1"/>
  <c r="F3" i="113"/>
  <c r="D29" i="113" s="1"/>
  <c r="E29" i="113" s="1"/>
  <c r="F2" i="113"/>
  <c r="D28" i="113" s="1"/>
  <c r="E28" i="113" s="1"/>
  <c r="C75" i="112"/>
  <c r="C74" i="112"/>
  <c r="F33" i="112"/>
  <c r="D75" i="112" s="1"/>
  <c r="E75" i="112" s="1"/>
  <c r="F32" i="112"/>
  <c r="D74" i="112" s="1"/>
  <c r="E74" i="112" s="1"/>
  <c r="F18" i="112"/>
  <c r="D60" i="112" s="1"/>
  <c r="E60" i="112" s="1"/>
  <c r="F19" i="112"/>
  <c r="D61" i="112" s="1"/>
  <c r="E61" i="112" s="1"/>
  <c r="F20" i="112"/>
  <c r="D62" i="112" s="1"/>
  <c r="E62" i="112" s="1"/>
  <c r="F21" i="112"/>
  <c r="D63" i="112" s="1"/>
  <c r="E63" i="112" s="1"/>
  <c r="F22" i="112"/>
  <c r="D64" i="112" s="1"/>
  <c r="E64" i="112" s="1"/>
  <c r="F23" i="112"/>
  <c r="D65" i="112" s="1"/>
  <c r="E65" i="112" s="1"/>
  <c r="F24" i="112"/>
  <c r="D66" i="112" s="1"/>
  <c r="E66" i="112" s="1"/>
  <c r="F25" i="112"/>
  <c r="D67" i="112" s="1"/>
  <c r="E67" i="112" s="1"/>
  <c r="F26" i="112"/>
  <c r="D68" i="112" s="1"/>
  <c r="E68" i="112" s="1"/>
  <c r="F27" i="112"/>
  <c r="D69" i="112" s="1"/>
  <c r="E69" i="112" s="1"/>
  <c r="F28" i="112"/>
  <c r="D70" i="112" s="1"/>
  <c r="E70" i="112" s="1"/>
  <c r="F29" i="112"/>
  <c r="D71" i="112" s="1"/>
  <c r="E71" i="112" s="1"/>
  <c r="F30" i="112"/>
  <c r="F31" i="112"/>
  <c r="D73" i="112" s="1"/>
  <c r="E73" i="112" s="1"/>
  <c r="C60" i="112"/>
  <c r="C61" i="112"/>
  <c r="C62" i="112"/>
  <c r="C63" i="112"/>
  <c r="C64" i="112"/>
  <c r="C65" i="112"/>
  <c r="C66" i="112"/>
  <c r="C67" i="112"/>
  <c r="C68" i="112"/>
  <c r="C69" i="112"/>
  <c r="C70" i="112"/>
  <c r="C71" i="112"/>
  <c r="C72" i="112"/>
  <c r="D72" i="112"/>
  <c r="E72" i="112" s="1"/>
  <c r="C73" i="112"/>
  <c r="C59" i="112"/>
  <c r="C58" i="112"/>
  <c r="C57" i="112"/>
  <c r="C56" i="112"/>
  <c r="C55" i="112"/>
  <c r="C54" i="112"/>
  <c r="C53" i="112"/>
  <c r="C52" i="112"/>
  <c r="C51" i="112"/>
  <c r="C50" i="112"/>
  <c r="C49" i="112"/>
  <c r="C48" i="112"/>
  <c r="C47" i="112"/>
  <c r="C46" i="112"/>
  <c r="C45" i="112"/>
  <c r="C44" i="112"/>
  <c r="F17" i="112"/>
  <c r="D59" i="112" s="1"/>
  <c r="E59" i="112" s="1"/>
  <c r="F16" i="112"/>
  <c r="D58" i="112" s="1"/>
  <c r="E58" i="112" s="1"/>
  <c r="F15" i="112"/>
  <c r="D57" i="112" s="1"/>
  <c r="E57" i="112" s="1"/>
  <c r="F14" i="112"/>
  <c r="D56" i="112" s="1"/>
  <c r="E56" i="112" s="1"/>
  <c r="F13" i="112"/>
  <c r="D55" i="112" s="1"/>
  <c r="E55" i="112" s="1"/>
  <c r="F12" i="112"/>
  <c r="D54" i="112" s="1"/>
  <c r="E54" i="112" s="1"/>
  <c r="F11" i="112"/>
  <c r="D53" i="112" s="1"/>
  <c r="E53" i="112" s="1"/>
  <c r="F10" i="112"/>
  <c r="D52" i="112" s="1"/>
  <c r="E52" i="112" s="1"/>
  <c r="F9" i="112"/>
  <c r="D51" i="112" s="1"/>
  <c r="E51" i="112" s="1"/>
  <c r="F8" i="112"/>
  <c r="D50" i="112" s="1"/>
  <c r="E50" i="112" s="1"/>
  <c r="F7" i="112"/>
  <c r="D49" i="112" s="1"/>
  <c r="E49" i="112" s="1"/>
  <c r="F6" i="112"/>
  <c r="D48" i="112" s="1"/>
  <c r="E48" i="112" s="1"/>
  <c r="F5" i="112"/>
  <c r="D47" i="112" s="1"/>
  <c r="E47" i="112" s="1"/>
  <c r="F4" i="112"/>
  <c r="D46" i="112" s="1"/>
  <c r="E46" i="112" s="1"/>
  <c r="F3" i="112"/>
  <c r="D45" i="112" s="1"/>
  <c r="E45" i="112" s="1"/>
  <c r="F2" i="112"/>
  <c r="D44" i="112" s="1"/>
  <c r="E44" i="112" s="1"/>
  <c r="C49" i="111"/>
  <c r="C48" i="111"/>
  <c r="C47" i="111"/>
  <c r="C46" i="111"/>
  <c r="C45" i="111"/>
  <c r="C44" i="111"/>
  <c r="C43" i="111"/>
  <c r="C42" i="111"/>
  <c r="C41" i="111"/>
  <c r="C40" i="111"/>
  <c r="C39" i="111"/>
  <c r="C38" i="111"/>
  <c r="C37" i="111"/>
  <c r="C36" i="111"/>
  <c r="C35" i="111"/>
  <c r="C34" i="111"/>
  <c r="C33" i="111"/>
  <c r="C32" i="111"/>
  <c r="C31" i="111"/>
  <c r="C30" i="111"/>
  <c r="F21" i="111"/>
  <c r="D49" i="111" s="1"/>
  <c r="E49" i="111" s="1"/>
  <c r="F20" i="111"/>
  <c r="D48" i="111" s="1"/>
  <c r="E48" i="111" s="1"/>
  <c r="F19" i="111"/>
  <c r="D47" i="111" s="1"/>
  <c r="E47" i="111" s="1"/>
  <c r="F18" i="111"/>
  <c r="D46" i="111" s="1"/>
  <c r="E46" i="111" s="1"/>
  <c r="F17" i="111"/>
  <c r="D45" i="111" s="1"/>
  <c r="E45" i="111" s="1"/>
  <c r="F16" i="111"/>
  <c r="D44" i="111" s="1"/>
  <c r="E44" i="111" s="1"/>
  <c r="F15" i="111"/>
  <c r="D43" i="111" s="1"/>
  <c r="E43" i="111" s="1"/>
  <c r="F14" i="111"/>
  <c r="D42" i="111" s="1"/>
  <c r="E42" i="111" s="1"/>
  <c r="F13" i="111"/>
  <c r="D41" i="111" s="1"/>
  <c r="E41" i="111" s="1"/>
  <c r="F12" i="111"/>
  <c r="D40" i="111" s="1"/>
  <c r="E40" i="111" s="1"/>
  <c r="F11" i="111"/>
  <c r="D39" i="111" s="1"/>
  <c r="E39" i="111" s="1"/>
  <c r="F10" i="111"/>
  <c r="D38" i="111" s="1"/>
  <c r="E38" i="111" s="1"/>
  <c r="F9" i="111"/>
  <c r="D37" i="111" s="1"/>
  <c r="E37" i="111" s="1"/>
  <c r="F8" i="111"/>
  <c r="D36" i="111" s="1"/>
  <c r="E36" i="111" s="1"/>
  <c r="F7" i="111"/>
  <c r="D35" i="111" s="1"/>
  <c r="E35" i="111" s="1"/>
  <c r="F6" i="111"/>
  <c r="D34" i="111" s="1"/>
  <c r="E34" i="111" s="1"/>
  <c r="F5" i="111"/>
  <c r="D33" i="111" s="1"/>
  <c r="E33" i="111" s="1"/>
  <c r="F4" i="111"/>
  <c r="D32" i="111" s="1"/>
  <c r="E32" i="111" s="1"/>
  <c r="F3" i="111"/>
  <c r="D31" i="111" s="1"/>
  <c r="E31" i="111" s="1"/>
  <c r="F2" i="111"/>
  <c r="D30" i="111" s="1"/>
  <c r="E30" i="111" s="1"/>
  <c r="C33" i="110"/>
  <c r="C32" i="110"/>
  <c r="C31" i="110"/>
  <c r="C30" i="110"/>
  <c r="C29" i="110"/>
  <c r="C28" i="110"/>
  <c r="C27" i="110"/>
  <c r="C26" i="110"/>
  <c r="C25" i="110"/>
  <c r="C24" i="110"/>
  <c r="C23" i="110"/>
  <c r="C22" i="110"/>
  <c r="F13" i="110"/>
  <c r="D33" i="110" s="1"/>
  <c r="E33" i="110" s="1"/>
  <c r="F12" i="110"/>
  <c r="D32" i="110" s="1"/>
  <c r="E32" i="110" s="1"/>
  <c r="F11" i="110"/>
  <c r="D31" i="110" s="1"/>
  <c r="E31" i="110" s="1"/>
  <c r="F10" i="110"/>
  <c r="D30" i="110" s="1"/>
  <c r="E30" i="110" s="1"/>
  <c r="F9" i="110"/>
  <c r="D29" i="110" s="1"/>
  <c r="E29" i="110" s="1"/>
  <c r="F8" i="110"/>
  <c r="D28" i="110" s="1"/>
  <c r="E28" i="110" s="1"/>
  <c r="F7" i="110"/>
  <c r="D27" i="110" s="1"/>
  <c r="E27" i="110" s="1"/>
  <c r="F6" i="110"/>
  <c r="D26" i="110" s="1"/>
  <c r="E26" i="110" s="1"/>
  <c r="F5" i="110"/>
  <c r="D25" i="110" s="1"/>
  <c r="E25" i="110" s="1"/>
  <c r="F4" i="110"/>
  <c r="D24" i="110" s="1"/>
  <c r="E24" i="110" s="1"/>
  <c r="F3" i="110"/>
  <c r="D23" i="110" s="1"/>
  <c r="E23" i="110" s="1"/>
  <c r="F2" i="110"/>
  <c r="D22" i="110" s="1"/>
  <c r="E22" i="110" s="1"/>
  <c r="C19" i="108"/>
  <c r="C18" i="108"/>
  <c r="C17" i="108"/>
  <c r="C16" i="108"/>
  <c r="C15" i="108"/>
  <c r="C14" i="108"/>
  <c r="I7" i="108"/>
  <c r="D19" i="108" s="1"/>
  <c r="F7" i="108"/>
  <c r="I6" i="108"/>
  <c r="F6" i="108"/>
  <c r="I5" i="108"/>
  <c r="D17" i="108" s="1"/>
  <c r="F5" i="108"/>
  <c r="I4" i="108"/>
  <c r="D16" i="108" s="1"/>
  <c r="F4" i="108"/>
  <c r="I3" i="108"/>
  <c r="D15" i="108" s="1"/>
  <c r="F3" i="108"/>
  <c r="I2" i="108"/>
  <c r="D14" i="108" s="1"/>
  <c r="F2" i="108"/>
  <c r="F2" i="107"/>
  <c r="I2" i="107"/>
  <c r="F3" i="107"/>
  <c r="I3" i="107"/>
  <c r="D13" i="107" s="1"/>
  <c r="E13" i="107" s="1"/>
  <c r="F4" i="107"/>
  <c r="I4" i="107"/>
  <c r="D4" i="107" s="1"/>
  <c r="F5" i="107"/>
  <c r="I5" i="107"/>
  <c r="C12" i="107"/>
  <c r="C13" i="107"/>
  <c r="C14" i="107"/>
  <c r="C15" i="107"/>
  <c r="C2" i="106"/>
  <c r="E2" i="106"/>
  <c r="F2" i="106" s="1"/>
  <c r="F3" i="106"/>
  <c r="I3" i="106"/>
  <c r="D19" i="106" s="1"/>
  <c r="E19" i="106" s="1"/>
  <c r="C4" i="106"/>
  <c r="I4" i="106" s="1"/>
  <c r="F4" i="106"/>
  <c r="F5" i="106"/>
  <c r="I5" i="106"/>
  <c r="D21" i="106" s="1"/>
  <c r="E21" i="106" s="1"/>
  <c r="C18" i="106"/>
  <c r="C19" i="106"/>
  <c r="C20" i="106"/>
  <c r="C21" i="106"/>
  <c r="E2" i="105"/>
  <c r="I2" i="105" s="1"/>
  <c r="F3" i="105"/>
  <c r="I3" i="105"/>
  <c r="D3" i="105" s="1"/>
  <c r="C4" i="105"/>
  <c r="E4" i="105"/>
  <c r="F4" i="105"/>
  <c r="F5" i="105"/>
  <c r="I5" i="105"/>
  <c r="C18" i="105"/>
  <c r="C19" i="105"/>
  <c r="D19" i="105"/>
  <c r="E19" i="105" s="1"/>
  <c r="C20" i="105"/>
  <c r="C21" i="105"/>
  <c r="D17" i="67"/>
  <c r="D18" i="67"/>
  <c r="D19" i="67"/>
  <c r="D20" i="67"/>
  <c r="D21" i="67"/>
  <c r="D22" i="67"/>
  <c r="D23" i="67"/>
  <c r="D24" i="67"/>
  <c r="D16" i="67"/>
  <c r="E4" i="67"/>
  <c r="E5" i="67"/>
  <c r="E6" i="67"/>
  <c r="E7" i="67"/>
  <c r="E8" i="67"/>
  <c r="E9" i="67"/>
  <c r="E10" i="67"/>
  <c r="E11" i="67"/>
  <c r="E12" i="67"/>
  <c r="E3" i="67"/>
  <c r="C19" i="67"/>
  <c r="E19" i="67" s="1"/>
  <c r="C17" i="67"/>
  <c r="C16" i="67"/>
  <c r="C6" i="67"/>
  <c r="C5" i="67"/>
  <c r="C4" i="67"/>
  <c r="C3" i="67"/>
  <c r="C7" i="67"/>
  <c r="C8" i="67"/>
  <c r="C9" i="67"/>
  <c r="C10" i="67"/>
  <c r="C11" i="67"/>
  <c r="C12" i="67"/>
  <c r="C49" i="103"/>
  <c r="C48" i="103"/>
  <c r="C47" i="103"/>
  <c r="C46" i="103"/>
  <c r="C45" i="103"/>
  <c r="C44" i="103"/>
  <c r="C43" i="103"/>
  <c r="C42" i="103"/>
  <c r="C41" i="103"/>
  <c r="C40" i="103"/>
  <c r="C39" i="103"/>
  <c r="C38" i="103"/>
  <c r="C37" i="103"/>
  <c r="C36" i="103"/>
  <c r="C35" i="103"/>
  <c r="C34" i="103"/>
  <c r="B52" i="103" s="1" a="1"/>
  <c r="B52" i="103" s="1"/>
  <c r="C33" i="103"/>
  <c r="C32" i="103"/>
  <c r="C31" i="103"/>
  <c r="C30" i="103"/>
  <c r="F21" i="103"/>
  <c r="D49" i="103" s="1"/>
  <c r="E49" i="103" s="1"/>
  <c r="F20" i="103"/>
  <c r="D48" i="103" s="1"/>
  <c r="E48" i="103" s="1"/>
  <c r="F19" i="103"/>
  <c r="D47" i="103" s="1"/>
  <c r="E47" i="103" s="1"/>
  <c r="F18" i="103"/>
  <c r="D46" i="103" s="1"/>
  <c r="E46" i="103" s="1"/>
  <c r="F17" i="103"/>
  <c r="D45" i="103" s="1"/>
  <c r="E45" i="103" s="1"/>
  <c r="F16" i="103"/>
  <c r="D44" i="103" s="1"/>
  <c r="E44" i="103" s="1"/>
  <c r="F15" i="103"/>
  <c r="D43" i="103" s="1"/>
  <c r="E43" i="103" s="1"/>
  <c r="F14" i="103"/>
  <c r="D42" i="103" s="1"/>
  <c r="E42" i="103" s="1"/>
  <c r="F13" i="103"/>
  <c r="D41" i="103" s="1"/>
  <c r="E41" i="103" s="1"/>
  <c r="F12" i="103"/>
  <c r="D40" i="103" s="1"/>
  <c r="E40" i="103" s="1"/>
  <c r="F11" i="103"/>
  <c r="D39" i="103" s="1"/>
  <c r="E39" i="103" s="1"/>
  <c r="F10" i="103"/>
  <c r="D38" i="103" s="1"/>
  <c r="E38" i="103" s="1"/>
  <c r="F9" i="103"/>
  <c r="D37" i="103" s="1"/>
  <c r="E37" i="103" s="1"/>
  <c r="F8" i="103"/>
  <c r="D36" i="103" s="1"/>
  <c r="E36" i="103" s="1"/>
  <c r="F7" i="103"/>
  <c r="D35" i="103" s="1"/>
  <c r="E35" i="103" s="1"/>
  <c r="F6" i="103"/>
  <c r="D34" i="103" s="1"/>
  <c r="E34" i="103" s="1"/>
  <c r="F5" i="103"/>
  <c r="D33" i="103" s="1"/>
  <c r="E33" i="103" s="1"/>
  <c r="F4" i="103"/>
  <c r="D32" i="103" s="1"/>
  <c r="E32" i="103" s="1"/>
  <c r="F3" i="103"/>
  <c r="D31" i="103" s="1"/>
  <c r="E31" i="103" s="1"/>
  <c r="F2" i="103"/>
  <c r="D30" i="103" s="1"/>
  <c r="E30" i="103" s="1"/>
  <c r="F2" i="49"/>
  <c r="D22" i="49" s="1"/>
  <c r="E22" i="49" s="1"/>
  <c r="F3" i="49"/>
  <c r="D23" i="49" s="1"/>
  <c r="E23" i="49" s="1"/>
  <c r="F4" i="49"/>
  <c r="D24" i="49" s="1"/>
  <c r="E24" i="49" s="1"/>
  <c r="F5" i="49"/>
  <c r="F6" i="49"/>
  <c r="F7" i="49"/>
  <c r="D27" i="49" s="1"/>
  <c r="E27" i="49" s="1"/>
  <c r="F8" i="49"/>
  <c r="D28" i="49" s="1"/>
  <c r="E28" i="49" s="1"/>
  <c r="F9" i="49"/>
  <c r="D29" i="49" s="1"/>
  <c r="E29" i="49" s="1"/>
  <c r="F10" i="49"/>
  <c r="D30" i="49" s="1"/>
  <c r="E30" i="49" s="1"/>
  <c r="F11" i="49"/>
  <c r="D31" i="49" s="1"/>
  <c r="E31" i="49" s="1"/>
  <c r="F12" i="49"/>
  <c r="D32" i="49" s="1"/>
  <c r="E32" i="49" s="1"/>
  <c r="F13" i="49"/>
  <c r="C22" i="49"/>
  <c r="C23" i="49"/>
  <c r="C24" i="49"/>
  <c r="C25" i="49"/>
  <c r="D25" i="49"/>
  <c r="E25" i="49" s="1"/>
  <c r="C26" i="49"/>
  <c r="D26" i="49"/>
  <c r="E26" i="49" s="1"/>
  <c r="C27" i="49"/>
  <c r="C28" i="49"/>
  <c r="C29" i="49"/>
  <c r="C30" i="49"/>
  <c r="C31" i="49"/>
  <c r="C32" i="49"/>
  <c r="C33" i="49"/>
  <c r="D33" i="49"/>
  <c r="E33" i="49" s="1"/>
  <c r="G2" i="73"/>
  <c r="E26" i="73" s="1"/>
  <c r="D2" i="73"/>
  <c r="E2" i="73" s="1"/>
  <c r="E3" i="73"/>
  <c r="G4" i="73"/>
  <c r="D4" i="73"/>
  <c r="E4" i="73" s="1"/>
  <c r="E5" i="73"/>
  <c r="E29" i="73"/>
  <c r="E27" i="73"/>
  <c r="C68" i="102"/>
  <c r="C67" i="102"/>
  <c r="C66" i="102"/>
  <c r="C65" i="102"/>
  <c r="C64" i="102"/>
  <c r="C63" i="102"/>
  <c r="C62" i="102"/>
  <c r="C61" i="102"/>
  <c r="C60" i="102"/>
  <c r="C59" i="102"/>
  <c r="C58" i="102"/>
  <c r="C57" i="102"/>
  <c r="C56" i="102"/>
  <c r="C55" i="102"/>
  <c r="C54" i="102"/>
  <c r="C53" i="102"/>
  <c r="C52" i="102"/>
  <c r="C51" i="102"/>
  <c r="C50" i="102"/>
  <c r="C49" i="102"/>
  <c r="C48" i="102"/>
  <c r="C47" i="102"/>
  <c r="C46" i="102"/>
  <c r="C45" i="102"/>
  <c r="C44" i="102"/>
  <c r="C43" i="102"/>
  <c r="C42" i="102"/>
  <c r="C41" i="102"/>
  <c r="C40" i="102"/>
  <c r="B71" i="102" s="1" a="1"/>
  <c r="B71" i="102" s="1"/>
  <c r="C39" i="102"/>
  <c r="F31" i="102"/>
  <c r="D68" i="102" s="1"/>
  <c r="E68" i="102" s="1"/>
  <c r="F30" i="102"/>
  <c r="D67" i="102" s="1"/>
  <c r="E67" i="102" s="1"/>
  <c r="F29" i="102"/>
  <c r="D66" i="102" s="1"/>
  <c r="E66" i="102" s="1"/>
  <c r="F28" i="102"/>
  <c r="D65" i="102" s="1"/>
  <c r="E65" i="102" s="1"/>
  <c r="F27" i="102"/>
  <c r="D64" i="102" s="1"/>
  <c r="E64" i="102" s="1"/>
  <c r="F26" i="102"/>
  <c r="D63" i="102" s="1"/>
  <c r="E63" i="102" s="1"/>
  <c r="F25" i="102"/>
  <c r="D62" i="102" s="1"/>
  <c r="E62" i="102" s="1"/>
  <c r="F24" i="102"/>
  <c r="D61" i="102" s="1"/>
  <c r="E61" i="102" s="1"/>
  <c r="F23" i="102"/>
  <c r="D60" i="102" s="1"/>
  <c r="E60" i="102" s="1"/>
  <c r="F22" i="102"/>
  <c r="D59" i="102" s="1"/>
  <c r="E59" i="102" s="1"/>
  <c r="F21" i="102"/>
  <c r="D58" i="102" s="1"/>
  <c r="E58" i="102" s="1"/>
  <c r="F20" i="102"/>
  <c r="D57" i="102" s="1"/>
  <c r="E57" i="102" s="1"/>
  <c r="F19" i="102"/>
  <c r="D56" i="102" s="1"/>
  <c r="E56" i="102" s="1"/>
  <c r="F18" i="102"/>
  <c r="D55" i="102" s="1"/>
  <c r="E55" i="102" s="1"/>
  <c r="F17" i="102"/>
  <c r="D54" i="102" s="1"/>
  <c r="E54" i="102" s="1"/>
  <c r="F16" i="102"/>
  <c r="D53" i="102" s="1"/>
  <c r="E53" i="102" s="1"/>
  <c r="F15" i="102"/>
  <c r="D52" i="102" s="1"/>
  <c r="E52" i="102" s="1"/>
  <c r="F14" i="102"/>
  <c r="D51" i="102" s="1"/>
  <c r="E51" i="102" s="1"/>
  <c r="F13" i="102"/>
  <c r="D50" i="102" s="1"/>
  <c r="E50" i="102" s="1"/>
  <c r="F12" i="102"/>
  <c r="D49" i="102" s="1"/>
  <c r="E49" i="102" s="1"/>
  <c r="F11" i="102"/>
  <c r="D48" i="102" s="1"/>
  <c r="E48" i="102" s="1"/>
  <c r="F10" i="102"/>
  <c r="D47" i="102" s="1"/>
  <c r="E47" i="102" s="1"/>
  <c r="F9" i="102"/>
  <c r="D46" i="102" s="1"/>
  <c r="E46" i="102" s="1"/>
  <c r="F8" i="102"/>
  <c r="D45" i="102" s="1"/>
  <c r="E45" i="102" s="1"/>
  <c r="F7" i="102"/>
  <c r="D44" i="102" s="1"/>
  <c r="E44" i="102" s="1"/>
  <c r="F6" i="102"/>
  <c r="D43" i="102" s="1"/>
  <c r="E43" i="102" s="1"/>
  <c r="F5" i="102"/>
  <c r="D42" i="102" s="1"/>
  <c r="E42" i="102" s="1"/>
  <c r="F4" i="102"/>
  <c r="D41" i="102" s="1"/>
  <c r="E41" i="102" s="1"/>
  <c r="F3" i="102"/>
  <c r="D40" i="102" s="1"/>
  <c r="E40" i="102" s="1"/>
  <c r="F2" i="102"/>
  <c r="D39" i="102" s="1"/>
  <c r="E39" i="102" s="1"/>
  <c r="F2" i="52"/>
  <c r="D25" i="52" s="1"/>
  <c r="E25" i="52" s="1"/>
  <c r="F3" i="52"/>
  <c r="D26" i="52" s="1"/>
  <c r="E26" i="52" s="1"/>
  <c r="F4" i="52"/>
  <c r="D27" i="52" s="1"/>
  <c r="E27" i="52" s="1"/>
  <c r="F5" i="52"/>
  <c r="F6" i="52"/>
  <c r="D29" i="52" s="1"/>
  <c r="E29" i="52" s="1"/>
  <c r="F7" i="52"/>
  <c r="D30" i="52" s="1"/>
  <c r="E30" i="52" s="1"/>
  <c r="F8" i="52"/>
  <c r="D31" i="52" s="1"/>
  <c r="E31" i="52" s="1"/>
  <c r="F9" i="52"/>
  <c r="D32" i="52" s="1"/>
  <c r="E32" i="52" s="1"/>
  <c r="F10" i="52"/>
  <c r="D33" i="52" s="1"/>
  <c r="E33" i="52" s="1"/>
  <c r="F11" i="52"/>
  <c r="D34" i="52" s="1"/>
  <c r="E34" i="52" s="1"/>
  <c r="F12" i="52"/>
  <c r="D35" i="52" s="1"/>
  <c r="E35" i="52" s="1"/>
  <c r="F13" i="52"/>
  <c r="D36" i="52" s="1"/>
  <c r="E36" i="52" s="1"/>
  <c r="F14" i="52"/>
  <c r="D37" i="52" s="1"/>
  <c r="E37" i="52" s="1"/>
  <c r="F15" i="52"/>
  <c r="D38" i="52" s="1"/>
  <c r="E38" i="52" s="1"/>
  <c r="F16" i="52"/>
  <c r="D39" i="52" s="1"/>
  <c r="E39" i="52" s="1"/>
  <c r="F17" i="52"/>
  <c r="D40" i="52" s="1"/>
  <c r="E40" i="52" s="1"/>
  <c r="C25" i="52"/>
  <c r="C26" i="52"/>
  <c r="C27" i="52"/>
  <c r="C28" i="52"/>
  <c r="D28" i="52"/>
  <c r="E28" i="52" s="1"/>
  <c r="C29" i="52"/>
  <c r="C30" i="52"/>
  <c r="C31" i="52"/>
  <c r="C32" i="52"/>
  <c r="C33" i="52"/>
  <c r="C34" i="52"/>
  <c r="C35" i="52"/>
  <c r="C36" i="52"/>
  <c r="C37" i="52"/>
  <c r="C38" i="52"/>
  <c r="C39" i="52"/>
  <c r="C40" i="52"/>
  <c r="C4" i="101"/>
  <c r="H5" i="101"/>
  <c r="E5" i="101" s="1"/>
  <c r="C19" i="101"/>
  <c r="C20" i="101"/>
  <c r="C2" i="101"/>
  <c r="H3" i="101"/>
  <c r="E3" i="101" s="1"/>
  <c r="C17" i="101"/>
  <c r="C18" i="101"/>
  <c r="C21" i="101"/>
  <c r="C22" i="101"/>
  <c r="H7" i="101"/>
  <c r="D22" i="101" s="1"/>
  <c r="C6" i="101"/>
  <c r="C4" i="100"/>
  <c r="H5" i="100"/>
  <c r="E5" i="100" s="1"/>
  <c r="C6" i="100"/>
  <c r="H7" i="100"/>
  <c r="E7" i="100" s="1"/>
  <c r="C8" i="100"/>
  <c r="H9" i="100"/>
  <c r="E9" i="100" s="1"/>
  <c r="C21" i="100"/>
  <c r="C22" i="100"/>
  <c r="C23" i="100"/>
  <c r="C24" i="100"/>
  <c r="D24" i="100"/>
  <c r="C25" i="100"/>
  <c r="C26" i="100"/>
  <c r="D26" i="100"/>
  <c r="C20" i="100"/>
  <c r="C19" i="100"/>
  <c r="H3" i="100"/>
  <c r="D20" i="100" s="1"/>
  <c r="C2" i="100"/>
  <c r="L5" i="106" l="1"/>
  <c r="E15" i="109"/>
  <c r="B23" i="109" a="1"/>
  <c r="B23" i="109" s="1"/>
  <c r="F4" i="109"/>
  <c r="D17" i="109" s="1"/>
  <c r="E17" i="109" s="1"/>
  <c r="B46" i="116" a="1"/>
  <c r="B46" i="116" s="1"/>
  <c r="B50" i="115" a="1"/>
  <c r="B50" i="115" s="1"/>
  <c r="B46" i="113" a="1"/>
  <c r="B46" i="113" s="1"/>
  <c r="B78" i="112" a="1"/>
  <c r="B78" i="112" s="1"/>
  <c r="B52" i="111" a="1"/>
  <c r="B52" i="111" s="1"/>
  <c r="B36" i="110" a="1"/>
  <c r="B36" i="110" s="1"/>
  <c r="D6" i="108"/>
  <c r="D7" i="108"/>
  <c r="D4" i="108"/>
  <c r="D5" i="108"/>
  <c r="D5" i="107"/>
  <c r="F14" i="108"/>
  <c r="E14" i="108"/>
  <c r="F16" i="108"/>
  <c r="E16" i="108"/>
  <c r="F17" i="108"/>
  <c r="E17" i="108"/>
  <c r="F15" i="108"/>
  <c r="E15" i="108"/>
  <c r="F19" i="108"/>
  <c r="E19" i="108"/>
  <c r="D2" i="108"/>
  <c r="D3" i="108"/>
  <c r="D18" i="108"/>
  <c r="D15" i="107"/>
  <c r="E15" i="107" s="1"/>
  <c r="D14" i="107"/>
  <c r="E14" i="107" s="1"/>
  <c r="D2" i="107"/>
  <c r="D3" i="107"/>
  <c r="D12" i="107"/>
  <c r="E12" i="107" s="1"/>
  <c r="F13" i="107"/>
  <c r="D5" i="106"/>
  <c r="D3" i="106"/>
  <c r="I2" i="106"/>
  <c r="D18" i="106" s="1"/>
  <c r="E18" i="106" s="1"/>
  <c r="D4" i="106"/>
  <c r="D20" i="106"/>
  <c r="F21" i="106"/>
  <c r="F19" i="106"/>
  <c r="I4" i="105"/>
  <c r="D20" i="105" s="1"/>
  <c r="E20" i="105" s="1"/>
  <c r="F2" i="105"/>
  <c r="D2" i="105" s="1"/>
  <c r="D5" i="105"/>
  <c r="D18" i="105"/>
  <c r="E18" i="105" s="1"/>
  <c r="D21" i="105"/>
  <c r="E21" i="105" s="1"/>
  <c r="F19" i="105"/>
  <c r="E17" i="67"/>
  <c r="E16" i="67"/>
  <c r="C18" i="67"/>
  <c r="E18" i="67" s="1"/>
  <c r="F48" i="103"/>
  <c r="G48" i="103" s="1"/>
  <c r="F40" i="103"/>
  <c r="G40" i="103" s="1"/>
  <c r="F32" i="103"/>
  <c r="G32" i="103" s="1"/>
  <c r="F43" i="103"/>
  <c r="F35" i="103"/>
  <c r="G35" i="103" s="1"/>
  <c r="F37" i="103"/>
  <c r="G37" i="103" s="1"/>
  <c r="F46" i="103"/>
  <c r="G46" i="103" s="1"/>
  <c r="F38" i="103"/>
  <c r="G38" i="103" s="1"/>
  <c r="F30" i="103"/>
  <c r="G30" i="103" s="1"/>
  <c r="F49" i="103"/>
  <c r="G49" i="103" s="1"/>
  <c r="F41" i="103"/>
  <c r="G41" i="103" s="1"/>
  <c r="F33" i="103"/>
  <c r="G33" i="103" s="1"/>
  <c r="F45" i="103"/>
  <c r="G45" i="103" s="1"/>
  <c r="F44" i="103"/>
  <c r="F36" i="103"/>
  <c r="G36" i="103" s="1"/>
  <c r="F47" i="103"/>
  <c r="G47" i="103" s="1"/>
  <c r="F39" i="103"/>
  <c r="G39" i="103" s="1"/>
  <c r="F31" i="103"/>
  <c r="G31" i="103" s="1"/>
  <c r="F42" i="103"/>
  <c r="G42" i="103" s="1"/>
  <c r="F34" i="103"/>
  <c r="G34" i="103" s="1"/>
  <c r="G43" i="103"/>
  <c r="G44" i="103"/>
  <c r="E28" i="73"/>
  <c r="F67" i="102"/>
  <c r="G67" i="102" s="1"/>
  <c r="F59" i="102"/>
  <c r="F51" i="102"/>
  <c r="G51" i="102" s="1"/>
  <c r="F43" i="102"/>
  <c r="G43" i="102" s="1"/>
  <c r="F56" i="102"/>
  <c r="G56" i="102" s="1"/>
  <c r="F62" i="102"/>
  <c r="G62" i="102" s="1"/>
  <c r="F54" i="102"/>
  <c r="G54" i="102" s="1"/>
  <c r="F46" i="102"/>
  <c r="G46" i="102" s="1"/>
  <c r="F65" i="102"/>
  <c r="G65" i="102" s="1"/>
  <c r="F57" i="102"/>
  <c r="F49" i="102"/>
  <c r="G49" i="102" s="1"/>
  <c r="F41" i="102"/>
  <c r="G41" i="102" s="1"/>
  <c r="F53" i="102"/>
  <c r="G53" i="102" s="1"/>
  <c r="F40" i="102"/>
  <c r="G40" i="102" s="1"/>
  <c r="F68" i="102"/>
  <c r="G68" i="102" s="1"/>
  <c r="F60" i="102"/>
  <c r="G60" i="102" s="1"/>
  <c r="F52" i="102"/>
  <c r="G52" i="102" s="1"/>
  <c r="F44" i="102"/>
  <c r="G44" i="102" s="1"/>
  <c r="F64" i="102"/>
  <c r="G64" i="102" s="1"/>
  <c r="F63" i="102"/>
  <c r="G63" i="102" s="1"/>
  <c r="F55" i="102"/>
  <c r="G55" i="102" s="1"/>
  <c r="F47" i="102"/>
  <c r="G47" i="102" s="1"/>
  <c r="F39" i="102"/>
  <c r="G39" i="102" s="1"/>
  <c r="F66" i="102"/>
  <c r="G66" i="102" s="1"/>
  <c r="F58" i="102"/>
  <c r="G58" i="102" s="1"/>
  <c r="F50" i="102"/>
  <c r="G50" i="102" s="1"/>
  <c r="F42" i="102"/>
  <c r="F61" i="102"/>
  <c r="G61" i="102" s="1"/>
  <c r="F45" i="102"/>
  <c r="G45" i="102" s="1"/>
  <c r="F48" i="102"/>
  <c r="G48" i="102" s="1"/>
  <c r="G57" i="102"/>
  <c r="G42" i="102"/>
  <c r="G59" i="102"/>
  <c r="D20" i="101"/>
  <c r="E20" i="101" s="1"/>
  <c r="F5" i="101"/>
  <c r="E4" i="101"/>
  <c r="D18" i="101"/>
  <c r="E18" i="101" s="1"/>
  <c r="E2" i="101"/>
  <c r="F2" i="101" s="1"/>
  <c r="F3" i="101"/>
  <c r="E7" i="101"/>
  <c r="E22" i="101" s="1"/>
  <c r="D22" i="100"/>
  <c r="E6" i="100"/>
  <c r="F6" i="100" s="1"/>
  <c r="F7" i="100"/>
  <c r="F24" i="100" s="1"/>
  <c r="E4" i="100"/>
  <c r="F4" i="100" s="1"/>
  <c r="F5" i="100"/>
  <c r="E8" i="100"/>
  <c r="F8" i="100" s="1"/>
  <c r="F9" i="100"/>
  <c r="F26" i="100" s="1"/>
  <c r="E24" i="100"/>
  <c r="E22" i="100"/>
  <c r="E26" i="100"/>
  <c r="E3" i="100"/>
  <c r="E2" i="100" s="1"/>
  <c r="F2" i="100" s="1"/>
  <c r="E20" i="106" l="1"/>
  <c r="B24" i="106" s="1" a="1"/>
  <c r="B24" i="106" s="1"/>
  <c r="F24" i="106" a="1"/>
  <c r="F24" i="106" s="1"/>
  <c r="G15" i="109"/>
  <c r="F17" i="109"/>
  <c r="G17" i="109" s="1"/>
  <c r="F20" i="109"/>
  <c r="G20" i="109" s="1"/>
  <c r="F15" i="109"/>
  <c r="F18" i="109"/>
  <c r="G18" i="109" s="1"/>
  <c r="F19" i="109"/>
  <c r="G19" i="109" s="1"/>
  <c r="F16" i="109"/>
  <c r="G16" i="109" s="1"/>
  <c r="F42" i="116"/>
  <c r="G42" i="116" s="1"/>
  <c r="F43" i="116"/>
  <c r="G43" i="116" s="1"/>
  <c r="F40" i="116"/>
  <c r="G40" i="116" s="1"/>
  <c r="F32" i="116"/>
  <c r="G32" i="116" s="1"/>
  <c r="F35" i="116"/>
  <c r="G35" i="116" s="1"/>
  <c r="F34" i="116"/>
  <c r="G34" i="116" s="1"/>
  <c r="F38" i="116"/>
  <c r="G38" i="116" s="1"/>
  <c r="F30" i="116"/>
  <c r="G30" i="116" s="1"/>
  <c r="F41" i="116"/>
  <c r="G41" i="116" s="1"/>
  <c r="F33" i="116"/>
  <c r="G33" i="116" s="1"/>
  <c r="F36" i="116"/>
  <c r="G36" i="116" s="1"/>
  <c r="F28" i="116"/>
  <c r="G28" i="116" s="1"/>
  <c r="F37" i="116"/>
  <c r="G37" i="116" s="1"/>
  <c r="F29" i="116"/>
  <c r="G29" i="116" s="1"/>
  <c r="F39" i="116"/>
  <c r="G39" i="116" s="1"/>
  <c r="F31" i="116"/>
  <c r="G31" i="116" s="1"/>
  <c r="F38" i="115"/>
  <c r="G38" i="115" s="1"/>
  <c r="F31" i="115"/>
  <c r="G31" i="115" s="1"/>
  <c r="F35" i="115"/>
  <c r="G35" i="115" s="1"/>
  <c r="F30" i="115"/>
  <c r="G30" i="115" s="1"/>
  <c r="F42" i="115"/>
  <c r="G42" i="115" s="1"/>
  <c r="F41" i="115"/>
  <c r="G41" i="115" s="1"/>
  <c r="F34" i="115"/>
  <c r="G34" i="115" s="1"/>
  <c r="F36" i="115"/>
  <c r="G36" i="115" s="1"/>
  <c r="F47" i="115"/>
  <c r="G47" i="115" s="1"/>
  <c r="F32" i="115"/>
  <c r="G32" i="115" s="1"/>
  <c r="F46" i="115"/>
  <c r="G46" i="115" s="1"/>
  <c r="F43" i="115"/>
  <c r="G43" i="115" s="1"/>
  <c r="F33" i="115"/>
  <c r="G33" i="115" s="1"/>
  <c r="F45" i="115"/>
  <c r="G45" i="115" s="1"/>
  <c r="F39" i="115"/>
  <c r="G39" i="115" s="1"/>
  <c r="F44" i="115"/>
  <c r="G44" i="115" s="1"/>
  <c r="F37" i="115"/>
  <c r="G37" i="115" s="1"/>
  <c r="F40" i="115"/>
  <c r="G40" i="115" s="1"/>
  <c r="B54" i="114" a="1"/>
  <c r="B54" i="114" s="1"/>
  <c r="F42" i="113"/>
  <c r="G42" i="113" s="1"/>
  <c r="F34" i="113"/>
  <c r="G34" i="113" s="1"/>
  <c r="F31" i="113"/>
  <c r="G31" i="113" s="1"/>
  <c r="F37" i="113"/>
  <c r="G37" i="113" s="1"/>
  <c r="F29" i="113"/>
  <c r="G29" i="113" s="1"/>
  <c r="F40" i="113"/>
  <c r="G40" i="113" s="1"/>
  <c r="F32" i="113"/>
  <c r="G32" i="113" s="1"/>
  <c r="F39" i="113"/>
  <c r="G39" i="113" s="1"/>
  <c r="F43" i="113"/>
  <c r="G43" i="113" s="1"/>
  <c r="F35" i="113"/>
  <c r="G35" i="113" s="1"/>
  <c r="F38" i="113"/>
  <c r="G38" i="113" s="1"/>
  <c r="F30" i="113"/>
  <c r="G30" i="113" s="1"/>
  <c r="F41" i="113"/>
  <c r="G41" i="113" s="1"/>
  <c r="F33" i="113"/>
  <c r="G33" i="113" s="1"/>
  <c r="F36" i="113"/>
  <c r="G36" i="113" s="1"/>
  <c r="F28" i="113"/>
  <c r="G28" i="113" s="1"/>
  <c r="F75" i="112"/>
  <c r="G75" i="112" s="1"/>
  <c r="F74" i="112"/>
  <c r="G74" i="112" s="1"/>
  <c r="F61" i="112"/>
  <c r="G61" i="112" s="1"/>
  <c r="F69" i="112"/>
  <c r="G69" i="112" s="1"/>
  <c r="F66" i="112"/>
  <c r="G66" i="112" s="1"/>
  <c r="F63" i="112"/>
  <c r="G63" i="112" s="1"/>
  <c r="F71" i="112"/>
  <c r="G71" i="112" s="1"/>
  <c r="F62" i="112"/>
  <c r="G62" i="112" s="1"/>
  <c r="F60" i="112"/>
  <c r="G60" i="112" s="1"/>
  <c r="F68" i="112"/>
  <c r="G68" i="112" s="1"/>
  <c r="F65" i="112"/>
  <c r="G65" i="112" s="1"/>
  <c r="F73" i="112"/>
  <c r="G73" i="112" s="1"/>
  <c r="F70" i="112"/>
  <c r="G70" i="112" s="1"/>
  <c r="F67" i="112"/>
  <c r="G67" i="112" s="1"/>
  <c r="F64" i="112"/>
  <c r="G64" i="112" s="1"/>
  <c r="F72" i="112"/>
  <c r="G72" i="112" s="1"/>
  <c r="F55" i="112"/>
  <c r="G55" i="112" s="1"/>
  <c r="F45" i="112"/>
  <c r="G45" i="112" s="1"/>
  <c r="F54" i="112"/>
  <c r="G54" i="112" s="1"/>
  <c r="F47" i="112"/>
  <c r="G47" i="112" s="1"/>
  <c r="F59" i="112"/>
  <c r="G59" i="112" s="1"/>
  <c r="F50" i="112"/>
  <c r="G50" i="112" s="1"/>
  <c r="F51" i="112"/>
  <c r="G51" i="112" s="1"/>
  <c r="F44" i="112"/>
  <c r="G44" i="112" s="1"/>
  <c r="F49" i="112"/>
  <c r="G49" i="112" s="1"/>
  <c r="F46" i="112"/>
  <c r="G46" i="112" s="1"/>
  <c r="F58" i="112"/>
  <c r="G58" i="112" s="1"/>
  <c r="F52" i="112"/>
  <c r="G52" i="112" s="1"/>
  <c r="F48" i="112"/>
  <c r="G48" i="112" s="1"/>
  <c r="F57" i="112"/>
  <c r="G57" i="112" s="1"/>
  <c r="F56" i="112"/>
  <c r="G56" i="112" s="1"/>
  <c r="F53" i="112"/>
  <c r="G53" i="112" s="1"/>
  <c r="F48" i="111"/>
  <c r="G48" i="111" s="1"/>
  <c r="F40" i="111"/>
  <c r="G40" i="111" s="1"/>
  <c r="F32" i="111"/>
  <c r="G32" i="111" s="1"/>
  <c r="F44" i="111"/>
  <c r="G44" i="111" s="1"/>
  <c r="F42" i="111"/>
  <c r="G42" i="111" s="1"/>
  <c r="F37" i="111"/>
  <c r="G37" i="111" s="1"/>
  <c r="F43" i="111"/>
  <c r="G43" i="111" s="1"/>
  <c r="F35" i="111"/>
  <c r="G35" i="111" s="1"/>
  <c r="F45" i="111"/>
  <c r="G45" i="111" s="1"/>
  <c r="F46" i="111"/>
  <c r="G46" i="111" s="1"/>
  <c r="F38" i="111"/>
  <c r="G38" i="111" s="1"/>
  <c r="F30" i="111"/>
  <c r="G30" i="111" s="1"/>
  <c r="F36" i="111"/>
  <c r="G36" i="111" s="1"/>
  <c r="F34" i="111"/>
  <c r="G34" i="111" s="1"/>
  <c r="F49" i="111"/>
  <c r="G49" i="111" s="1"/>
  <c r="F41" i="111"/>
  <c r="G41" i="111" s="1"/>
  <c r="F33" i="111"/>
  <c r="G33" i="111" s="1"/>
  <c r="F47" i="111"/>
  <c r="G47" i="111" s="1"/>
  <c r="F39" i="111"/>
  <c r="G39" i="111" s="1"/>
  <c r="F31" i="111"/>
  <c r="G31" i="111" s="1"/>
  <c r="F32" i="110"/>
  <c r="G32" i="110" s="1"/>
  <c r="F24" i="110"/>
  <c r="G24" i="110" s="1"/>
  <c r="F30" i="110"/>
  <c r="G30" i="110" s="1"/>
  <c r="F22" i="110"/>
  <c r="G22" i="110" s="1"/>
  <c r="F27" i="110"/>
  <c r="G27" i="110" s="1"/>
  <c r="F33" i="110"/>
  <c r="G33" i="110" s="1"/>
  <c r="F25" i="110"/>
  <c r="G25" i="110" s="1"/>
  <c r="F28" i="110"/>
  <c r="G28" i="110" s="1"/>
  <c r="F31" i="110"/>
  <c r="G31" i="110" s="1"/>
  <c r="F23" i="110"/>
  <c r="G23" i="110" s="1"/>
  <c r="F26" i="110"/>
  <c r="G26" i="110" s="1"/>
  <c r="F29" i="110"/>
  <c r="G29" i="110" s="1"/>
  <c r="F18" i="108"/>
  <c r="E18" i="108"/>
  <c r="B18" i="107" a="1"/>
  <c r="B18" i="107" s="1"/>
  <c r="F14" i="107"/>
  <c r="F15" i="107"/>
  <c r="F12" i="107"/>
  <c r="D2" i="106"/>
  <c r="F20" i="106"/>
  <c r="F18" i="106"/>
  <c r="D4" i="105"/>
  <c r="F21" i="105"/>
  <c r="F20" i="105"/>
  <c r="F18" i="105"/>
  <c r="F20" i="101"/>
  <c r="H4" i="101"/>
  <c r="F4" i="101"/>
  <c r="F18" i="101"/>
  <c r="H2" i="101"/>
  <c r="E6" i="101"/>
  <c r="F7" i="101"/>
  <c r="F22" i="101" s="1"/>
  <c r="F22" i="100"/>
  <c r="H6" i="100"/>
  <c r="D23" i="100" s="1"/>
  <c r="H4" i="100"/>
  <c r="D4" i="100" s="1"/>
  <c r="H8" i="100"/>
  <c r="F3" i="100"/>
  <c r="F20" i="100" s="1"/>
  <c r="H2" i="100"/>
  <c r="E20" i="100"/>
  <c r="F49" i="114" l="1"/>
  <c r="G49" i="114" s="1"/>
  <c r="F50" i="114"/>
  <c r="G50" i="114" s="1"/>
  <c r="F48" i="114"/>
  <c r="G48" i="114" s="1"/>
  <c r="F51" i="114"/>
  <c r="G51" i="114" s="1"/>
  <c r="F46" i="114"/>
  <c r="G46" i="114" s="1"/>
  <c r="F38" i="114"/>
  <c r="G38" i="114" s="1"/>
  <c r="F47" i="114"/>
  <c r="G47" i="114" s="1"/>
  <c r="F39" i="114"/>
  <c r="G39" i="114" s="1"/>
  <c r="F41" i="114"/>
  <c r="G41" i="114" s="1"/>
  <c r="F33" i="114"/>
  <c r="G33" i="114" s="1"/>
  <c r="F36" i="114"/>
  <c r="G36" i="114" s="1"/>
  <c r="F42" i="114"/>
  <c r="G42" i="114" s="1"/>
  <c r="F34" i="114"/>
  <c r="G34" i="114" s="1"/>
  <c r="F45" i="114"/>
  <c r="G45" i="114" s="1"/>
  <c r="F37" i="114"/>
  <c r="G37" i="114" s="1"/>
  <c r="F40" i="114"/>
  <c r="G40" i="114" s="1"/>
  <c r="F32" i="114"/>
  <c r="G32" i="114" s="1"/>
  <c r="F44" i="114"/>
  <c r="G44" i="114" s="1"/>
  <c r="F43" i="114"/>
  <c r="G43" i="114" s="1"/>
  <c r="F35" i="114"/>
  <c r="G35" i="114" s="1"/>
  <c r="B22" i="108" a="1"/>
  <c r="B22" i="108" s="1"/>
  <c r="F22" i="108" a="1"/>
  <c r="F22" i="108" s="1"/>
  <c r="G12" i="107"/>
  <c r="I12" i="107" s="1"/>
  <c r="G15" i="107"/>
  <c r="I15" i="107" s="1"/>
  <c r="G14" i="107"/>
  <c r="I14" i="107" s="1"/>
  <c r="G13" i="107"/>
  <c r="I13" i="107" s="1"/>
  <c r="F18" i="107" a="1"/>
  <c r="F18" i="107" s="1"/>
  <c r="F24" i="105" a="1"/>
  <c r="F24" i="105" s="1"/>
  <c r="D4" i="101"/>
  <c r="D19" i="101"/>
  <c r="D2" i="101"/>
  <c r="D17" i="101"/>
  <c r="F6" i="101"/>
  <c r="H6" i="101"/>
  <c r="D21" i="101" s="1"/>
  <c r="D21" i="100"/>
  <c r="E21" i="100" s="1"/>
  <c r="D6" i="100"/>
  <c r="E23" i="100"/>
  <c r="F23" i="100"/>
  <c r="D8" i="100"/>
  <c r="D25" i="100"/>
  <c r="D2" i="100"/>
  <c r="D19" i="100"/>
  <c r="G14" i="108" l="1"/>
  <c r="I14" i="108" s="1"/>
  <c r="G15" i="108"/>
  <c r="I15" i="108" s="1"/>
  <c r="G16" i="108"/>
  <c r="I16" i="108" s="1"/>
  <c r="G18" i="108"/>
  <c r="I18" i="108" s="1"/>
  <c r="G17" i="108"/>
  <c r="I17" i="108" s="1"/>
  <c r="G19" i="108"/>
  <c r="I19" i="108" s="1"/>
  <c r="H19" i="108"/>
  <c r="J19" i="108" s="1"/>
  <c r="H18" i="108"/>
  <c r="J18" i="108" s="1"/>
  <c r="H17" i="108"/>
  <c r="J17" i="108" s="1"/>
  <c r="H16" i="108"/>
  <c r="J16" i="108" s="1"/>
  <c r="H15" i="108"/>
  <c r="J15" i="108" s="1"/>
  <c r="H14" i="108"/>
  <c r="J14" i="108" s="1"/>
  <c r="H12" i="107"/>
  <c r="J12" i="107" s="1"/>
  <c r="H15" i="107"/>
  <c r="J15" i="107" s="1"/>
  <c r="H14" i="107"/>
  <c r="J14" i="107" s="1"/>
  <c r="H13" i="107"/>
  <c r="J13" i="107" s="1"/>
  <c r="G18" i="106"/>
  <c r="I18" i="106" s="1"/>
  <c r="G19" i="106"/>
  <c r="I19" i="106" s="1"/>
  <c r="G20" i="106"/>
  <c r="I20" i="106" s="1"/>
  <c r="G21" i="106"/>
  <c r="I21" i="106" s="1"/>
  <c r="H18" i="106"/>
  <c r="J18" i="106" s="1"/>
  <c r="H19" i="106"/>
  <c r="J19" i="106" s="1"/>
  <c r="H20" i="106"/>
  <c r="J20" i="106" s="1"/>
  <c r="H21" i="106"/>
  <c r="J21" i="106" s="1"/>
  <c r="H18" i="105"/>
  <c r="J18" i="105" s="1"/>
  <c r="H19" i="105"/>
  <c r="J19" i="105" s="1"/>
  <c r="H20" i="105"/>
  <c r="J20" i="105" s="1"/>
  <c r="H21" i="105"/>
  <c r="J21" i="105" s="1"/>
  <c r="B24" i="105" a="1"/>
  <c r="B24" i="105" s="1"/>
  <c r="E19" i="101"/>
  <c r="F19" i="101"/>
  <c r="E17" i="101"/>
  <c r="F17" i="101"/>
  <c r="E21" i="101"/>
  <c r="F21" i="101"/>
  <c r="D6" i="101"/>
  <c r="F21" i="100"/>
  <c r="E25" i="100"/>
  <c r="F25" i="100"/>
  <c r="E19" i="100"/>
  <c r="B29" i="100" s="1" a="1"/>
  <c r="B29" i="100" s="1"/>
  <c r="F19" i="100"/>
  <c r="G18" i="105" l="1"/>
  <c r="I18" i="105" s="1"/>
  <c r="G19" i="105"/>
  <c r="I19" i="105" s="1"/>
  <c r="G20" i="105"/>
  <c r="I20" i="105" s="1"/>
  <c r="G21" i="105"/>
  <c r="I21" i="105" s="1"/>
  <c r="F25" i="101" a="1"/>
  <c r="F25" i="101" s="1"/>
  <c r="F29" i="100" a="1"/>
  <c r="F29" i="100" s="1"/>
  <c r="H23" i="100" s="1"/>
  <c r="J23" i="100" s="1"/>
  <c r="G21" i="100"/>
  <c r="I21" i="100" s="1"/>
  <c r="G22" i="100"/>
  <c r="I22" i="100" s="1"/>
  <c r="G23" i="100"/>
  <c r="I23" i="100" s="1"/>
  <c r="G24" i="100"/>
  <c r="I24" i="100" s="1"/>
  <c r="G25" i="100"/>
  <c r="I25" i="100" s="1"/>
  <c r="G26" i="100"/>
  <c r="I26" i="100" s="1"/>
  <c r="G20" i="100"/>
  <c r="I20" i="100" s="1"/>
  <c r="G19" i="100"/>
  <c r="I19" i="100" s="1"/>
  <c r="H19" i="101" l="1"/>
  <c r="J19" i="101" s="1"/>
  <c r="H20" i="101"/>
  <c r="J20" i="101" s="1"/>
  <c r="H17" i="101"/>
  <c r="J17" i="101" s="1"/>
  <c r="H18" i="101"/>
  <c r="J18" i="101" s="1"/>
  <c r="H21" i="101"/>
  <c r="J21" i="101" s="1"/>
  <c r="H22" i="101"/>
  <c r="J22" i="101" s="1"/>
  <c r="B25" i="101" a="1"/>
  <c r="B25" i="101" s="1"/>
  <c r="H21" i="100"/>
  <c r="J21" i="100" s="1"/>
  <c r="H24" i="100"/>
  <c r="J24" i="100" s="1"/>
  <c r="H22" i="100"/>
  <c r="J22" i="100" s="1"/>
  <c r="H26" i="100"/>
  <c r="J26" i="100" s="1"/>
  <c r="H25" i="100"/>
  <c r="J25" i="100" s="1"/>
  <c r="H20" i="100"/>
  <c r="J20" i="100" s="1"/>
  <c r="H19" i="100"/>
  <c r="J19" i="100" s="1"/>
  <c r="G19" i="101" l="1"/>
  <c r="I19" i="101" s="1"/>
  <c r="G20" i="101"/>
  <c r="I20" i="101" s="1"/>
  <c r="G17" i="101"/>
  <c r="I17" i="101" s="1"/>
  <c r="G18" i="101"/>
  <c r="I18" i="101" s="1"/>
  <c r="G21" i="101"/>
  <c r="I21" i="101" s="1"/>
  <c r="G22" i="101"/>
  <c r="I22" i="101" s="1"/>
  <c r="E10" i="86"/>
  <c r="C52" i="61"/>
  <c r="C51" i="61"/>
  <c r="C50" i="61"/>
  <c r="D43" i="98"/>
  <c r="D42" i="98"/>
  <c r="D41" i="98"/>
  <c r="D40" i="98"/>
  <c r="D24" i="98"/>
  <c r="D23" i="98"/>
  <c r="D22" i="98"/>
  <c r="D21" i="98"/>
  <c r="D6" i="98"/>
  <c r="D5" i="98"/>
  <c r="D4" i="98"/>
  <c r="D3" i="98"/>
  <c r="D6" i="95"/>
  <c r="D5" i="95"/>
  <c r="D4" i="95"/>
  <c r="D3" i="95"/>
  <c r="C50" i="97"/>
  <c r="C49" i="97"/>
  <c r="C48" i="97"/>
  <c r="C47" i="97"/>
  <c r="D46" i="97"/>
  <c r="E46" i="97" s="1"/>
  <c r="C46" i="97"/>
  <c r="C45" i="97"/>
  <c r="C44" i="97"/>
  <c r="C43" i="97"/>
  <c r="C42" i="97"/>
  <c r="C41" i="97"/>
  <c r="C40" i="97"/>
  <c r="C39" i="97"/>
  <c r="B71" i="97" s="1" a="1"/>
  <c r="B71" i="97" s="1"/>
  <c r="F13" i="97"/>
  <c r="D50" i="97" s="1"/>
  <c r="E50" i="97" s="1"/>
  <c r="F12" i="97"/>
  <c r="D49" i="97" s="1"/>
  <c r="E49" i="97" s="1"/>
  <c r="F11" i="97"/>
  <c r="D48" i="97" s="1"/>
  <c r="E48" i="97" s="1"/>
  <c r="F10" i="97"/>
  <c r="D47" i="97" s="1"/>
  <c r="E47" i="97" s="1"/>
  <c r="F9" i="97"/>
  <c r="F8" i="97"/>
  <c r="D45" i="97" s="1"/>
  <c r="E45" i="97" s="1"/>
  <c r="F7" i="97"/>
  <c r="D44" i="97" s="1"/>
  <c r="E44" i="97" s="1"/>
  <c r="F6" i="97"/>
  <c r="D43" i="97" s="1"/>
  <c r="E43" i="97" s="1"/>
  <c r="F5" i="97"/>
  <c r="D42" i="97" s="1"/>
  <c r="E42" i="97" s="1"/>
  <c r="F4" i="97"/>
  <c r="D41" i="97" s="1"/>
  <c r="E41" i="97" s="1"/>
  <c r="F3" i="97"/>
  <c r="D40" i="97" s="1"/>
  <c r="E40" i="97" s="1"/>
  <c r="F2" i="97"/>
  <c r="D39" i="97" s="1"/>
  <c r="E39" i="97" s="1"/>
  <c r="C68" i="97"/>
  <c r="C67" i="97"/>
  <c r="C66" i="97"/>
  <c r="C65" i="97"/>
  <c r="C64" i="97"/>
  <c r="C63" i="97"/>
  <c r="C62" i="97"/>
  <c r="C61" i="97"/>
  <c r="C60" i="97"/>
  <c r="C59" i="97"/>
  <c r="C58" i="97"/>
  <c r="C57" i="97"/>
  <c r="C56" i="97"/>
  <c r="C55" i="97"/>
  <c r="C54" i="97"/>
  <c r="C53" i="97"/>
  <c r="C52" i="97"/>
  <c r="C51" i="97"/>
  <c r="F31" i="97"/>
  <c r="D68" i="97" s="1"/>
  <c r="E68" i="97" s="1"/>
  <c r="F30" i="97"/>
  <c r="D67" i="97" s="1"/>
  <c r="E67" i="97" s="1"/>
  <c r="F29" i="97"/>
  <c r="D66" i="97" s="1"/>
  <c r="E66" i="97" s="1"/>
  <c r="F28" i="97"/>
  <c r="D65" i="97" s="1"/>
  <c r="E65" i="97" s="1"/>
  <c r="F27" i="97"/>
  <c r="D64" i="97" s="1"/>
  <c r="E64" i="97" s="1"/>
  <c r="F26" i="97"/>
  <c r="D63" i="97" s="1"/>
  <c r="E63" i="97" s="1"/>
  <c r="F25" i="97"/>
  <c r="D62" i="97" s="1"/>
  <c r="E62" i="97" s="1"/>
  <c r="F24" i="97"/>
  <c r="D61" i="97" s="1"/>
  <c r="E61" i="97" s="1"/>
  <c r="F23" i="97"/>
  <c r="D60" i="97" s="1"/>
  <c r="E60" i="97" s="1"/>
  <c r="F22" i="97"/>
  <c r="D59" i="97" s="1"/>
  <c r="E59" i="97" s="1"/>
  <c r="F21" i="97"/>
  <c r="D58" i="97" s="1"/>
  <c r="E58" i="97" s="1"/>
  <c r="F20" i="97"/>
  <c r="D57" i="97" s="1"/>
  <c r="E57" i="97" s="1"/>
  <c r="F19" i="97"/>
  <c r="D56" i="97" s="1"/>
  <c r="E56" i="97" s="1"/>
  <c r="F18" i="97"/>
  <c r="D55" i="97" s="1"/>
  <c r="E55" i="97" s="1"/>
  <c r="F17" i="97"/>
  <c r="D54" i="97" s="1"/>
  <c r="E54" i="97" s="1"/>
  <c r="F16" i="97"/>
  <c r="D53" i="97" s="1"/>
  <c r="E53" i="97" s="1"/>
  <c r="F15" i="97"/>
  <c r="D52" i="97" s="1"/>
  <c r="E52" i="97" s="1"/>
  <c r="F14" i="97"/>
  <c r="D51" i="97" s="1"/>
  <c r="E51" i="97" s="1"/>
  <c r="C32" i="96"/>
  <c r="C31" i="96"/>
  <c r="C30" i="96"/>
  <c r="C29" i="96"/>
  <c r="C28" i="96"/>
  <c r="C27" i="96"/>
  <c r="C26" i="96"/>
  <c r="C25" i="96"/>
  <c r="C24" i="96"/>
  <c r="C23" i="96"/>
  <c r="C22" i="96"/>
  <c r="C21" i="96"/>
  <c r="F13" i="96"/>
  <c r="D32" i="96" s="1"/>
  <c r="E32" i="96" s="1"/>
  <c r="F12" i="96"/>
  <c r="D31" i="96" s="1"/>
  <c r="E31" i="96" s="1"/>
  <c r="F11" i="96"/>
  <c r="D30" i="96" s="1"/>
  <c r="E30" i="96" s="1"/>
  <c r="F10" i="96"/>
  <c r="D29" i="96" s="1"/>
  <c r="E29" i="96" s="1"/>
  <c r="F9" i="96"/>
  <c r="D28" i="96" s="1"/>
  <c r="E28" i="96" s="1"/>
  <c r="F8" i="96"/>
  <c r="D27" i="96" s="1"/>
  <c r="E27" i="96" s="1"/>
  <c r="F7" i="96"/>
  <c r="D26" i="96" s="1"/>
  <c r="E26" i="96" s="1"/>
  <c r="F6" i="96"/>
  <c r="D25" i="96" s="1"/>
  <c r="E25" i="96" s="1"/>
  <c r="F5" i="96"/>
  <c r="D24" i="96" s="1"/>
  <c r="E24" i="96" s="1"/>
  <c r="F4" i="96"/>
  <c r="D23" i="96" s="1"/>
  <c r="E23" i="96" s="1"/>
  <c r="F3" i="96"/>
  <c r="D22" i="96" s="1"/>
  <c r="F2" i="96"/>
  <c r="D21" i="96" s="1"/>
  <c r="E21" i="96" s="1"/>
  <c r="D62" i="95"/>
  <c r="D61" i="95"/>
  <c r="D60" i="95"/>
  <c r="D59" i="95"/>
  <c r="D43" i="95"/>
  <c r="D42" i="95"/>
  <c r="D41" i="95"/>
  <c r="D40" i="95"/>
  <c r="D24" i="95"/>
  <c r="D23" i="95"/>
  <c r="D22" i="95"/>
  <c r="D21" i="95"/>
  <c r="D44" i="93"/>
  <c r="D43" i="93"/>
  <c r="D42" i="93"/>
  <c r="D41" i="93"/>
  <c r="D25" i="93"/>
  <c r="D24" i="93"/>
  <c r="D23" i="93"/>
  <c r="D22" i="93"/>
  <c r="D6" i="93"/>
  <c r="D5" i="93"/>
  <c r="D4" i="93"/>
  <c r="D3" i="93"/>
  <c r="C65" i="92"/>
  <c r="C66" i="92"/>
  <c r="C67" i="92"/>
  <c r="C68" i="92"/>
  <c r="C69" i="92"/>
  <c r="C70" i="92"/>
  <c r="C71" i="92"/>
  <c r="C72" i="92"/>
  <c r="C64" i="92"/>
  <c r="C63" i="92"/>
  <c r="C62" i="92"/>
  <c r="C61" i="92"/>
  <c r="C60" i="92"/>
  <c r="C59" i="92"/>
  <c r="C58" i="92"/>
  <c r="C57" i="92"/>
  <c r="C56" i="92"/>
  <c r="C55" i="92"/>
  <c r="C54" i="92"/>
  <c r="C53" i="92"/>
  <c r="C52" i="92"/>
  <c r="C51" i="92"/>
  <c r="C50" i="92"/>
  <c r="C49" i="92"/>
  <c r="C48" i="92"/>
  <c r="C47" i="92"/>
  <c r="C46" i="92"/>
  <c r="C45" i="92"/>
  <c r="C44" i="92"/>
  <c r="C43" i="92"/>
  <c r="C42" i="92"/>
  <c r="C41" i="92"/>
  <c r="F33" i="92"/>
  <c r="D72" i="92" s="1"/>
  <c r="E72" i="92" s="1"/>
  <c r="F32" i="92"/>
  <c r="D71" i="92" s="1"/>
  <c r="E71" i="92" s="1"/>
  <c r="F31" i="92"/>
  <c r="D70" i="92" s="1"/>
  <c r="E70" i="92" s="1"/>
  <c r="F30" i="92"/>
  <c r="D69" i="92" s="1"/>
  <c r="E69" i="92" s="1"/>
  <c r="F29" i="92"/>
  <c r="D68" i="92" s="1"/>
  <c r="E68" i="92" s="1"/>
  <c r="F28" i="92"/>
  <c r="D67" i="92" s="1"/>
  <c r="E67" i="92" s="1"/>
  <c r="F27" i="92"/>
  <c r="D66" i="92" s="1"/>
  <c r="E66" i="92" s="1"/>
  <c r="F26" i="92"/>
  <c r="D65" i="92" s="1"/>
  <c r="E65" i="92" s="1"/>
  <c r="F25" i="92"/>
  <c r="D64" i="92" s="1"/>
  <c r="E64" i="92" s="1"/>
  <c r="F24" i="92"/>
  <c r="D63" i="92" s="1"/>
  <c r="E63" i="92" s="1"/>
  <c r="F23" i="92"/>
  <c r="D62" i="92" s="1"/>
  <c r="E62" i="92" s="1"/>
  <c r="F22" i="92"/>
  <c r="D61" i="92" s="1"/>
  <c r="E61" i="92" s="1"/>
  <c r="F21" i="92"/>
  <c r="D60" i="92" s="1"/>
  <c r="E60" i="92" s="1"/>
  <c r="F20" i="92"/>
  <c r="D59" i="92" s="1"/>
  <c r="E59" i="92" s="1"/>
  <c r="F19" i="92"/>
  <c r="D58" i="92" s="1"/>
  <c r="E58" i="92" s="1"/>
  <c r="F18" i="92"/>
  <c r="D57" i="92" s="1"/>
  <c r="E57" i="92" s="1"/>
  <c r="F17" i="92"/>
  <c r="D56" i="92" s="1"/>
  <c r="E56" i="92" s="1"/>
  <c r="F16" i="92"/>
  <c r="D55" i="92" s="1"/>
  <c r="E55" i="92" s="1"/>
  <c r="F15" i="92"/>
  <c r="D54" i="92" s="1"/>
  <c r="E54" i="92" s="1"/>
  <c r="F14" i="92"/>
  <c r="D53" i="92" s="1"/>
  <c r="E53" i="92" s="1"/>
  <c r="F13" i="92"/>
  <c r="D52" i="92" s="1"/>
  <c r="E52" i="92" s="1"/>
  <c r="F12" i="92"/>
  <c r="D51" i="92" s="1"/>
  <c r="E51" i="92" s="1"/>
  <c r="F11" i="92"/>
  <c r="D50" i="92" s="1"/>
  <c r="E50" i="92" s="1"/>
  <c r="F10" i="92"/>
  <c r="D49" i="92" s="1"/>
  <c r="E49" i="92" s="1"/>
  <c r="F9" i="92"/>
  <c r="D48" i="92" s="1"/>
  <c r="E48" i="92" s="1"/>
  <c r="F8" i="92"/>
  <c r="D47" i="92" s="1"/>
  <c r="E47" i="92" s="1"/>
  <c r="F7" i="92"/>
  <c r="D46" i="92" s="1"/>
  <c r="E46" i="92" s="1"/>
  <c r="F6" i="92"/>
  <c r="D45" i="92" s="1"/>
  <c r="E45" i="92" s="1"/>
  <c r="F5" i="92"/>
  <c r="D44" i="92" s="1"/>
  <c r="E44" i="92" s="1"/>
  <c r="F4" i="92"/>
  <c r="D43" i="92" s="1"/>
  <c r="E43" i="92" s="1"/>
  <c r="F3" i="92"/>
  <c r="D42" i="92" s="1"/>
  <c r="E42" i="92" s="1"/>
  <c r="F2" i="92"/>
  <c r="D41" i="92" s="1"/>
  <c r="E41" i="92" s="1"/>
  <c r="D44" i="91"/>
  <c r="D43" i="91"/>
  <c r="D42" i="91"/>
  <c r="D41" i="91"/>
  <c r="D25" i="91"/>
  <c r="D24" i="91"/>
  <c r="D23" i="91"/>
  <c r="D22" i="91"/>
  <c r="D6" i="91"/>
  <c r="D5" i="91"/>
  <c r="D4" i="91"/>
  <c r="D3" i="91"/>
  <c r="C56" i="90"/>
  <c r="C55" i="90"/>
  <c r="C54" i="90"/>
  <c r="C53" i="90"/>
  <c r="C52" i="90"/>
  <c r="C51" i="90"/>
  <c r="C50" i="90"/>
  <c r="C49" i="90"/>
  <c r="C48" i="90"/>
  <c r="C47" i="90"/>
  <c r="C46" i="90"/>
  <c r="C45" i="90"/>
  <c r="C44" i="90"/>
  <c r="C43" i="90"/>
  <c r="C42" i="90"/>
  <c r="C41" i="90"/>
  <c r="C40" i="90"/>
  <c r="C39" i="90"/>
  <c r="C38" i="90"/>
  <c r="C37" i="90"/>
  <c r="C36" i="90"/>
  <c r="C35" i="90"/>
  <c r="C34" i="90"/>
  <c r="C33" i="90"/>
  <c r="F25" i="90"/>
  <c r="D56" i="90" s="1"/>
  <c r="E56" i="90" s="1"/>
  <c r="F24" i="90"/>
  <c r="D55" i="90" s="1"/>
  <c r="E55" i="90" s="1"/>
  <c r="F23" i="90"/>
  <c r="D54" i="90" s="1"/>
  <c r="E54" i="90" s="1"/>
  <c r="F22" i="90"/>
  <c r="D53" i="90" s="1"/>
  <c r="E53" i="90" s="1"/>
  <c r="F21" i="90"/>
  <c r="D52" i="90" s="1"/>
  <c r="E52" i="90" s="1"/>
  <c r="F20" i="90"/>
  <c r="D51" i="90" s="1"/>
  <c r="E51" i="90" s="1"/>
  <c r="F19" i="90"/>
  <c r="D50" i="90" s="1"/>
  <c r="E50" i="90" s="1"/>
  <c r="F18" i="90"/>
  <c r="D49" i="90" s="1"/>
  <c r="E49" i="90" s="1"/>
  <c r="F17" i="90"/>
  <c r="D48" i="90" s="1"/>
  <c r="E48" i="90" s="1"/>
  <c r="F16" i="90"/>
  <c r="D47" i="90" s="1"/>
  <c r="E47" i="90" s="1"/>
  <c r="F15" i="90"/>
  <c r="D46" i="90" s="1"/>
  <c r="E46" i="90" s="1"/>
  <c r="F14" i="90"/>
  <c r="D45" i="90" s="1"/>
  <c r="E45" i="90" s="1"/>
  <c r="F13" i="90"/>
  <c r="D44" i="90" s="1"/>
  <c r="E44" i="90" s="1"/>
  <c r="F12" i="90"/>
  <c r="D43" i="90" s="1"/>
  <c r="E43" i="90" s="1"/>
  <c r="F11" i="90"/>
  <c r="D42" i="90" s="1"/>
  <c r="E42" i="90" s="1"/>
  <c r="F10" i="90"/>
  <c r="D41" i="90" s="1"/>
  <c r="E41" i="90" s="1"/>
  <c r="F9" i="90"/>
  <c r="D40" i="90" s="1"/>
  <c r="E40" i="90" s="1"/>
  <c r="F8" i="90"/>
  <c r="D39" i="90" s="1"/>
  <c r="E39" i="90" s="1"/>
  <c r="F7" i="90"/>
  <c r="D38" i="90" s="1"/>
  <c r="E38" i="90" s="1"/>
  <c r="F6" i="90"/>
  <c r="D37" i="90" s="1"/>
  <c r="E37" i="90" s="1"/>
  <c r="F5" i="90"/>
  <c r="D36" i="90" s="1"/>
  <c r="E36" i="90" s="1"/>
  <c r="F4" i="90"/>
  <c r="D35" i="90" s="1"/>
  <c r="F3" i="90"/>
  <c r="D34" i="90" s="1"/>
  <c r="E34" i="90" s="1"/>
  <c r="F2" i="90"/>
  <c r="D33" i="90" s="1"/>
  <c r="E33" i="90" s="1"/>
  <c r="D44" i="89"/>
  <c r="D43" i="89"/>
  <c r="D42" i="89"/>
  <c r="D41" i="89"/>
  <c r="D25" i="89"/>
  <c r="D24" i="89"/>
  <c r="D23" i="89"/>
  <c r="D22" i="89"/>
  <c r="D4" i="89"/>
  <c r="D5" i="89"/>
  <c r="D6" i="89"/>
  <c r="D3" i="89"/>
  <c r="E48" i="87"/>
  <c r="E47" i="87"/>
  <c r="E46" i="87"/>
  <c r="E45" i="87"/>
  <c r="E30" i="87"/>
  <c r="E29" i="87"/>
  <c r="E28" i="87"/>
  <c r="E27" i="87"/>
  <c r="E11" i="87"/>
  <c r="E10" i="87"/>
  <c r="E9" i="87"/>
  <c r="E8" i="87"/>
  <c r="E48" i="86"/>
  <c r="E47" i="86"/>
  <c r="E46" i="86"/>
  <c r="E45" i="86"/>
  <c r="E30" i="86"/>
  <c r="E29" i="86"/>
  <c r="E28" i="86"/>
  <c r="E27" i="86"/>
  <c r="E11" i="86"/>
  <c r="E9" i="86"/>
  <c r="E8" i="86"/>
  <c r="E48" i="85"/>
  <c r="E47" i="85"/>
  <c r="E46" i="85"/>
  <c r="E45" i="85"/>
  <c r="E30" i="85"/>
  <c r="E29" i="85"/>
  <c r="E28" i="85"/>
  <c r="E27" i="85"/>
  <c r="E11" i="85"/>
  <c r="E10" i="85"/>
  <c r="E9" i="85"/>
  <c r="E8" i="85"/>
  <c r="E48" i="84"/>
  <c r="E47" i="84"/>
  <c r="E46" i="84"/>
  <c r="E45" i="84"/>
  <c r="E30" i="84"/>
  <c r="E29" i="84"/>
  <c r="E28" i="84"/>
  <c r="E27" i="84"/>
  <c r="E11" i="84"/>
  <c r="E10" i="84"/>
  <c r="E9" i="84"/>
  <c r="E8" i="84"/>
  <c r="F4" i="83"/>
  <c r="F5" i="83"/>
  <c r="D29" i="83" s="1"/>
  <c r="E29" i="83" s="1"/>
  <c r="C28" i="83"/>
  <c r="D28" i="83"/>
  <c r="E28" i="83" s="1"/>
  <c r="C29" i="83"/>
  <c r="F18" i="50"/>
  <c r="D46" i="50" s="1"/>
  <c r="E46" i="50" s="1"/>
  <c r="F19" i="50"/>
  <c r="C46" i="50"/>
  <c r="C47" i="50"/>
  <c r="D47" i="50"/>
  <c r="E47" i="50"/>
  <c r="C39" i="83"/>
  <c r="C38" i="83"/>
  <c r="C37" i="83"/>
  <c r="C36" i="83"/>
  <c r="C35" i="83"/>
  <c r="C34" i="83"/>
  <c r="C33" i="83"/>
  <c r="C32" i="83"/>
  <c r="C31" i="83"/>
  <c r="C30" i="83"/>
  <c r="C27" i="83"/>
  <c r="C26" i="83"/>
  <c r="F15" i="83"/>
  <c r="D39" i="83" s="1"/>
  <c r="E39" i="83" s="1"/>
  <c r="F14" i="83"/>
  <c r="D38" i="83" s="1"/>
  <c r="E38" i="83" s="1"/>
  <c r="F13" i="83"/>
  <c r="D37" i="83" s="1"/>
  <c r="E37" i="83" s="1"/>
  <c r="F12" i="83"/>
  <c r="D36" i="83" s="1"/>
  <c r="E36" i="83" s="1"/>
  <c r="F11" i="83"/>
  <c r="D35" i="83" s="1"/>
  <c r="E35" i="83" s="1"/>
  <c r="F10" i="83"/>
  <c r="D34" i="83" s="1"/>
  <c r="E34" i="83" s="1"/>
  <c r="F9" i="83"/>
  <c r="D33" i="83" s="1"/>
  <c r="E33" i="83" s="1"/>
  <c r="F8" i="83"/>
  <c r="D32" i="83" s="1"/>
  <c r="E32" i="83" s="1"/>
  <c r="F7" i="83"/>
  <c r="D31" i="83" s="1"/>
  <c r="E31" i="83" s="1"/>
  <c r="F6" i="83"/>
  <c r="D30" i="83" s="1"/>
  <c r="E30" i="83" s="1"/>
  <c r="F3" i="83"/>
  <c r="D27" i="83" s="1"/>
  <c r="E27" i="83" s="1"/>
  <c r="F2" i="83"/>
  <c r="D26" i="83" s="1"/>
  <c r="E26" i="83" s="1"/>
  <c r="E48" i="82"/>
  <c r="E47" i="82"/>
  <c r="E46" i="82"/>
  <c r="E45" i="82"/>
  <c r="E30" i="82"/>
  <c r="E29" i="82"/>
  <c r="E28" i="82"/>
  <c r="E27" i="82"/>
  <c r="E9" i="82"/>
  <c r="E10" i="82"/>
  <c r="E11" i="82"/>
  <c r="E8" i="82"/>
  <c r="B46" i="60" a="1"/>
  <c r="B46" i="60" s="1"/>
  <c r="C43" i="60"/>
  <c r="C42" i="60"/>
  <c r="D41" i="60"/>
  <c r="E41" i="60" s="1"/>
  <c r="C41" i="60"/>
  <c r="C40" i="60"/>
  <c r="D39" i="60"/>
  <c r="E39" i="60" s="1"/>
  <c r="C39" i="60"/>
  <c r="D38" i="60"/>
  <c r="E38" i="60" s="1"/>
  <c r="C38" i="60"/>
  <c r="F17" i="60"/>
  <c r="D43" i="60" s="1"/>
  <c r="E43" i="60" s="1"/>
  <c r="F16" i="60"/>
  <c r="D42" i="60" s="1"/>
  <c r="E42" i="60" s="1"/>
  <c r="F15" i="60"/>
  <c r="F14" i="60"/>
  <c r="D40" i="60" s="1"/>
  <c r="E40" i="60" s="1"/>
  <c r="F13" i="60"/>
  <c r="F12" i="60"/>
  <c r="E55" i="79"/>
  <c r="D54" i="79"/>
  <c r="C54" i="79"/>
  <c r="C53" i="79" s="1"/>
  <c r="D53" i="79"/>
  <c r="E52" i="79"/>
  <c r="E37" i="79"/>
  <c r="D36" i="79"/>
  <c r="C36" i="79"/>
  <c r="D35" i="79"/>
  <c r="E34" i="79"/>
  <c r="E18" i="79"/>
  <c r="D17" i="79"/>
  <c r="C17" i="79"/>
  <c r="D16" i="79"/>
  <c r="E15" i="79"/>
  <c r="F8" i="79"/>
  <c r="F7" i="79"/>
  <c r="F6" i="79"/>
  <c r="F5" i="79"/>
  <c r="D53" i="78"/>
  <c r="D35" i="78"/>
  <c r="C35" i="78"/>
  <c r="C16" i="78"/>
  <c r="E16" i="78" s="1"/>
  <c r="C17" i="78"/>
  <c r="D16" i="78"/>
  <c r="E55" i="78"/>
  <c r="D54" i="78"/>
  <c r="C54" i="78"/>
  <c r="C53" i="78" s="1"/>
  <c r="E52" i="78"/>
  <c r="E37" i="78"/>
  <c r="D36" i="78"/>
  <c r="E35" i="78" s="1"/>
  <c r="C36" i="78"/>
  <c r="E34" i="78"/>
  <c r="E18" i="78"/>
  <c r="D17" i="78"/>
  <c r="E15" i="78"/>
  <c r="F8" i="78"/>
  <c r="F7" i="78"/>
  <c r="F6" i="78"/>
  <c r="F5" i="78"/>
  <c r="E60" i="76"/>
  <c r="D59" i="76"/>
  <c r="E59" i="76" s="1"/>
  <c r="C59" i="76"/>
  <c r="E58" i="76"/>
  <c r="C41" i="76"/>
  <c r="D41" i="76"/>
  <c r="E41" i="76" s="1"/>
  <c r="D23" i="76"/>
  <c r="E23" i="76" s="1"/>
  <c r="E42" i="76"/>
  <c r="E40" i="76"/>
  <c r="E24" i="76"/>
  <c r="E22" i="76"/>
  <c r="E16" i="76"/>
  <c r="E15" i="76"/>
  <c r="F15" i="76" s="1"/>
  <c r="E14" i="76"/>
  <c r="F14" i="76" s="1"/>
  <c r="E13" i="76"/>
  <c r="F6" i="76"/>
  <c r="F7" i="76"/>
  <c r="F8" i="76"/>
  <c r="F5" i="76"/>
  <c r="E31" i="75"/>
  <c r="E33" i="75"/>
  <c r="E32" i="75"/>
  <c r="D32" i="75"/>
  <c r="C32" i="75"/>
  <c r="E9" i="75"/>
  <c r="E10" i="75"/>
  <c r="E8" i="75"/>
  <c r="C9" i="75"/>
  <c r="F3" i="75"/>
  <c r="D9" i="75" s="1"/>
  <c r="E4" i="47"/>
  <c r="E5" i="47"/>
  <c r="E6" i="47"/>
  <c r="E7" i="47"/>
  <c r="E8" i="47"/>
  <c r="E9" i="47"/>
  <c r="E10" i="47"/>
  <c r="E11" i="47"/>
  <c r="E33" i="47" s="1"/>
  <c r="E12" i="47"/>
  <c r="E13" i="47"/>
  <c r="E2" i="47"/>
  <c r="D12" i="47"/>
  <c r="D10" i="47"/>
  <c r="D8" i="47"/>
  <c r="D6" i="47"/>
  <c r="D4" i="47"/>
  <c r="D2" i="47"/>
  <c r="H16" i="74"/>
  <c r="G17" i="74"/>
  <c r="G16" i="74"/>
  <c r="F3" i="74"/>
  <c r="D4" i="74"/>
  <c r="D5" i="74"/>
  <c r="D6" i="74"/>
  <c r="D7" i="74"/>
  <c r="D8" i="74"/>
  <c r="D9" i="74"/>
  <c r="D10" i="74"/>
  <c r="D11" i="74"/>
  <c r="D12" i="74"/>
  <c r="D3" i="74"/>
  <c r="F4" i="74"/>
  <c r="F25" i="74"/>
  <c r="H25" i="74" s="1"/>
  <c r="G24" i="74"/>
  <c r="G23" i="74"/>
  <c r="G22" i="74"/>
  <c r="G21" i="74"/>
  <c r="G20" i="74"/>
  <c r="G19" i="74"/>
  <c r="G18" i="74"/>
  <c r="F12" i="74"/>
  <c r="F9" i="74"/>
  <c r="F8" i="74"/>
  <c r="F7" i="74"/>
  <c r="F6" i="74"/>
  <c r="F5" i="74"/>
  <c r="E7" i="73"/>
  <c r="E9" i="73"/>
  <c r="E33" i="73" s="1"/>
  <c r="E11" i="73"/>
  <c r="E35" i="73" s="1"/>
  <c r="E13" i="73"/>
  <c r="E37" i="73" s="1"/>
  <c r="E15" i="73"/>
  <c r="E39" i="73" s="1"/>
  <c r="E17" i="73"/>
  <c r="E41" i="73" s="1"/>
  <c r="D16" i="73"/>
  <c r="E16" i="73" s="1"/>
  <c r="D14" i="73"/>
  <c r="E14" i="73" s="1"/>
  <c r="D12" i="73"/>
  <c r="E12" i="73" s="1"/>
  <c r="D10" i="73"/>
  <c r="E10" i="73" s="1"/>
  <c r="D8" i="73"/>
  <c r="E8" i="73" s="1"/>
  <c r="D6" i="73"/>
  <c r="E6" i="73" s="1"/>
  <c r="G16" i="73"/>
  <c r="G14" i="73"/>
  <c r="G12" i="73"/>
  <c r="G10" i="73"/>
  <c r="G8" i="73"/>
  <c r="G6" i="73"/>
  <c r="E31" i="73"/>
  <c r="G12" i="72"/>
  <c r="G13" i="72"/>
  <c r="G14" i="72"/>
  <c r="G15" i="72"/>
  <c r="G16" i="72"/>
  <c r="F17" i="72"/>
  <c r="H17" i="72" s="1"/>
  <c r="E12" i="72"/>
  <c r="F12" i="72" s="1"/>
  <c r="E13" i="72"/>
  <c r="F13" i="72" s="1"/>
  <c r="E14" i="72"/>
  <c r="F14" i="72" s="1"/>
  <c r="E15" i="72"/>
  <c r="F15" i="72" s="1"/>
  <c r="E16" i="72"/>
  <c r="F16" i="72" s="1"/>
  <c r="F7" i="72"/>
  <c r="F8" i="72"/>
  <c r="E3" i="72"/>
  <c r="E4" i="72"/>
  <c r="E5" i="72"/>
  <c r="E6" i="72"/>
  <c r="E7" i="72"/>
  <c r="E8" i="72"/>
  <c r="F3" i="72" s="1"/>
  <c r="G15" i="69"/>
  <c r="G16" i="69"/>
  <c r="G17" i="69"/>
  <c r="G18" i="69"/>
  <c r="G19" i="69"/>
  <c r="G20" i="69"/>
  <c r="G21" i="69"/>
  <c r="G22" i="69"/>
  <c r="G14" i="69"/>
  <c r="F15" i="69"/>
  <c r="F16" i="69"/>
  <c r="F17" i="69"/>
  <c r="F18" i="69"/>
  <c r="F19" i="69"/>
  <c r="F20" i="69"/>
  <c r="F21" i="69"/>
  <c r="F14" i="69"/>
  <c r="E15" i="69"/>
  <c r="E16" i="69"/>
  <c r="E17" i="69"/>
  <c r="E18" i="69"/>
  <c r="E19" i="69"/>
  <c r="E20" i="69"/>
  <c r="E21" i="69"/>
  <c r="E14" i="69"/>
  <c r="D52" i="36"/>
  <c r="D50" i="36"/>
  <c r="D48" i="36"/>
  <c r="D46" i="36"/>
  <c r="D44" i="36"/>
  <c r="D42" i="36"/>
  <c r="D40" i="36"/>
  <c r="D38" i="36"/>
  <c r="D36" i="36"/>
  <c r="D34" i="36"/>
  <c r="D32" i="36"/>
  <c r="D30" i="36"/>
  <c r="D28" i="36"/>
  <c r="D26" i="36"/>
  <c r="D24" i="36"/>
  <c r="D22" i="36"/>
  <c r="D20" i="36"/>
  <c r="D18" i="36"/>
  <c r="D16" i="36"/>
  <c r="D14" i="36"/>
  <c r="D12" i="36"/>
  <c r="D10" i="36"/>
  <c r="D8" i="36"/>
  <c r="D6" i="36"/>
  <c r="D4" i="36"/>
  <c r="D2" i="36"/>
  <c r="I4" i="37"/>
  <c r="I5" i="37"/>
  <c r="I6" i="37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3" i="37"/>
  <c r="E4" i="68"/>
  <c r="E5" i="68"/>
  <c r="E6" i="68"/>
  <c r="E7" i="68"/>
  <c r="E8" i="68"/>
  <c r="E9" i="68"/>
  <c r="E10" i="68"/>
  <c r="E3" i="68"/>
  <c r="D4" i="68"/>
  <c r="D5" i="68"/>
  <c r="D6" i="68"/>
  <c r="D7" i="68"/>
  <c r="D8" i="68"/>
  <c r="D9" i="68"/>
  <c r="D10" i="68"/>
  <c r="D3" i="68"/>
  <c r="C21" i="67"/>
  <c r="C22" i="67"/>
  <c r="E22" i="67" s="1"/>
  <c r="C23" i="67"/>
  <c r="E23" i="67" s="1"/>
  <c r="C24" i="67"/>
  <c r="E24" i="67" s="1"/>
  <c r="C20" i="67"/>
  <c r="E20" i="67" s="1"/>
  <c r="E25" i="67"/>
  <c r="E21" i="67"/>
  <c r="C17" i="66"/>
  <c r="C18" i="66"/>
  <c r="C19" i="66"/>
  <c r="C20" i="66"/>
  <c r="C21" i="66"/>
  <c r="C22" i="66"/>
  <c r="C23" i="66"/>
  <c r="C24" i="66"/>
  <c r="C16" i="66"/>
  <c r="D25" i="66"/>
  <c r="D20" i="66" s="1"/>
  <c r="F20" i="66" s="1"/>
  <c r="F148" i="65"/>
  <c r="C147" i="65"/>
  <c r="F147" i="65" s="1"/>
  <c r="C146" i="65"/>
  <c r="F146" i="65" s="1"/>
  <c r="F124" i="65"/>
  <c r="C123" i="65"/>
  <c r="F123" i="65" s="1"/>
  <c r="C122" i="65"/>
  <c r="F122" i="65" s="1"/>
  <c r="F101" i="65"/>
  <c r="F100" i="65"/>
  <c r="C100" i="65"/>
  <c r="F99" i="65"/>
  <c r="C99" i="65"/>
  <c r="F77" i="65"/>
  <c r="C76" i="65"/>
  <c r="F76" i="65" s="1"/>
  <c r="C75" i="65"/>
  <c r="F75" i="65" s="1"/>
  <c r="F53" i="65"/>
  <c r="C52" i="65"/>
  <c r="F52" i="65" s="1"/>
  <c r="F51" i="65"/>
  <c r="C51" i="65"/>
  <c r="C27" i="65"/>
  <c r="F27" i="65" s="1"/>
  <c r="F29" i="65"/>
  <c r="C28" i="65"/>
  <c r="F28" i="65" s="1"/>
  <c r="C4" i="65"/>
  <c r="C3" i="65"/>
  <c r="F3" i="65" s="1"/>
  <c r="F5" i="65"/>
  <c r="F4" i="65"/>
  <c r="F54" i="64"/>
  <c r="F53" i="64"/>
  <c r="F52" i="64"/>
  <c r="F51" i="64"/>
  <c r="F50" i="64"/>
  <c r="F28" i="64"/>
  <c r="F27" i="64"/>
  <c r="F26" i="64"/>
  <c r="F29" i="64"/>
  <c r="F25" i="64"/>
  <c r="E4" i="58"/>
  <c r="E5" i="58"/>
  <c r="E6" i="58"/>
  <c r="E7" i="58"/>
  <c r="E8" i="58"/>
  <c r="E9" i="58"/>
  <c r="E10" i="58"/>
  <c r="G10" i="58" s="1"/>
  <c r="D35" i="58" s="1"/>
  <c r="E35" i="58" s="1"/>
  <c r="E11" i="58"/>
  <c r="G11" i="58" s="1"/>
  <c r="D36" i="58" s="1"/>
  <c r="E36" i="58" s="1"/>
  <c r="E12" i="58"/>
  <c r="E13" i="58"/>
  <c r="E14" i="58"/>
  <c r="E15" i="58"/>
  <c r="E16" i="58"/>
  <c r="E17" i="58"/>
  <c r="E18" i="58"/>
  <c r="G18" i="58" s="1"/>
  <c r="D43" i="58" s="1"/>
  <c r="E43" i="58" s="1"/>
  <c r="E19" i="58"/>
  <c r="G19" i="58" s="1"/>
  <c r="D44" i="58" s="1"/>
  <c r="E44" i="58" s="1"/>
  <c r="E3" i="58"/>
  <c r="G3" i="58" s="1"/>
  <c r="D28" i="58" s="1"/>
  <c r="E28" i="58" s="1"/>
  <c r="E2" i="58"/>
  <c r="G2" i="58" s="1"/>
  <c r="D27" i="58" s="1"/>
  <c r="E27" i="58" s="1"/>
  <c r="E53" i="63"/>
  <c r="G53" i="63" s="1"/>
  <c r="E52" i="63"/>
  <c r="C52" i="63"/>
  <c r="E51" i="63"/>
  <c r="C51" i="63"/>
  <c r="G51" i="63" s="1"/>
  <c r="E50" i="63"/>
  <c r="E29" i="63"/>
  <c r="G29" i="63" s="1"/>
  <c r="E28" i="63"/>
  <c r="C28" i="63"/>
  <c r="E27" i="63"/>
  <c r="C27" i="63"/>
  <c r="G26" i="63"/>
  <c r="E26" i="63"/>
  <c r="E5" i="63"/>
  <c r="G5" i="63" s="1"/>
  <c r="E4" i="63"/>
  <c r="C4" i="63"/>
  <c r="E3" i="63"/>
  <c r="C3" i="63"/>
  <c r="E2" i="63"/>
  <c r="G2" i="63" s="1"/>
  <c r="C50" i="62"/>
  <c r="C51" i="62"/>
  <c r="C52" i="62"/>
  <c r="C28" i="62"/>
  <c r="C27" i="62"/>
  <c r="C26" i="62"/>
  <c r="D4" i="27"/>
  <c r="D5" i="27"/>
  <c r="D6" i="27"/>
  <c r="D7" i="27"/>
  <c r="D8" i="27"/>
  <c r="D9" i="27"/>
  <c r="D3" i="27"/>
  <c r="D2" i="27"/>
  <c r="C4" i="62"/>
  <c r="C3" i="62"/>
  <c r="C2" i="62"/>
  <c r="G2" i="62" s="1"/>
  <c r="E53" i="62"/>
  <c r="G53" i="62" s="1"/>
  <c r="E52" i="62"/>
  <c r="E51" i="62"/>
  <c r="E50" i="62"/>
  <c r="E29" i="62"/>
  <c r="G29" i="62" s="1"/>
  <c r="E28" i="62"/>
  <c r="E27" i="62"/>
  <c r="E26" i="62"/>
  <c r="E5" i="62"/>
  <c r="G5" i="62" s="1"/>
  <c r="E4" i="62"/>
  <c r="E3" i="62"/>
  <c r="E2" i="62"/>
  <c r="E10" i="27"/>
  <c r="E11" i="27"/>
  <c r="E12" i="27"/>
  <c r="E13" i="27"/>
  <c r="E14" i="27"/>
  <c r="E15" i="27"/>
  <c r="E16" i="27"/>
  <c r="E17" i="27"/>
  <c r="F53" i="61"/>
  <c r="D53" i="61"/>
  <c r="F52" i="61"/>
  <c r="D52" i="61"/>
  <c r="H52" i="61" s="1"/>
  <c r="F51" i="61"/>
  <c r="D51" i="61"/>
  <c r="H51" i="61" s="1"/>
  <c r="F50" i="61"/>
  <c r="D50" i="61"/>
  <c r="H50" i="61" s="1"/>
  <c r="C28" i="61"/>
  <c r="D28" i="61" s="1"/>
  <c r="C27" i="61"/>
  <c r="C26" i="61"/>
  <c r="D26" i="61" s="1"/>
  <c r="F29" i="61"/>
  <c r="D29" i="61"/>
  <c r="F28" i="61"/>
  <c r="F27" i="61"/>
  <c r="D27" i="61"/>
  <c r="F26" i="61"/>
  <c r="F3" i="61"/>
  <c r="F4" i="61"/>
  <c r="F5" i="61"/>
  <c r="F2" i="6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3" i="26"/>
  <c r="F2" i="26"/>
  <c r="D3" i="61"/>
  <c r="D4" i="61"/>
  <c r="H4" i="61" s="1"/>
  <c r="D5" i="61"/>
  <c r="H5" i="61" s="1"/>
  <c r="D2" i="61"/>
  <c r="C37" i="60"/>
  <c r="C36" i="60"/>
  <c r="C35" i="60"/>
  <c r="C34" i="60"/>
  <c r="C33" i="60"/>
  <c r="C32" i="60"/>
  <c r="C31" i="60"/>
  <c r="C30" i="60"/>
  <c r="C29" i="60"/>
  <c r="C28" i="60"/>
  <c r="F11" i="60"/>
  <c r="D37" i="60" s="1"/>
  <c r="E37" i="60" s="1"/>
  <c r="F10" i="60"/>
  <c r="D36" i="60" s="1"/>
  <c r="E36" i="60" s="1"/>
  <c r="F9" i="60"/>
  <c r="D35" i="60" s="1"/>
  <c r="E35" i="60" s="1"/>
  <c r="F8" i="60"/>
  <c r="D34" i="60" s="1"/>
  <c r="E34" i="60" s="1"/>
  <c r="F7" i="60"/>
  <c r="D33" i="60" s="1"/>
  <c r="E33" i="60" s="1"/>
  <c r="F6" i="60"/>
  <c r="D32" i="60" s="1"/>
  <c r="E32" i="60" s="1"/>
  <c r="F5" i="60"/>
  <c r="D31" i="60" s="1"/>
  <c r="E31" i="60" s="1"/>
  <c r="F4" i="60"/>
  <c r="D30" i="60" s="1"/>
  <c r="E30" i="60" s="1"/>
  <c r="F3" i="60"/>
  <c r="D29" i="60" s="1"/>
  <c r="E29" i="60" s="1"/>
  <c r="F2" i="60"/>
  <c r="D28" i="60" s="1"/>
  <c r="E28" i="60" s="1"/>
  <c r="C44" i="58"/>
  <c r="C43" i="58"/>
  <c r="C42" i="58"/>
  <c r="C41" i="58"/>
  <c r="C40" i="58"/>
  <c r="C39" i="58"/>
  <c r="C38" i="58"/>
  <c r="C37" i="58"/>
  <c r="C36" i="58"/>
  <c r="C35" i="58"/>
  <c r="C34" i="58"/>
  <c r="C33" i="58"/>
  <c r="C32" i="58"/>
  <c r="C31" i="58"/>
  <c r="C30" i="58"/>
  <c r="C29" i="58"/>
  <c r="C28" i="58"/>
  <c r="C27" i="58"/>
  <c r="G17" i="58"/>
  <c r="D42" i="58" s="1"/>
  <c r="E42" i="58" s="1"/>
  <c r="G16" i="58"/>
  <c r="D41" i="58" s="1"/>
  <c r="E41" i="58" s="1"/>
  <c r="G15" i="58"/>
  <c r="D40" i="58" s="1"/>
  <c r="E40" i="58" s="1"/>
  <c r="G14" i="58"/>
  <c r="D39" i="58" s="1"/>
  <c r="E39" i="58" s="1"/>
  <c r="G13" i="58"/>
  <c r="D38" i="58" s="1"/>
  <c r="E38" i="58" s="1"/>
  <c r="G12" i="58"/>
  <c r="D37" i="58" s="1"/>
  <c r="E37" i="58" s="1"/>
  <c r="G9" i="58"/>
  <c r="D34" i="58" s="1"/>
  <c r="E34" i="58" s="1"/>
  <c r="G8" i="58"/>
  <c r="D33" i="58" s="1"/>
  <c r="E33" i="58" s="1"/>
  <c r="G7" i="58"/>
  <c r="D32" i="58" s="1"/>
  <c r="E32" i="58" s="1"/>
  <c r="G6" i="58"/>
  <c r="D31" i="58" s="1"/>
  <c r="E31" i="58" s="1"/>
  <c r="G5" i="58"/>
  <c r="D30" i="58" s="1"/>
  <c r="E30" i="58" s="1"/>
  <c r="G4" i="58"/>
  <c r="D29" i="58" s="1"/>
  <c r="E29" i="58" s="1"/>
  <c r="C27" i="57"/>
  <c r="C26" i="57"/>
  <c r="C25" i="57"/>
  <c r="C24" i="57"/>
  <c r="C23" i="57"/>
  <c r="C22" i="57"/>
  <c r="C21" i="57"/>
  <c r="C20" i="57"/>
  <c r="C19" i="57"/>
  <c r="C18" i="57"/>
  <c r="F11" i="57"/>
  <c r="D27" i="57" s="1"/>
  <c r="E27" i="57" s="1"/>
  <c r="F10" i="57"/>
  <c r="D26" i="57" s="1"/>
  <c r="E26" i="57" s="1"/>
  <c r="F9" i="57"/>
  <c r="D25" i="57" s="1"/>
  <c r="E25" i="57" s="1"/>
  <c r="F8" i="57"/>
  <c r="D24" i="57" s="1"/>
  <c r="E24" i="57" s="1"/>
  <c r="F7" i="57"/>
  <c r="D23" i="57" s="1"/>
  <c r="E23" i="57" s="1"/>
  <c r="F6" i="57"/>
  <c r="D22" i="57" s="1"/>
  <c r="E22" i="57" s="1"/>
  <c r="F5" i="57"/>
  <c r="D21" i="57" s="1"/>
  <c r="E21" i="57" s="1"/>
  <c r="F4" i="57"/>
  <c r="D20" i="57" s="1"/>
  <c r="E20" i="57" s="1"/>
  <c r="F3" i="57"/>
  <c r="D19" i="57" s="1"/>
  <c r="E19" i="57" s="1"/>
  <c r="F2" i="57"/>
  <c r="D18" i="57" s="1"/>
  <c r="E18" i="57" s="1"/>
  <c r="B52" i="56" a="1"/>
  <c r="B52" i="56" s="1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6" i="56"/>
  <c r="C35" i="56"/>
  <c r="C34" i="56"/>
  <c r="C33" i="56"/>
  <c r="C32" i="56"/>
  <c r="C31" i="56"/>
  <c r="C30" i="56"/>
  <c r="F21" i="56"/>
  <c r="D49" i="56" s="1"/>
  <c r="E49" i="56" s="1"/>
  <c r="F20" i="56"/>
  <c r="D48" i="56" s="1"/>
  <c r="E48" i="56" s="1"/>
  <c r="F19" i="56"/>
  <c r="D47" i="56" s="1"/>
  <c r="E47" i="56" s="1"/>
  <c r="F18" i="56"/>
  <c r="D46" i="56" s="1"/>
  <c r="E46" i="56" s="1"/>
  <c r="F17" i="56"/>
  <c r="D45" i="56" s="1"/>
  <c r="E45" i="56" s="1"/>
  <c r="F16" i="56"/>
  <c r="D44" i="56" s="1"/>
  <c r="E44" i="56" s="1"/>
  <c r="F15" i="56"/>
  <c r="D43" i="56" s="1"/>
  <c r="E43" i="56" s="1"/>
  <c r="F14" i="56"/>
  <c r="D42" i="56" s="1"/>
  <c r="E42" i="56" s="1"/>
  <c r="F13" i="56"/>
  <c r="D41" i="56" s="1"/>
  <c r="E41" i="56" s="1"/>
  <c r="F12" i="56"/>
  <c r="D40" i="56" s="1"/>
  <c r="E40" i="56" s="1"/>
  <c r="F11" i="56"/>
  <c r="D39" i="56" s="1"/>
  <c r="E39" i="56" s="1"/>
  <c r="F10" i="56"/>
  <c r="D38" i="56" s="1"/>
  <c r="E38" i="56" s="1"/>
  <c r="F9" i="56"/>
  <c r="D37" i="56" s="1"/>
  <c r="E37" i="56" s="1"/>
  <c r="F8" i="56"/>
  <c r="D36" i="56" s="1"/>
  <c r="E36" i="56" s="1"/>
  <c r="F7" i="56"/>
  <c r="D35" i="56" s="1"/>
  <c r="E35" i="56" s="1"/>
  <c r="F6" i="56"/>
  <c r="D34" i="56" s="1"/>
  <c r="E34" i="56" s="1"/>
  <c r="F5" i="56"/>
  <c r="D33" i="56" s="1"/>
  <c r="E33" i="56" s="1"/>
  <c r="F4" i="56"/>
  <c r="D32" i="56" s="1"/>
  <c r="E32" i="56" s="1"/>
  <c r="F3" i="56"/>
  <c r="D31" i="56" s="1"/>
  <c r="E31" i="56" s="1"/>
  <c r="F2" i="56"/>
  <c r="D30" i="56" s="1"/>
  <c r="B62" i="55" a="1"/>
  <c r="B62" i="55" s="1"/>
  <c r="C59" i="55"/>
  <c r="C58" i="55"/>
  <c r="C57" i="55"/>
  <c r="C56" i="55"/>
  <c r="C55" i="55"/>
  <c r="C54" i="55"/>
  <c r="C53" i="55"/>
  <c r="C52" i="55"/>
  <c r="C51" i="55"/>
  <c r="C50" i="55"/>
  <c r="C49" i="55"/>
  <c r="C48" i="55"/>
  <c r="C47" i="55"/>
  <c r="C46" i="55"/>
  <c r="C45" i="55"/>
  <c r="C44" i="55"/>
  <c r="C43" i="55"/>
  <c r="C42" i="55"/>
  <c r="C41" i="55"/>
  <c r="C40" i="55"/>
  <c r="C39" i="55"/>
  <c r="C38" i="55"/>
  <c r="C37" i="55"/>
  <c r="C36" i="55"/>
  <c r="C35" i="55"/>
  <c r="C34" i="55"/>
  <c r="F27" i="55"/>
  <c r="D59" i="55" s="1"/>
  <c r="E59" i="55" s="1"/>
  <c r="F26" i="55"/>
  <c r="D58" i="55" s="1"/>
  <c r="E58" i="55" s="1"/>
  <c r="F25" i="55"/>
  <c r="D57" i="55" s="1"/>
  <c r="E57" i="55" s="1"/>
  <c r="F24" i="55"/>
  <c r="D56" i="55" s="1"/>
  <c r="E56" i="55" s="1"/>
  <c r="F23" i="55"/>
  <c r="D55" i="55" s="1"/>
  <c r="E55" i="55" s="1"/>
  <c r="F22" i="55"/>
  <c r="D54" i="55" s="1"/>
  <c r="E54" i="55" s="1"/>
  <c r="F21" i="55"/>
  <c r="D53" i="55" s="1"/>
  <c r="E53" i="55" s="1"/>
  <c r="F20" i="55"/>
  <c r="D52" i="55" s="1"/>
  <c r="E52" i="55" s="1"/>
  <c r="F19" i="55"/>
  <c r="D51" i="55" s="1"/>
  <c r="E51" i="55" s="1"/>
  <c r="F18" i="55"/>
  <c r="D50" i="55" s="1"/>
  <c r="E50" i="55" s="1"/>
  <c r="F17" i="55"/>
  <c r="D49" i="55" s="1"/>
  <c r="E49" i="55" s="1"/>
  <c r="F16" i="55"/>
  <c r="D48" i="55" s="1"/>
  <c r="E48" i="55" s="1"/>
  <c r="F15" i="55"/>
  <c r="D47" i="55" s="1"/>
  <c r="E47" i="55" s="1"/>
  <c r="F14" i="55"/>
  <c r="D46" i="55" s="1"/>
  <c r="E46" i="55" s="1"/>
  <c r="F13" i="55"/>
  <c r="D45" i="55" s="1"/>
  <c r="E45" i="55" s="1"/>
  <c r="F12" i="55"/>
  <c r="D44" i="55" s="1"/>
  <c r="E44" i="55" s="1"/>
  <c r="F11" i="55"/>
  <c r="D43" i="55" s="1"/>
  <c r="E43" i="55" s="1"/>
  <c r="F10" i="55"/>
  <c r="D42" i="55" s="1"/>
  <c r="E42" i="55" s="1"/>
  <c r="F9" i="55"/>
  <c r="D41" i="55" s="1"/>
  <c r="E41" i="55" s="1"/>
  <c r="F8" i="55"/>
  <c r="D40" i="55" s="1"/>
  <c r="E40" i="55" s="1"/>
  <c r="F7" i="55"/>
  <c r="D39" i="55" s="1"/>
  <c r="E39" i="55" s="1"/>
  <c r="F6" i="55"/>
  <c r="D38" i="55" s="1"/>
  <c r="E38" i="55" s="1"/>
  <c r="F5" i="55"/>
  <c r="D37" i="55" s="1"/>
  <c r="E37" i="55" s="1"/>
  <c r="F4" i="55"/>
  <c r="D36" i="55" s="1"/>
  <c r="E36" i="55" s="1"/>
  <c r="F3" i="55"/>
  <c r="D35" i="55" s="1"/>
  <c r="E35" i="55" s="1"/>
  <c r="F2" i="55"/>
  <c r="D34" i="55" s="1"/>
  <c r="E34" i="55" s="1"/>
  <c r="C59" i="54"/>
  <c r="C58" i="54"/>
  <c r="C57" i="54"/>
  <c r="C56" i="54"/>
  <c r="C55" i="54"/>
  <c r="C54" i="54"/>
  <c r="C53" i="54"/>
  <c r="C52" i="54"/>
  <c r="C51" i="54"/>
  <c r="C50" i="54"/>
  <c r="C49" i="54"/>
  <c r="C48" i="54"/>
  <c r="C47" i="54"/>
  <c r="C46" i="54"/>
  <c r="C45" i="54"/>
  <c r="C44" i="54"/>
  <c r="C43" i="54"/>
  <c r="C42" i="54"/>
  <c r="C41" i="54"/>
  <c r="C40" i="54"/>
  <c r="C39" i="54"/>
  <c r="C38" i="54"/>
  <c r="C37" i="54"/>
  <c r="C36" i="54"/>
  <c r="C35" i="54"/>
  <c r="C34" i="54"/>
  <c r="F27" i="54"/>
  <c r="D59" i="54" s="1"/>
  <c r="E59" i="54" s="1"/>
  <c r="F26" i="54"/>
  <c r="D58" i="54" s="1"/>
  <c r="E58" i="54" s="1"/>
  <c r="F25" i="54"/>
  <c r="D57" i="54" s="1"/>
  <c r="E57" i="54" s="1"/>
  <c r="F24" i="54"/>
  <c r="D56" i="54" s="1"/>
  <c r="E56" i="54" s="1"/>
  <c r="F23" i="54"/>
  <c r="D55" i="54" s="1"/>
  <c r="E55" i="54" s="1"/>
  <c r="F22" i="54"/>
  <c r="D54" i="54" s="1"/>
  <c r="E54" i="54" s="1"/>
  <c r="F21" i="54"/>
  <c r="D53" i="54" s="1"/>
  <c r="E53" i="54" s="1"/>
  <c r="F20" i="54"/>
  <c r="D52" i="54" s="1"/>
  <c r="E52" i="54" s="1"/>
  <c r="F19" i="54"/>
  <c r="D51" i="54" s="1"/>
  <c r="E51" i="54" s="1"/>
  <c r="F18" i="54"/>
  <c r="D50" i="54" s="1"/>
  <c r="E50" i="54" s="1"/>
  <c r="F17" i="54"/>
  <c r="D49" i="54" s="1"/>
  <c r="E49" i="54" s="1"/>
  <c r="F16" i="54"/>
  <c r="D48" i="54" s="1"/>
  <c r="E48" i="54" s="1"/>
  <c r="F15" i="54"/>
  <c r="D47" i="54" s="1"/>
  <c r="E47" i="54" s="1"/>
  <c r="F14" i="54"/>
  <c r="D46" i="54" s="1"/>
  <c r="E46" i="54" s="1"/>
  <c r="F13" i="54"/>
  <c r="D45" i="54" s="1"/>
  <c r="E45" i="54" s="1"/>
  <c r="F12" i="54"/>
  <c r="D44" i="54" s="1"/>
  <c r="E44" i="54" s="1"/>
  <c r="F11" i="54"/>
  <c r="D43" i="54" s="1"/>
  <c r="E43" i="54" s="1"/>
  <c r="F10" i="54"/>
  <c r="D42" i="54" s="1"/>
  <c r="E42" i="54" s="1"/>
  <c r="F9" i="54"/>
  <c r="D41" i="54" s="1"/>
  <c r="E41" i="54" s="1"/>
  <c r="F8" i="54"/>
  <c r="D40" i="54" s="1"/>
  <c r="E40" i="54" s="1"/>
  <c r="F7" i="54"/>
  <c r="D39" i="54" s="1"/>
  <c r="E39" i="54" s="1"/>
  <c r="F6" i="54"/>
  <c r="D38" i="54" s="1"/>
  <c r="E38" i="54" s="1"/>
  <c r="F5" i="54"/>
  <c r="D37" i="54" s="1"/>
  <c r="E37" i="54" s="1"/>
  <c r="F4" i="54"/>
  <c r="D36" i="54" s="1"/>
  <c r="E36" i="54" s="1"/>
  <c r="F3" i="54"/>
  <c r="D35" i="54" s="1"/>
  <c r="E35" i="54" s="1"/>
  <c r="F2" i="54"/>
  <c r="D34" i="54" s="1"/>
  <c r="E34" i="54" s="1"/>
  <c r="C32" i="51"/>
  <c r="C33" i="51"/>
  <c r="C34" i="51"/>
  <c r="C35" i="51"/>
  <c r="C36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F21" i="51"/>
  <c r="D51" i="51" s="1"/>
  <c r="E51" i="51" s="1"/>
  <c r="F20" i="51"/>
  <c r="D50" i="51" s="1"/>
  <c r="E50" i="51" s="1"/>
  <c r="F19" i="51"/>
  <c r="D49" i="51" s="1"/>
  <c r="E49" i="51" s="1"/>
  <c r="F18" i="51"/>
  <c r="D48" i="51" s="1"/>
  <c r="E48" i="51" s="1"/>
  <c r="F17" i="51"/>
  <c r="D47" i="51" s="1"/>
  <c r="E47" i="51" s="1"/>
  <c r="F16" i="51"/>
  <c r="D46" i="51" s="1"/>
  <c r="E46" i="51" s="1"/>
  <c r="F15" i="51"/>
  <c r="D45" i="51" s="1"/>
  <c r="E45" i="51" s="1"/>
  <c r="F14" i="51"/>
  <c r="D44" i="51" s="1"/>
  <c r="E44" i="51" s="1"/>
  <c r="F13" i="51"/>
  <c r="D43" i="51" s="1"/>
  <c r="E43" i="51" s="1"/>
  <c r="F12" i="51"/>
  <c r="D42" i="51" s="1"/>
  <c r="E42" i="51" s="1"/>
  <c r="F11" i="51"/>
  <c r="D41" i="51" s="1"/>
  <c r="E41" i="51" s="1"/>
  <c r="F10" i="51"/>
  <c r="D40" i="51" s="1"/>
  <c r="E40" i="51" s="1"/>
  <c r="F9" i="51"/>
  <c r="D39" i="51" s="1"/>
  <c r="E39" i="51" s="1"/>
  <c r="F8" i="51"/>
  <c r="D38" i="51" s="1"/>
  <c r="E38" i="51" s="1"/>
  <c r="F7" i="51"/>
  <c r="D37" i="51" s="1"/>
  <c r="E37" i="51" s="1"/>
  <c r="F6" i="51"/>
  <c r="D36" i="51" s="1"/>
  <c r="E36" i="51" s="1"/>
  <c r="F5" i="51"/>
  <c r="D35" i="51" s="1"/>
  <c r="E35" i="51" s="1"/>
  <c r="F4" i="51"/>
  <c r="D34" i="51" s="1"/>
  <c r="E34" i="51" s="1"/>
  <c r="F3" i="51"/>
  <c r="D33" i="51" s="1"/>
  <c r="E33" i="51" s="1"/>
  <c r="F2" i="51"/>
  <c r="D32" i="51" s="1"/>
  <c r="E32" i="51" s="1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4" i="50"/>
  <c r="C45" i="50"/>
  <c r="F17" i="50"/>
  <c r="D45" i="50" s="1"/>
  <c r="E45" i="50" s="1"/>
  <c r="F16" i="50"/>
  <c r="D44" i="50" s="1"/>
  <c r="E44" i="50" s="1"/>
  <c r="F15" i="50"/>
  <c r="D43" i="50" s="1"/>
  <c r="E43" i="50" s="1"/>
  <c r="F14" i="50"/>
  <c r="D42" i="50" s="1"/>
  <c r="E42" i="50" s="1"/>
  <c r="F13" i="50"/>
  <c r="D41" i="50" s="1"/>
  <c r="E41" i="50" s="1"/>
  <c r="F12" i="50"/>
  <c r="D40" i="50" s="1"/>
  <c r="E40" i="50" s="1"/>
  <c r="F11" i="50"/>
  <c r="D39" i="50" s="1"/>
  <c r="E39" i="50" s="1"/>
  <c r="F10" i="50"/>
  <c r="D38" i="50" s="1"/>
  <c r="E38" i="50" s="1"/>
  <c r="F9" i="50"/>
  <c r="D37" i="50" s="1"/>
  <c r="E37" i="50" s="1"/>
  <c r="F8" i="50"/>
  <c r="D36" i="50" s="1"/>
  <c r="E36" i="50" s="1"/>
  <c r="F7" i="50"/>
  <c r="D35" i="50" s="1"/>
  <c r="E35" i="50" s="1"/>
  <c r="F6" i="50"/>
  <c r="D34" i="50" s="1"/>
  <c r="E34" i="50" s="1"/>
  <c r="F5" i="50"/>
  <c r="D33" i="50" s="1"/>
  <c r="E33" i="50" s="1"/>
  <c r="F4" i="50"/>
  <c r="D32" i="50" s="1"/>
  <c r="E32" i="50" s="1"/>
  <c r="F3" i="50"/>
  <c r="D31" i="50" s="1"/>
  <c r="E31" i="50" s="1"/>
  <c r="F2" i="50"/>
  <c r="D30" i="50" s="1"/>
  <c r="E30" i="50" s="1"/>
  <c r="C75" i="48"/>
  <c r="C74" i="48"/>
  <c r="C73" i="48"/>
  <c r="C72" i="48"/>
  <c r="C71" i="48"/>
  <c r="C70" i="48"/>
  <c r="C69" i="48"/>
  <c r="C68" i="48"/>
  <c r="C67" i="48"/>
  <c r="C66" i="48"/>
  <c r="F33" i="48"/>
  <c r="D75" i="48" s="1"/>
  <c r="E75" i="48" s="1"/>
  <c r="F32" i="48"/>
  <c r="D74" i="48" s="1"/>
  <c r="E74" i="48" s="1"/>
  <c r="F31" i="48"/>
  <c r="D73" i="48" s="1"/>
  <c r="E73" i="48" s="1"/>
  <c r="F30" i="48"/>
  <c r="D72" i="48" s="1"/>
  <c r="E72" i="48" s="1"/>
  <c r="F29" i="48"/>
  <c r="D71" i="48" s="1"/>
  <c r="E71" i="48" s="1"/>
  <c r="F28" i="48"/>
  <c r="D70" i="48" s="1"/>
  <c r="E70" i="48" s="1"/>
  <c r="F27" i="48"/>
  <c r="D69" i="48" s="1"/>
  <c r="E69" i="48" s="1"/>
  <c r="F26" i="48"/>
  <c r="D68" i="48" s="1"/>
  <c r="E68" i="48" s="1"/>
  <c r="F25" i="48"/>
  <c r="D67" i="48" s="1"/>
  <c r="E67" i="48" s="1"/>
  <c r="F24" i="48"/>
  <c r="D66" i="48" s="1"/>
  <c r="E66" i="48" s="1"/>
  <c r="C65" i="48"/>
  <c r="C64" i="48"/>
  <c r="C63" i="48"/>
  <c r="C62" i="48"/>
  <c r="C61" i="48"/>
  <c r="C60" i="48"/>
  <c r="C59" i="48"/>
  <c r="C58" i="48"/>
  <c r="C57" i="48"/>
  <c r="C56" i="48"/>
  <c r="C55" i="48"/>
  <c r="C54" i="48"/>
  <c r="C53" i="48"/>
  <c r="C52" i="48"/>
  <c r="C51" i="48"/>
  <c r="C50" i="48"/>
  <c r="C49" i="48"/>
  <c r="C48" i="48"/>
  <c r="C47" i="48"/>
  <c r="C46" i="48"/>
  <c r="C45" i="48"/>
  <c r="C44" i="48"/>
  <c r="F23" i="48"/>
  <c r="D65" i="48" s="1"/>
  <c r="E65" i="48" s="1"/>
  <c r="F22" i="48"/>
  <c r="D64" i="48" s="1"/>
  <c r="E64" i="48" s="1"/>
  <c r="F21" i="48"/>
  <c r="D63" i="48" s="1"/>
  <c r="E63" i="48" s="1"/>
  <c r="F20" i="48"/>
  <c r="D62" i="48" s="1"/>
  <c r="E62" i="48" s="1"/>
  <c r="F19" i="48"/>
  <c r="D61" i="48" s="1"/>
  <c r="E61" i="48" s="1"/>
  <c r="F18" i="48"/>
  <c r="D60" i="48" s="1"/>
  <c r="E60" i="48" s="1"/>
  <c r="F17" i="48"/>
  <c r="D59" i="48" s="1"/>
  <c r="E59" i="48" s="1"/>
  <c r="F16" i="48"/>
  <c r="D58" i="48" s="1"/>
  <c r="E58" i="48" s="1"/>
  <c r="F15" i="48"/>
  <c r="D57" i="48" s="1"/>
  <c r="E57" i="48" s="1"/>
  <c r="F14" i="48"/>
  <c r="D56" i="48" s="1"/>
  <c r="E56" i="48" s="1"/>
  <c r="F13" i="48"/>
  <c r="D55" i="48" s="1"/>
  <c r="E55" i="48" s="1"/>
  <c r="F12" i="48"/>
  <c r="D54" i="48" s="1"/>
  <c r="E54" i="48" s="1"/>
  <c r="F11" i="48"/>
  <c r="D53" i="48" s="1"/>
  <c r="E53" i="48" s="1"/>
  <c r="F10" i="48"/>
  <c r="D52" i="48" s="1"/>
  <c r="E52" i="48" s="1"/>
  <c r="F9" i="48"/>
  <c r="D51" i="48" s="1"/>
  <c r="E51" i="48" s="1"/>
  <c r="F8" i="48"/>
  <c r="D50" i="48" s="1"/>
  <c r="E50" i="48" s="1"/>
  <c r="F7" i="48"/>
  <c r="D49" i="48" s="1"/>
  <c r="E49" i="48" s="1"/>
  <c r="F6" i="48"/>
  <c r="D48" i="48" s="1"/>
  <c r="E48" i="48" s="1"/>
  <c r="F5" i="48"/>
  <c r="D47" i="48" s="1"/>
  <c r="E47" i="48" s="1"/>
  <c r="F4" i="48"/>
  <c r="D46" i="48" s="1"/>
  <c r="E46" i="48" s="1"/>
  <c r="F3" i="48"/>
  <c r="D45" i="48" s="1"/>
  <c r="E45" i="48" s="1"/>
  <c r="F2" i="48"/>
  <c r="D44" i="48" s="1"/>
  <c r="E44" i="48" s="1"/>
  <c r="G12" i="47"/>
  <c r="G10" i="47"/>
  <c r="E32" i="47" s="1"/>
  <c r="G8" i="47"/>
  <c r="G6" i="47"/>
  <c r="G4" i="47"/>
  <c r="E26" i="47" s="1"/>
  <c r="G2" i="47"/>
  <c r="E35" i="47"/>
  <c r="E29" i="47"/>
  <c r="E3" i="47"/>
  <c r="E25" i="47" s="1"/>
  <c r="E34" i="47"/>
  <c r="E31" i="47"/>
  <c r="E30" i="47"/>
  <c r="E28" i="47"/>
  <c r="E27" i="47"/>
  <c r="D66" i="36"/>
  <c r="D68" i="36"/>
  <c r="D70" i="36"/>
  <c r="D72" i="36"/>
  <c r="D74" i="36"/>
  <c r="D76" i="36"/>
  <c r="D78" i="36"/>
  <c r="D80" i="36"/>
  <c r="D82" i="36"/>
  <c r="D84" i="36"/>
  <c r="D86" i="36"/>
  <c r="D88" i="36"/>
  <c r="D90" i="36"/>
  <c r="D92" i="36"/>
  <c r="D94" i="36"/>
  <c r="D96" i="36"/>
  <c r="D98" i="36"/>
  <c r="D100" i="36"/>
  <c r="D102" i="36"/>
  <c r="D104" i="36"/>
  <c r="D106" i="36"/>
  <c r="D108" i="36"/>
  <c r="D110" i="36"/>
  <c r="D112" i="36"/>
  <c r="D11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E108" i="36"/>
  <c r="F42" i="36"/>
  <c r="D103" i="36" s="1"/>
  <c r="F26" i="36"/>
  <c r="D87" i="36" s="1"/>
  <c r="F3" i="36"/>
  <c r="D64" i="36" s="1"/>
  <c r="E64" i="36" s="1"/>
  <c r="F5" i="36"/>
  <c r="E66" i="36" s="1"/>
  <c r="F7" i="36"/>
  <c r="E68" i="36" s="1"/>
  <c r="F9" i="36"/>
  <c r="E70" i="36" s="1"/>
  <c r="F11" i="36"/>
  <c r="F13" i="36"/>
  <c r="E74" i="36" s="1"/>
  <c r="F15" i="36"/>
  <c r="E76" i="36" s="1"/>
  <c r="F17" i="36"/>
  <c r="E78" i="36" s="1"/>
  <c r="F19" i="36"/>
  <c r="F21" i="36"/>
  <c r="E82" i="36" s="1"/>
  <c r="F23" i="36"/>
  <c r="E84" i="36" s="1"/>
  <c r="F25" i="36"/>
  <c r="E86" i="36" s="1"/>
  <c r="F27" i="36"/>
  <c r="F29" i="36"/>
  <c r="E90" i="36" s="1"/>
  <c r="F31" i="36"/>
  <c r="E92" i="36" s="1"/>
  <c r="F33" i="36"/>
  <c r="E94" i="36" s="1"/>
  <c r="F35" i="36"/>
  <c r="F37" i="36"/>
  <c r="E98" i="36" s="1"/>
  <c r="F39" i="36"/>
  <c r="E100" i="36" s="1"/>
  <c r="F41" i="36"/>
  <c r="E102" i="36" s="1"/>
  <c r="F43" i="36"/>
  <c r="F45" i="36"/>
  <c r="E106" i="36" s="1"/>
  <c r="F47" i="36"/>
  <c r="F49" i="36"/>
  <c r="E110" i="36" s="1"/>
  <c r="F51" i="36"/>
  <c r="F53" i="36"/>
  <c r="E114" i="36" s="1"/>
  <c r="C52" i="36"/>
  <c r="F52" i="36" s="1"/>
  <c r="C50" i="36"/>
  <c r="F50" i="36" s="1"/>
  <c r="D111" i="36" s="1"/>
  <c r="C48" i="36"/>
  <c r="F48" i="36" s="1"/>
  <c r="C46" i="36"/>
  <c r="C44" i="36"/>
  <c r="C42" i="36"/>
  <c r="C40" i="36"/>
  <c r="F40" i="36" s="1"/>
  <c r="C38" i="36"/>
  <c r="C36" i="36"/>
  <c r="F36" i="36" s="1"/>
  <c r="C34" i="36"/>
  <c r="F34" i="36" s="1"/>
  <c r="D95" i="36" s="1"/>
  <c r="C32" i="36"/>
  <c r="F32" i="36" s="1"/>
  <c r="C30" i="36"/>
  <c r="C28" i="36"/>
  <c r="C26" i="36"/>
  <c r="C24" i="36"/>
  <c r="F24" i="36" s="1"/>
  <c r="D85" i="36" s="1"/>
  <c r="C22" i="36"/>
  <c r="C20" i="36"/>
  <c r="F20" i="36" s="1"/>
  <c r="C18" i="36"/>
  <c r="F18" i="36" s="1"/>
  <c r="D79" i="36" s="1"/>
  <c r="C16" i="36"/>
  <c r="F16" i="36" s="1"/>
  <c r="C14" i="36"/>
  <c r="C12" i="36"/>
  <c r="C10" i="36"/>
  <c r="C8" i="36"/>
  <c r="C6" i="36"/>
  <c r="C4" i="36"/>
  <c r="F4" i="36" s="1"/>
  <c r="C2" i="36"/>
  <c r="F3" i="37"/>
  <c r="H3" i="37" s="1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C4" i="37"/>
  <c r="C5" i="37"/>
  <c r="C6" i="37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3" i="37"/>
  <c r="C64" i="36"/>
  <c r="C63" i="36"/>
  <c r="E30" i="73" l="1"/>
  <c r="D19" i="66"/>
  <c r="F19" i="66" s="1"/>
  <c r="D17" i="66"/>
  <c r="F17" i="66" s="1"/>
  <c r="D24" i="66"/>
  <c r="F24" i="66" s="1"/>
  <c r="D23" i="66"/>
  <c r="F23" i="66" s="1"/>
  <c r="D22" i="66"/>
  <c r="F22" i="66" s="1"/>
  <c r="D18" i="66"/>
  <c r="F18" i="66" s="1"/>
  <c r="D16" i="66"/>
  <c r="F16" i="66" s="1"/>
  <c r="D21" i="66"/>
  <c r="F21" i="66" s="1"/>
  <c r="F6" i="72"/>
  <c r="F5" i="72"/>
  <c r="F4" i="72"/>
  <c r="H16" i="72"/>
  <c r="H15" i="72"/>
  <c r="H14" i="72"/>
  <c r="H13" i="72"/>
  <c r="H12" i="72"/>
  <c r="H53" i="61"/>
  <c r="E22" i="96"/>
  <c r="B35" i="96" s="1" a="1"/>
  <c r="B35" i="96" s="1"/>
  <c r="B75" i="92" a="1"/>
  <c r="B75" i="92" s="1"/>
  <c r="E35" i="90"/>
  <c r="B59" i="90" a="1"/>
  <c r="B59" i="90" s="1"/>
  <c r="B42" i="83" a="1"/>
  <c r="B42" i="83" s="1"/>
  <c r="E17" i="79"/>
  <c r="C16" i="79"/>
  <c r="E16" i="79" s="1"/>
  <c r="E36" i="79"/>
  <c r="E53" i="79"/>
  <c r="E54" i="79"/>
  <c r="C35" i="79"/>
  <c r="E35" i="79" s="1"/>
  <c r="E53" i="78"/>
  <c r="E54" i="78"/>
  <c r="E17" i="78"/>
  <c r="E36" i="78"/>
  <c r="F10" i="74"/>
  <c r="F11" i="74"/>
  <c r="E32" i="73"/>
  <c r="E38" i="73"/>
  <c r="E36" i="73"/>
  <c r="E40" i="73"/>
  <c r="E34" i="73"/>
  <c r="D113" i="36"/>
  <c r="E113" i="36" s="1"/>
  <c r="D97" i="36"/>
  <c r="E97" i="36" s="1"/>
  <c r="D81" i="36"/>
  <c r="E81" i="36" s="1"/>
  <c r="D65" i="36"/>
  <c r="E65" i="36" s="1"/>
  <c r="F14" i="36"/>
  <c r="F30" i="36"/>
  <c r="F46" i="36"/>
  <c r="D109" i="36"/>
  <c r="E109" i="36" s="1"/>
  <c r="D101" i="36"/>
  <c r="E101" i="36" s="1"/>
  <c r="D93" i="36"/>
  <c r="E93" i="36" s="1"/>
  <c r="D77" i="36"/>
  <c r="E77" i="36" s="1"/>
  <c r="G52" i="63"/>
  <c r="G28" i="63"/>
  <c r="B47" i="58" a="1"/>
  <c r="B47" i="58" s="1"/>
  <c r="G50" i="63"/>
  <c r="G27" i="63"/>
  <c r="G3" i="63"/>
  <c r="G4" i="63"/>
  <c r="G26" i="62"/>
  <c r="G28" i="62"/>
  <c r="G3" i="62"/>
  <c r="G27" i="62"/>
  <c r="G4" i="62"/>
  <c r="H28" i="61"/>
  <c r="H27" i="61"/>
  <c r="H29" i="61"/>
  <c r="H26" i="61"/>
  <c r="H3" i="61"/>
  <c r="H2" i="61"/>
  <c r="B30" i="57" a="1"/>
  <c r="B30" i="57" s="1"/>
  <c r="B62" i="54" a="1"/>
  <c r="B62" i="54" s="1"/>
  <c r="E30" i="56"/>
  <c r="B50" i="50" a="1"/>
  <c r="B50" i="50" s="1"/>
  <c r="B54" i="51" a="1"/>
  <c r="B54" i="51" s="1"/>
  <c r="B78" i="48" a="1"/>
  <c r="B78" i="48" s="1"/>
  <c r="B38" i="47" a="1"/>
  <c r="B38" i="47" s="1"/>
  <c r="E24" i="47"/>
  <c r="E104" i="36"/>
  <c r="E88" i="36"/>
  <c r="E72" i="36"/>
  <c r="E79" i="36"/>
  <c r="E95" i="36"/>
  <c r="E111" i="36"/>
  <c r="E87" i="36"/>
  <c r="E103" i="36"/>
  <c r="E112" i="36"/>
  <c r="E96" i="36"/>
  <c r="E80" i="36"/>
  <c r="F12" i="36"/>
  <c r="F28" i="36"/>
  <c r="F44" i="36"/>
  <c r="F6" i="36"/>
  <c r="D67" i="36" s="1"/>
  <c r="E67" i="36" s="1"/>
  <c r="F22" i="36"/>
  <c r="F38" i="36"/>
  <c r="E85" i="36"/>
  <c r="F10" i="36"/>
  <c r="F2" i="36"/>
  <c r="D63" i="36" s="1"/>
  <c r="F8" i="36"/>
  <c r="D69" i="36" s="1"/>
  <c r="F47" i="97" l="1"/>
  <c r="G47" i="97" s="1"/>
  <c r="F39" i="97"/>
  <c r="G39" i="97" s="1"/>
  <c r="F43" i="97"/>
  <c r="G43" i="97" s="1"/>
  <c r="F50" i="97"/>
  <c r="G50" i="97" s="1"/>
  <c r="F42" i="97"/>
  <c r="G42" i="97" s="1"/>
  <c r="F45" i="97"/>
  <c r="G45" i="97" s="1"/>
  <c r="F48" i="97"/>
  <c r="G48" i="97" s="1"/>
  <c r="F40" i="97"/>
  <c r="G40" i="97" s="1"/>
  <c r="F46" i="97"/>
  <c r="G46" i="97" s="1"/>
  <c r="F49" i="97"/>
  <c r="G49" i="97" s="1"/>
  <c r="F41" i="97"/>
  <c r="G41" i="97" s="1"/>
  <c r="F44" i="97"/>
  <c r="G44" i="97" s="1"/>
  <c r="F67" i="97"/>
  <c r="G67" i="97" s="1"/>
  <c r="F59" i="97"/>
  <c r="G59" i="97" s="1"/>
  <c r="F51" i="97"/>
  <c r="G51" i="97" s="1"/>
  <c r="F62" i="97"/>
  <c r="G62" i="97" s="1"/>
  <c r="F54" i="97"/>
  <c r="G54" i="97" s="1"/>
  <c r="F65" i="97"/>
  <c r="G65" i="97" s="1"/>
  <c r="F57" i="97"/>
  <c r="G57" i="97" s="1"/>
  <c r="F64" i="97"/>
  <c r="G64" i="97" s="1"/>
  <c r="F68" i="97"/>
  <c r="G68" i="97" s="1"/>
  <c r="F60" i="97"/>
  <c r="G60" i="97" s="1"/>
  <c r="F52" i="97"/>
  <c r="G52" i="97" s="1"/>
  <c r="F63" i="97"/>
  <c r="G63" i="97" s="1"/>
  <c r="F55" i="97"/>
  <c r="G55" i="97" s="1"/>
  <c r="F66" i="97"/>
  <c r="G66" i="97" s="1"/>
  <c r="F58" i="97"/>
  <c r="G58" i="97" s="1"/>
  <c r="F61" i="97"/>
  <c r="G61" i="97" s="1"/>
  <c r="F53" i="97"/>
  <c r="G53" i="97" s="1"/>
  <c r="F56" i="97"/>
  <c r="G56" i="97" s="1"/>
  <c r="F29" i="96"/>
  <c r="G29" i="96" s="1"/>
  <c r="F21" i="96"/>
  <c r="G21" i="96" s="1"/>
  <c r="F27" i="96"/>
  <c r="G27" i="96" s="1"/>
  <c r="F32" i="96"/>
  <c r="G32" i="96" s="1"/>
  <c r="F30" i="96"/>
  <c r="G30" i="96" s="1"/>
  <c r="F22" i="96"/>
  <c r="G22" i="96" s="1"/>
  <c r="F24" i="96"/>
  <c r="G24" i="96" s="1"/>
  <c r="F25" i="96"/>
  <c r="G25" i="96" s="1"/>
  <c r="F28" i="96"/>
  <c r="G28" i="96" s="1"/>
  <c r="F31" i="96"/>
  <c r="G31" i="96" s="1"/>
  <c r="F23" i="96"/>
  <c r="G23" i="96" s="1"/>
  <c r="F26" i="96"/>
  <c r="G26" i="96" s="1"/>
  <c r="F66" i="92"/>
  <c r="G66" i="92" s="1"/>
  <c r="F71" i="92"/>
  <c r="G71" i="92" s="1"/>
  <c r="F72" i="92"/>
  <c r="G72" i="92" s="1"/>
  <c r="F68" i="92"/>
  <c r="G68" i="92" s="1"/>
  <c r="F65" i="92"/>
  <c r="G65" i="92" s="1"/>
  <c r="F70" i="92"/>
  <c r="G70" i="92" s="1"/>
  <c r="F67" i="92"/>
  <c r="G67" i="92" s="1"/>
  <c r="F69" i="92"/>
  <c r="G69" i="92" s="1"/>
  <c r="F61" i="92"/>
  <c r="G61" i="92" s="1"/>
  <c r="F53" i="92"/>
  <c r="G53" i="92" s="1"/>
  <c r="F45" i="92"/>
  <c r="G45" i="92" s="1"/>
  <c r="F60" i="92"/>
  <c r="G60" i="92" s="1"/>
  <c r="F52" i="92"/>
  <c r="G52" i="92" s="1"/>
  <c r="F44" i="92"/>
  <c r="G44" i="92" s="1"/>
  <c r="F64" i="92"/>
  <c r="G64" i="92" s="1"/>
  <c r="F56" i="92"/>
  <c r="G56" i="92" s="1"/>
  <c r="F48" i="92"/>
  <c r="G48" i="92" s="1"/>
  <c r="F59" i="92"/>
  <c r="G59" i="92" s="1"/>
  <c r="F51" i="92"/>
  <c r="G51" i="92" s="1"/>
  <c r="F43" i="92"/>
  <c r="G43" i="92" s="1"/>
  <c r="F62" i="92"/>
  <c r="G62" i="92" s="1"/>
  <c r="F54" i="92"/>
  <c r="G54" i="92" s="1"/>
  <c r="F46" i="92"/>
  <c r="G46" i="92" s="1"/>
  <c r="F57" i="92"/>
  <c r="G57" i="92" s="1"/>
  <c r="F49" i="92"/>
  <c r="G49" i="92" s="1"/>
  <c r="F41" i="92"/>
  <c r="G41" i="92" s="1"/>
  <c r="F63" i="92"/>
  <c r="G63" i="92" s="1"/>
  <c r="F55" i="92"/>
  <c r="G55" i="92" s="1"/>
  <c r="F47" i="92"/>
  <c r="G47" i="92" s="1"/>
  <c r="F58" i="92"/>
  <c r="G58" i="92" s="1"/>
  <c r="F50" i="92"/>
  <c r="G50" i="92" s="1"/>
  <c r="F42" i="92"/>
  <c r="G42" i="92" s="1"/>
  <c r="F53" i="90"/>
  <c r="G53" i="90" s="1"/>
  <c r="F45" i="90"/>
  <c r="G45" i="90" s="1"/>
  <c r="F37" i="90"/>
  <c r="G37" i="90" s="1"/>
  <c r="F51" i="90"/>
  <c r="G51" i="90" s="1"/>
  <c r="F43" i="90"/>
  <c r="G43" i="90" s="1"/>
  <c r="F35" i="90"/>
  <c r="G35" i="90" s="1"/>
  <c r="F48" i="90"/>
  <c r="G48" i="90" s="1"/>
  <c r="F54" i="90"/>
  <c r="G54" i="90" s="1"/>
  <c r="F46" i="90"/>
  <c r="G46" i="90" s="1"/>
  <c r="F38" i="90"/>
  <c r="G38" i="90" s="1"/>
  <c r="F40" i="90"/>
  <c r="G40" i="90" s="1"/>
  <c r="F49" i="90"/>
  <c r="G49" i="90" s="1"/>
  <c r="F41" i="90"/>
  <c r="G41" i="90" s="1"/>
  <c r="F33" i="90"/>
  <c r="G33" i="90" s="1"/>
  <c r="F52" i="90"/>
  <c r="G52" i="90" s="1"/>
  <c r="F44" i="90"/>
  <c r="G44" i="90" s="1"/>
  <c r="F36" i="90"/>
  <c r="G36" i="90" s="1"/>
  <c r="F55" i="90"/>
  <c r="G55" i="90" s="1"/>
  <c r="F47" i="90"/>
  <c r="G47" i="90" s="1"/>
  <c r="F39" i="90"/>
  <c r="G39" i="90" s="1"/>
  <c r="F50" i="90"/>
  <c r="G50" i="90" s="1"/>
  <c r="F42" i="90"/>
  <c r="G42" i="90" s="1"/>
  <c r="F34" i="90"/>
  <c r="G34" i="90" s="1"/>
  <c r="F56" i="90"/>
  <c r="G56" i="90" s="1"/>
  <c r="F29" i="83"/>
  <c r="G29" i="83" s="1"/>
  <c r="F28" i="83"/>
  <c r="G28" i="83" s="1"/>
  <c r="F47" i="50"/>
  <c r="G47" i="50" s="1"/>
  <c r="F46" i="50"/>
  <c r="G46" i="50" s="1"/>
  <c r="F36" i="83"/>
  <c r="G36" i="83" s="1"/>
  <c r="F30" i="83"/>
  <c r="G30" i="83" s="1"/>
  <c r="F39" i="83"/>
  <c r="G39" i="83" s="1"/>
  <c r="F31" i="83"/>
  <c r="G31" i="83" s="1"/>
  <c r="F33" i="83"/>
  <c r="G33" i="83" s="1"/>
  <c r="F34" i="83"/>
  <c r="G34" i="83" s="1"/>
  <c r="F26" i="83"/>
  <c r="G26" i="83" s="1"/>
  <c r="F37" i="83"/>
  <c r="G37" i="83" s="1"/>
  <c r="F32" i="83"/>
  <c r="G32" i="83" s="1"/>
  <c r="F38" i="83"/>
  <c r="G38" i="83" s="1"/>
  <c r="F35" i="83"/>
  <c r="G35" i="83" s="1"/>
  <c r="F27" i="83"/>
  <c r="G27" i="83" s="1"/>
  <c r="F40" i="60"/>
  <c r="G40" i="60" s="1"/>
  <c r="F39" i="60"/>
  <c r="G39" i="60" s="1"/>
  <c r="F43" i="60"/>
  <c r="G43" i="60" s="1"/>
  <c r="F38" i="60"/>
  <c r="G38" i="60" s="1"/>
  <c r="F41" i="60"/>
  <c r="G41" i="60" s="1"/>
  <c r="F42" i="60"/>
  <c r="G42" i="60" s="1"/>
  <c r="B44" i="73" a="1"/>
  <c r="B44" i="73" s="1"/>
  <c r="D73" i="36"/>
  <c r="E73" i="36" s="1"/>
  <c r="D107" i="36"/>
  <c r="E107" i="36" s="1"/>
  <c r="D89" i="36"/>
  <c r="E89" i="36" s="1"/>
  <c r="D71" i="36"/>
  <c r="D91" i="36"/>
  <c r="E91" i="36" s="1"/>
  <c r="D105" i="36"/>
  <c r="E105" i="36" s="1"/>
  <c r="D75" i="36"/>
  <c r="E75" i="36" s="1"/>
  <c r="D99" i="36"/>
  <c r="E99" i="36" s="1"/>
  <c r="D83" i="36"/>
  <c r="E83" i="36" s="1"/>
  <c r="E63" i="36"/>
  <c r="F36" i="60"/>
  <c r="G36" i="60" s="1"/>
  <c r="F28" i="60"/>
  <c r="G28" i="60" s="1"/>
  <c r="F30" i="60"/>
  <c r="G30" i="60" s="1"/>
  <c r="F31" i="60"/>
  <c r="G31" i="60" s="1"/>
  <c r="F34" i="60"/>
  <c r="G34" i="60" s="1"/>
  <c r="F37" i="60"/>
  <c r="G37" i="60" s="1"/>
  <c r="F32" i="60"/>
  <c r="G32" i="60" s="1"/>
  <c r="F35" i="60"/>
  <c r="G35" i="60" s="1"/>
  <c r="F33" i="60"/>
  <c r="G33" i="60" s="1"/>
  <c r="F29" i="60"/>
  <c r="G29" i="60" s="1"/>
  <c r="F44" i="58"/>
  <c r="G44" i="58" s="1"/>
  <c r="F43" i="58"/>
  <c r="G43" i="58" s="1"/>
  <c r="F41" i="58"/>
  <c r="G41" i="58" s="1"/>
  <c r="F33" i="58"/>
  <c r="G33" i="58" s="1"/>
  <c r="F27" i="58"/>
  <c r="G27" i="58" s="1"/>
  <c r="F36" i="58"/>
  <c r="G36" i="58" s="1"/>
  <c r="F28" i="58"/>
  <c r="G28" i="58" s="1"/>
  <c r="F39" i="58"/>
  <c r="G39" i="58" s="1"/>
  <c r="F31" i="58"/>
  <c r="G31" i="58" s="1"/>
  <c r="F35" i="58"/>
  <c r="G35" i="58" s="1"/>
  <c r="F42" i="58"/>
  <c r="G42" i="58" s="1"/>
  <c r="F34" i="58"/>
  <c r="G34" i="58" s="1"/>
  <c r="F37" i="58"/>
  <c r="G37" i="58" s="1"/>
  <c r="F29" i="58"/>
  <c r="G29" i="58" s="1"/>
  <c r="F40" i="58"/>
  <c r="G40" i="58" s="1"/>
  <c r="F32" i="58"/>
  <c r="G32" i="58" s="1"/>
  <c r="F38" i="58"/>
  <c r="G38" i="58" s="1"/>
  <c r="F30" i="58"/>
  <c r="G30" i="58" s="1"/>
  <c r="F26" i="57"/>
  <c r="G26" i="57" s="1"/>
  <c r="F18" i="57"/>
  <c r="G18" i="57" s="1"/>
  <c r="F21" i="57"/>
  <c r="G21" i="57" s="1"/>
  <c r="F24" i="57"/>
  <c r="G24" i="57" s="1"/>
  <c r="F27" i="57"/>
  <c r="G27" i="57" s="1"/>
  <c r="F19" i="57"/>
  <c r="G19" i="57" s="1"/>
  <c r="F20" i="57"/>
  <c r="G20" i="57" s="1"/>
  <c r="F22" i="57"/>
  <c r="G22" i="57" s="1"/>
  <c r="F23" i="57"/>
  <c r="G23" i="57" s="1"/>
  <c r="F25" i="57"/>
  <c r="G25" i="57" s="1"/>
  <c r="F48" i="56"/>
  <c r="G48" i="56" s="1"/>
  <c r="F40" i="56"/>
  <c r="G40" i="56" s="1"/>
  <c r="F32" i="56"/>
  <c r="G32" i="56" s="1"/>
  <c r="F43" i="56"/>
  <c r="G43" i="56" s="1"/>
  <c r="F46" i="56"/>
  <c r="G46" i="56" s="1"/>
  <c r="F38" i="56"/>
  <c r="G38" i="56" s="1"/>
  <c r="F30" i="56"/>
  <c r="G30" i="56" s="1"/>
  <c r="F35" i="56"/>
  <c r="G35" i="56" s="1"/>
  <c r="F49" i="56"/>
  <c r="G49" i="56" s="1"/>
  <c r="F41" i="56"/>
  <c r="G41" i="56" s="1"/>
  <c r="F33" i="56"/>
  <c r="G33" i="56" s="1"/>
  <c r="F44" i="56"/>
  <c r="G44" i="56" s="1"/>
  <c r="F36" i="56"/>
  <c r="G36" i="56" s="1"/>
  <c r="F47" i="56"/>
  <c r="G47" i="56" s="1"/>
  <c r="F39" i="56"/>
  <c r="G39" i="56" s="1"/>
  <c r="F31" i="56"/>
  <c r="G31" i="56" s="1"/>
  <c r="F42" i="56"/>
  <c r="G42" i="56" s="1"/>
  <c r="F34" i="56"/>
  <c r="G34" i="56" s="1"/>
  <c r="F45" i="56"/>
  <c r="G45" i="56" s="1"/>
  <c r="F37" i="56"/>
  <c r="G37" i="56" s="1"/>
  <c r="F58" i="55"/>
  <c r="G58" i="55" s="1"/>
  <c r="F50" i="55"/>
  <c r="G50" i="55" s="1"/>
  <c r="F42" i="55"/>
  <c r="G42" i="55" s="1"/>
  <c r="F34" i="55"/>
  <c r="G34" i="55" s="1"/>
  <c r="F36" i="55"/>
  <c r="G36" i="55" s="1"/>
  <c r="F53" i="55"/>
  <c r="G53" i="55" s="1"/>
  <c r="F45" i="55"/>
  <c r="G45" i="55" s="1"/>
  <c r="F37" i="55"/>
  <c r="G37" i="55" s="1"/>
  <c r="F56" i="55"/>
  <c r="G56" i="55" s="1"/>
  <c r="F48" i="55"/>
  <c r="G48" i="55" s="1"/>
  <c r="F40" i="55"/>
  <c r="G40" i="55" s="1"/>
  <c r="F52" i="55"/>
  <c r="G52" i="55" s="1"/>
  <c r="F59" i="55"/>
  <c r="G59" i="55" s="1"/>
  <c r="F51" i="55"/>
  <c r="G51" i="55" s="1"/>
  <c r="F43" i="55"/>
  <c r="G43" i="55" s="1"/>
  <c r="F35" i="55"/>
  <c r="G35" i="55" s="1"/>
  <c r="F44" i="55"/>
  <c r="G44" i="55" s="1"/>
  <c r="F54" i="55"/>
  <c r="G54" i="55" s="1"/>
  <c r="F46" i="55"/>
  <c r="G46" i="55" s="1"/>
  <c r="F38" i="55"/>
  <c r="G38" i="55" s="1"/>
  <c r="F57" i="55"/>
  <c r="G57" i="55" s="1"/>
  <c r="F55" i="55"/>
  <c r="G55" i="55" s="1"/>
  <c r="F47" i="55"/>
  <c r="G47" i="55" s="1"/>
  <c r="F39" i="55"/>
  <c r="G39" i="55" s="1"/>
  <c r="F49" i="55"/>
  <c r="G49" i="55" s="1"/>
  <c r="F41" i="55"/>
  <c r="G41" i="55" s="1"/>
  <c r="F52" i="54"/>
  <c r="G52" i="54" s="1"/>
  <c r="F44" i="54"/>
  <c r="G44" i="54" s="1"/>
  <c r="F36" i="54"/>
  <c r="G36" i="54" s="1"/>
  <c r="F46" i="54"/>
  <c r="G46" i="54" s="1"/>
  <c r="F55" i="54"/>
  <c r="G55" i="54" s="1"/>
  <c r="F47" i="54"/>
  <c r="G47" i="54" s="1"/>
  <c r="F39" i="54"/>
  <c r="G39" i="54" s="1"/>
  <c r="F58" i="54"/>
  <c r="G58" i="54" s="1"/>
  <c r="F50" i="54"/>
  <c r="G50" i="54" s="1"/>
  <c r="F42" i="54"/>
  <c r="G42" i="54" s="1"/>
  <c r="F34" i="54"/>
  <c r="G34" i="54" s="1"/>
  <c r="F53" i="54"/>
  <c r="G53" i="54" s="1"/>
  <c r="F45" i="54"/>
  <c r="G45" i="54" s="1"/>
  <c r="F37" i="54"/>
  <c r="G37" i="54" s="1"/>
  <c r="F59" i="54"/>
  <c r="G59" i="54" s="1"/>
  <c r="F51" i="54"/>
  <c r="G51" i="54" s="1"/>
  <c r="F35" i="54"/>
  <c r="G35" i="54" s="1"/>
  <c r="F56" i="54"/>
  <c r="G56" i="54" s="1"/>
  <c r="F48" i="54"/>
  <c r="G48" i="54" s="1"/>
  <c r="F40" i="54"/>
  <c r="G40" i="54" s="1"/>
  <c r="F57" i="54"/>
  <c r="G57" i="54" s="1"/>
  <c r="F49" i="54"/>
  <c r="G49" i="54" s="1"/>
  <c r="F41" i="54"/>
  <c r="G41" i="54" s="1"/>
  <c r="F43" i="54"/>
  <c r="G43" i="54" s="1"/>
  <c r="F54" i="54"/>
  <c r="G54" i="54" s="1"/>
  <c r="F38" i="54"/>
  <c r="G38" i="54" s="1"/>
  <c r="B43" i="52" a="1"/>
  <c r="B43" i="52" s="1"/>
  <c r="F48" i="51"/>
  <c r="G48" i="51" s="1"/>
  <c r="F40" i="51"/>
  <c r="G40" i="51" s="1"/>
  <c r="F32" i="51"/>
  <c r="G32" i="51" s="1"/>
  <c r="F51" i="51"/>
  <c r="G51" i="51" s="1"/>
  <c r="F43" i="51"/>
  <c r="G43" i="51" s="1"/>
  <c r="F35" i="51"/>
  <c r="G35" i="51" s="1"/>
  <c r="F46" i="51"/>
  <c r="G46" i="51" s="1"/>
  <c r="F38" i="51"/>
  <c r="G38" i="51" s="1"/>
  <c r="F49" i="51"/>
  <c r="G49" i="51" s="1"/>
  <c r="F41" i="51"/>
  <c r="G41" i="51" s="1"/>
  <c r="F33" i="51"/>
  <c r="G33" i="51" s="1"/>
  <c r="F45" i="51"/>
  <c r="G45" i="51" s="1"/>
  <c r="F44" i="51"/>
  <c r="G44" i="51" s="1"/>
  <c r="F36" i="51"/>
  <c r="G36" i="51" s="1"/>
  <c r="F37" i="51"/>
  <c r="G37" i="51" s="1"/>
  <c r="F47" i="51"/>
  <c r="G47" i="51" s="1"/>
  <c r="F39" i="51"/>
  <c r="G39" i="51" s="1"/>
  <c r="F50" i="51"/>
  <c r="G50" i="51" s="1"/>
  <c r="F42" i="51"/>
  <c r="G42" i="51" s="1"/>
  <c r="F34" i="51"/>
  <c r="G34" i="51" s="1"/>
  <c r="F34" i="50"/>
  <c r="G34" i="50" s="1"/>
  <c r="F37" i="50"/>
  <c r="G37" i="50" s="1"/>
  <c r="F44" i="50"/>
  <c r="G44" i="50" s="1"/>
  <c r="F40" i="50"/>
  <c r="G40" i="50" s="1"/>
  <c r="F32" i="50"/>
  <c r="G32" i="50" s="1"/>
  <c r="F35" i="50"/>
  <c r="G35" i="50" s="1"/>
  <c r="F42" i="50"/>
  <c r="G42" i="50" s="1"/>
  <c r="F38" i="50"/>
  <c r="G38" i="50" s="1"/>
  <c r="F30" i="50"/>
  <c r="G30" i="50" s="1"/>
  <c r="F36" i="50"/>
  <c r="G36" i="50" s="1"/>
  <c r="F45" i="50"/>
  <c r="G45" i="50" s="1"/>
  <c r="F41" i="50"/>
  <c r="G41" i="50" s="1"/>
  <c r="F33" i="50"/>
  <c r="G33" i="50" s="1"/>
  <c r="F43" i="50"/>
  <c r="G43" i="50" s="1"/>
  <c r="F39" i="50"/>
  <c r="G39" i="50" s="1"/>
  <c r="F31" i="50"/>
  <c r="G31" i="50" s="1"/>
  <c r="B36" i="49" a="1"/>
  <c r="B36" i="49" s="1"/>
  <c r="F64" i="48"/>
  <c r="G64" i="48" s="1"/>
  <c r="F72" i="48"/>
  <c r="G72" i="48" s="1"/>
  <c r="F75" i="48"/>
  <c r="G75" i="48" s="1"/>
  <c r="F67" i="48"/>
  <c r="G67" i="48" s="1"/>
  <c r="F70" i="48"/>
  <c r="G70" i="48" s="1"/>
  <c r="F73" i="48"/>
  <c r="G73" i="48" s="1"/>
  <c r="F68" i="48"/>
  <c r="G68" i="48" s="1"/>
  <c r="F71" i="48"/>
  <c r="G71" i="48" s="1"/>
  <c r="F69" i="48"/>
  <c r="G69" i="48" s="1"/>
  <c r="F74" i="48"/>
  <c r="G74" i="48" s="1"/>
  <c r="F66" i="48"/>
  <c r="G66" i="48" s="1"/>
  <c r="F47" i="48"/>
  <c r="G47" i="48" s="1"/>
  <c r="F52" i="48"/>
  <c r="G52" i="48" s="1"/>
  <c r="F53" i="48"/>
  <c r="G53" i="48" s="1"/>
  <c r="F59" i="48"/>
  <c r="G59" i="48" s="1"/>
  <c r="F50" i="48"/>
  <c r="G50" i="48" s="1"/>
  <c r="F65" i="48"/>
  <c r="G65" i="48" s="1"/>
  <c r="F55" i="48"/>
  <c r="G55" i="48" s="1"/>
  <c r="F45" i="48"/>
  <c r="G45" i="48" s="1"/>
  <c r="F60" i="48"/>
  <c r="G60" i="48" s="1"/>
  <c r="F49" i="48"/>
  <c r="G49" i="48" s="1"/>
  <c r="F57" i="48"/>
  <c r="G57" i="48" s="1"/>
  <c r="F46" i="48"/>
  <c r="G46" i="48" s="1"/>
  <c r="F63" i="48"/>
  <c r="G63" i="48" s="1"/>
  <c r="F54" i="48"/>
  <c r="G54" i="48" s="1"/>
  <c r="F56" i="48"/>
  <c r="G56" i="48" s="1"/>
  <c r="F51" i="48"/>
  <c r="G51" i="48" s="1"/>
  <c r="F61" i="48"/>
  <c r="G61" i="48" s="1"/>
  <c r="F58" i="48"/>
  <c r="G58" i="48" s="1"/>
  <c r="F48" i="48"/>
  <c r="G48" i="48" s="1"/>
  <c r="F44" i="48"/>
  <c r="G44" i="48" s="1"/>
  <c r="F62" i="48"/>
  <c r="G62" i="48" s="1"/>
  <c r="F31" i="47"/>
  <c r="G31" i="47" s="1"/>
  <c r="F28" i="47"/>
  <c r="G28" i="47" s="1"/>
  <c r="F34" i="47"/>
  <c r="G34" i="47" s="1"/>
  <c r="F26" i="47"/>
  <c r="G26" i="47" s="1"/>
  <c r="F29" i="47"/>
  <c r="G29" i="47" s="1"/>
  <c r="F32" i="47"/>
  <c r="G32" i="47" s="1"/>
  <c r="F24" i="47"/>
  <c r="G24" i="47" s="1"/>
  <c r="F30" i="47"/>
  <c r="G30" i="47" s="1"/>
  <c r="F33" i="47"/>
  <c r="G33" i="47" s="1"/>
  <c r="F35" i="47"/>
  <c r="G35" i="47" s="1"/>
  <c r="F27" i="47"/>
  <c r="G27" i="47" s="1"/>
  <c r="F25" i="47"/>
  <c r="G25" i="47" s="1"/>
  <c r="E69" i="36"/>
  <c r="F22" i="49" l="1"/>
  <c r="G22" i="49" s="1"/>
  <c r="F27" i="49"/>
  <c r="G27" i="49" s="1"/>
  <c r="F24" i="49"/>
  <c r="G24" i="49" s="1"/>
  <c r="F32" i="49"/>
  <c r="G32" i="49" s="1"/>
  <c r="F25" i="49"/>
  <c r="G25" i="49" s="1"/>
  <c r="F33" i="49"/>
  <c r="G33" i="49" s="1"/>
  <c r="F29" i="49"/>
  <c r="G29" i="49" s="1"/>
  <c r="F26" i="49"/>
  <c r="G26" i="49" s="1"/>
  <c r="F23" i="49"/>
  <c r="G23" i="49" s="1"/>
  <c r="F31" i="49"/>
  <c r="G31" i="49" s="1"/>
  <c r="F28" i="49"/>
  <c r="G28" i="49" s="1"/>
  <c r="F30" i="49"/>
  <c r="G30" i="49" s="1"/>
  <c r="F29" i="73"/>
  <c r="G29" i="73" s="1"/>
  <c r="F26" i="73"/>
  <c r="G26" i="73" s="1"/>
  <c r="F28" i="73"/>
  <c r="G28" i="73" s="1"/>
  <c r="F27" i="73"/>
  <c r="G27" i="73" s="1"/>
  <c r="F28" i="52"/>
  <c r="G28" i="52" s="1"/>
  <c r="F36" i="52"/>
  <c r="G36" i="52" s="1"/>
  <c r="F25" i="52"/>
  <c r="G25" i="52" s="1"/>
  <c r="F33" i="52"/>
  <c r="G33" i="52" s="1"/>
  <c r="F30" i="52"/>
  <c r="G30" i="52" s="1"/>
  <c r="F38" i="52"/>
  <c r="G38" i="52" s="1"/>
  <c r="F27" i="52"/>
  <c r="G27" i="52" s="1"/>
  <c r="F35" i="52"/>
  <c r="G35" i="52" s="1"/>
  <c r="F32" i="52"/>
  <c r="G32" i="52" s="1"/>
  <c r="F40" i="52"/>
  <c r="G40" i="52" s="1"/>
  <c r="F29" i="52"/>
  <c r="G29" i="52" s="1"/>
  <c r="F37" i="52"/>
  <c r="G37" i="52" s="1"/>
  <c r="F26" i="52"/>
  <c r="G26" i="52" s="1"/>
  <c r="F34" i="52"/>
  <c r="G34" i="52" s="1"/>
  <c r="F31" i="52"/>
  <c r="G31" i="52" s="1"/>
  <c r="F39" i="52"/>
  <c r="G39" i="52" s="1"/>
  <c r="F32" i="73"/>
  <c r="G32" i="73" s="1"/>
  <c r="F36" i="73"/>
  <c r="G36" i="73" s="1"/>
  <c r="F35" i="73"/>
  <c r="G35" i="73" s="1"/>
  <c r="F34" i="73"/>
  <c r="G34" i="73" s="1"/>
  <c r="F33" i="73"/>
  <c r="G33" i="73" s="1"/>
  <c r="F40" i="73"/>
  <c r="G40" i="73" s="1"/>
  <c r="F39" i="73"/>
  <c r="G39" i="73" s="1"/>
  <c r="F37" i="73"/>
  <c r="G37" i="73" s="1"/>
  <c r="F38" i="73"/>
  <c r="G38" i="73" s="1"/>
  <c r="F31" i="73"/>
  <c r="G31" i="73" s="1"/>
  <c r="F30" i="73"/>
  <c r="G30" i="73" s="1"/>
  <c r="F41" i="73"/>
  <c r="G41" i="73" s="1"/>
  <c r="B117" i="36" a="1"/>
  <c r="B117" i="36" s="1"/>
  <c r="F70" i="36" s="1"/>
  <c r="G70" i="36" s="1"/>
  <c r="E71" i="36"/>
  <c r="F94" i="36" l="1"/>
  <c r="G94" i="36" s="1"/>
  <c r="F80" i="36"/>
  <c r="G80" i="36" s="1"/>
  <c r="F74" i="36"/>
  <c r="G74" i="36" s="1"/>
  <c r="F76" i="36"/>
  <c r="G76" i="36" s="1"/>
  <c r="F69" i="36"/>
  <c r="G69" i="36" s="1"/>
  <c r="F73" i="36"/>
  <c r="G73" i="36" s="1"/>
  <c r="F83" i="36"/>
  <c r="G83" i="36" s="1"/>
  <c r="F101" i="36"/>
  <c r="G101" i="36" s="1"/>
  <c r="F112" i="36"/>
  <c r="G112" i="36" s="1"/>
  <c r="F96" i="36"/>
  <c r="G96" i="36" s="1"/>
  <c r="F84" i="36"/>
  <c r="G84" i="36" s="1"/>
  <c r="F102" i="36"/>
  <c r="G102" i="36" s="1"/>
  <c r="F110" i="36"/>
  <c r="G110" i="36" s="1"/>
  <c r="F85" i="36"/>
  <c r="G85" i="36" s="1"/>
  <c r="F109" i="36"/>
  <c r="G109" i="36" s="1"/>
  <c r="F86" i="36"/>
  <c r="G86" i="36" s="1"/>
  <c r="F79" i="36"/>
  <c r="G79" i="36" s="1"/>
  <c r="F87" i="36"/>
  <c r="G87" i="36" s="1"/>
  <c r="F89" i="36"/>
  <c r="G89" i="36" s="1"/>
  <c r="F99" i="36"/>
  <c r="G99" i="36" s="1"/>
  <c r="F63" i="36"/>
  <c r="G63" i="36" s="1"/>
  <c r="F68" i="36"/>
  <c r="G68" i="36" s="1"/>
  <c r="F114" i="36"/>
  <c r="G114" i="36" s="1"/>
  <c r="F65" i="36"/>
  <c r="G65" i="36" s="1"/>
  <c r="F104" i="36"/>
  <c r="G104" i="36" s="1"/>
  <c r="F72" i="36"/>
  <c r="G72" i="36" s="1"/>
  <c r="F100" i="36"/>
  <c r="G100" i="36" s="1"/>
  <c r="F90" i="36"/>
  <c r="G90" i="36" s="1"/>
  <c r="F78" i="36"/>
  <c r="G78" i="36" s="1"/>
  <c r="F66" i="36"/>
  <c r="G66" i="36" s="1"/>
  <c r="F67" i="36"/>
  <c r="G67" i="36" s="1"/>
  <c r="F95" i="36"/>
  <c r="G95" i="36" s="1"/>
  <c r="F97" i="36"/>
  <c r="G97" i="36" s="1"/>
  <c r="F107" i="36"/>
  <c r="G107" i="36" s="1"/>
  <c r="F77" i="36"/>
  <c r="G77" i="36" s="1"/>
  <c r="F81" i="36"/>
  <c r="G81" i="36" s="1"/>
  <c r="F111" i="36"/>
  <c r="G111" i="36" s="1"/>
  <c r="F106" i="36"/>
  <c r="G106" i="36" s="1"/>
  <c r="F92" i="36"/>
  <c r="G92" i="36" s="1"/>
  <c r="F93" i="36"/>
  <c r="G93" i="36" s="1"/>
  <c r="F75" i="36"/>
  <c r="G75" i="36" s="1"/>
  <c r="F108" i="36"/>
  <c r="G108" i="36" s="1"/>
  <c r="F113" i="36"/>
  <c r="G113" i="36" s="1"/>
  <c r="F98" i="36"/>
  <c r="G98" i="36" s="1"/>
  <c r="F91" i="36"/>
  <c r="G91" i="36" s="1"/>
  <c r="F88" i="36"/>
  <c r="G88" i="36" s="1"/>
  <c r="F103" i="36"/>
  <c r="G103" i="36" s="1"/>
  <c r="F105" i="36"/>
  <c r="G105" i="36" s="1"/>
  <c r="F71" i="36"/>
  <c r="G71" i="36" s="1"/>
  <c r="F82" i="36"/>
  <c r="G82" i="36" s="1"/>
  <c r="F64" i="36"/>
  <c r="G64" i="36" s="1"/>
  <c r="C16" i="27"/>
  <c r="G16" i="27" s="1"/>
  <c r="D40" i="27" s="1"/>
  <c r="E40" i="27" s="1"/>
  <c r="C14" i="27"/>
  <c r="C12" i="27"/>
  <c r="C10" i="27"/>
  <c r="G10" i="27" s="1"/>
  <c r="D34" i="27" s="1"/>
  <c r="E34" i="27" s="1"/>
  <c r="G9" i="27"/>
  <c r="D33" i="27" s="1"/>
  <c r="E33" i="27" s="1"/>
  <c r="G6" i="27"/>
  <c r="D30" i="27" s="1"/>
  <c r="E30" i="27" s="1"/>
  <c r="G5" i="27"/>
  <c r="D29" i="27" s="1"/>
  <c r="E29" i="27" s="1"/>
  <c r="G4" i="27"/>
  <c r="D28" i="27" s="1"/>
  <c r="E28" i="27" s="1"/>
  <c r="G3" i="27"/>
  <c r="D27" i="27" s="1"/>
  <c r="E27" i="27" s="1"/>
  <c r="G2" i="27"/>
  <c r="D26" i="27" s="1"/>
  <c r="E26" i="27" s="1"/>
  <c r="C39" i="27"/>
  <c r="C34" i="27"/>
  <c r="C29" i="27"/>
  <c r="C26" i="27"/>
  <c r="G17" i="27"/>
  <c r="D41" i="27" s="1"/>
  <c r="E41" i="27" s="1"/>
  <c r="C40" i="27"/>
  <c r="G15" i="27"/>
  <c r="D39" i="27" s="1"/>
  <c r="E39" i="27" s="1"/>
  <c r="G14" i="27"/>
  <c r="D38" i="27" s="1"/>
  <c r="E38" i="27" s="1"/>
  <c r="C37" i="27"/>
  <c r="G12" i="27"/>
  <c r="D36" i="27" s="1"/>
  <c r="E36" i="27" s="1"/>
  <c r="C35" i="27"/>
  <c r="C32" i="27"/>
  <c r="G8" i="27"/>
  <c r="D32" i="27" s="1"/>
  <c r="E32" i="27" s="1"/>
  <c r="C30" i="27"/>
  <c r="C28" i="27"/>
  <c r="C27" i="27"/>
  <c r="D5" i="26"/>
  <c r="C37" i="26" s="1"/>
  <c r="D7" i="26"/>
  <c r="H7" i="26" s="1"/>
  <c r="D39" i="26" s="1"/>
  <c r="E39" i="26" s="1"/>
  <c r="D9" i="26"/>
  <c r="C40" i="26" s="1"/>
  <c r="D11" i="26"/>
  <c r="H11" i="26" s="1"/>
  <c r="D43" i="26" s="1"/>
  <c r="E43" i="26" s="1"/>
  <c r="D13" i="26"/>
  <c r="C45" i="26" s="1"/>
  <c r="D15" i="26"/>
  <c r="H15" i="26" s="1"/>
  <c r="D47" i="26" s="1"/>
  <c r="E47" i="26" s="1"/>
  <c r="D17" i="26"/>
  <c r="C49" i="26" s="1"/>
  <c r="D19" i="26"/>
  <c r="C50" i="26" s="1"/>
  <c r="D21" i="26"/>
  <c r="H21" i="26" s="1"/>
  <c r="D53" i="26" s="1"/>
  <c r="E53" i="26" s="1"/>
  <c r="D23" i="26"/>
  <c r="H23" i="26" s="1"/>
  <c r="D55" i="26" s="1"/>
  <c r="E55" i="26" s="1"/>
  <c r="D25" i="26"/>
  <c r="C57" i="26" s="1"/>
  <c r="D3" i="26"/>
  <c r="C35" i="26" s="1"/>
  <c r="C24" i="26"/>
  <c r="D24" i="26" s="1"/>
  <c r="H24" i="26" s="1"/>
  <c r="D56" i="26" s="1"/>
  <c r="E56" i="26" s="1"/>
  <c r="C22" i="26"/>
  <c r="D22" i="26" s="1"/>
  <c r="H22" i="26" s="1"/>
  <c r="D54" i="26" s="1"/>
  <c r="E54" i="26" s="1"/>
  <c r="C20" i="26"/>
  <c r="D20" i="26" s="1"/>
  <c r="H20" i="26" s="1"/>
  <c r="D52" i="26" s="1"/>
  <c r="E52" i="26" s="1"/>
  <c r="C18" i="26"/>
  <c r="D18" i="26" s="1"/>
  <c r="H18" i="26" s="1"/>
  <c r="D50" i="26" s="1"/>
  <c r="E50" i="26" s="1"/>
  <c r="C16" i="26"/>
  <c r="D16" i="26" s="1"/>
  <c r="H16" i="26" s="1"/>
  <c r="D48" i="26" s="1"/>
  <c r="E48" i="26" s="1"/>
  <c r="C14" i="26"/>
  <c r="D14" i="26" s="1"/>
  <c r="H14" i="26" s="1"/>
  <c r="D46" i="26" s="1"/>
  <c r="E46" i="26" s="1"/>
  <c r="C12" i="26"/>
  <c r="D12" i="26" s="1"/>
  <c r="H12" i="26" s="1"/>
  <c r="D44" i="26" s="1"/>
  <c r="E44" i="26" s="1"/>
  <c r="C10" i="26"/>
  <c r="D10" i="26" s="1"/>
  <c r="H10" i="26" s="1"/>
  <c r="D42" i="26" s="1"/>
  <c r="E42" i="26" s="1"/>
  <c r="C8" i="26"/>
  <c r="D8" i="26" s="1"/>
  <c r="H8" i="26" s="1"/>
  <c r="D40" i="26" s="1"/>
  <c r="E40" i="26" s="1"/>
  <c r="C6" i="26"/>
  <c r="D6" i="26" s="1"/>
  <c r="H6" i="26" s="1"/>
  <c r="D38" i="26" s="1"/>
  <c r="E38" i="26" s="1"/>
  <c r="C4" i="26"/>
  <c r="D4" i="26" s="1"/>
  <c r="H4" i="26" s="1"/>
  <c r="D36" i="26" s="1"/>
  <c r="E36" i="26" s="1"/>
  <c r="C2" i="26"/>
  <c r="D2" i="26" s="1"/>
  <c r="H2" i="26" s="1"/>
  <c r="D34" i="26" s="1"/>
  <c r="E34" i="26" s="1"/>
  <c r="C44" i="26"/>
  <c r="C42" i="26" l="1"/>
  <c r="H9" i="26"/>
  <c r="D41" i="26" s="1"/>
  <c r="E41" i="26" s="1"/>
  <c r="C48" i="26"/>
  <c r="H5" i="26"/>
  <c r="D37" i="26" s="1"/>
  <c r="E37" i="26" s="1"/>
  <c r="C36" i="26"/>
  <c r="C51" i="26"/>
  <c r="C41" i="26"/>
  <c r="H19" i="26"/>
  <c r="D51" i="26" s="1"/>
  <c r="E51" i="26" s="1"/>
  <c r="G13" i="27"/>
  <c r="D37" i="27" s="1"/>
  <c r="E37" i="27" s="1"/>
  <c r="C31" i="27"/>
  <c r="G7" i="27"/>
  <c r="D31" i="27" s="1"/>
  <c r="E31" i="27" s="1"/>
  <c r="C36" i="27"/>
  <c r="C33" i="27"/>
  <c r="C41" i="27"/>
  <c r="B44" i="27" s="1" a="1"/>
  <c r="B44" i="27" s="1"/>
  <c r="G11" i="27"/>
  <c r="D35" i="27" s="1"/>
  <c r="E35" i="27" s="1"/>
  <c r="C38" i="27"/>
  <c r="C43" i="26"/>
  <c r="H13" i="26"/>
  <c r="D45" i="26" s="1"/>
  <c r="E45" i="26" s="1"/>
  <c r="C53" i="26"/>
  <c r="C46" i="26"/>
  <c r="C54" i="26"/>
  <c r="C56" i="26"/>
  <c r="H25" i="26"/>
  <c r="D57" i="26" s="1"/>
  <c r="E57" i="26" s="1"/>
  <c r="C47" i="26"/>
  <c r="C55" i="26"/>
  <c r="C52" i="26"/>
  <c r="H17" i="26"/>
  <c r="D49" i="26" s="1"/>
  <c r="E49" i="26" s="1"/>
  <c r="C38" i="26"/>
  <c r="C39" i="26"/>
  <c r="C34" i="26"/>
  <c r="H3" i="26"/>
  <c r="D35" i="26" s="1"/>
  <c r="E35" i="26" s="1"/>
  <c r="B60" i="26" l="1" a="1"/>
  <c r="B60" i="26" s="1"/>
  <c r="F39" i="26" s="1"/>
  <c r="F38" i="27"/>
  <c r="G38" i="27" s="1"/>
  <c r="F30" i="27"/>
  <c r="G30" i="27" s="1"/>
  <c r="F40" i="27"/>
  <c r="G40" i="27" s="1"/>
  <c r="F41" i="27"/>
  <c r="G41" i="27" s="1"/>
  <c r="F33" i="27"/>
  <c r="G33" i="27" s="1"/>
  <c r="F36" i="27"/>
  <c r="G36" i="27" s="1"/>
  <c r="F28" i="27"/>
  <c r="G28" i="27" s="1"/>
  <c r="F35" i="27"/>
  <c r="G35" i="27" s="1"/>
  <c r="F27" i="27"/>
  <c r="G27" i="27" s="1"/>
  <c r="F39" i="27"/>
  <c r="G39" i="27" s="1"/>
  <c r="F31" i="27"/>
  <c r="G31" i="27" s="1"/>
  <c r="F32" i="27"/>
  <c r="G32" i="27" s="1"/>
  <c r="F34" i="27"/>
  <c r="G34" i="27" s="1"/>
  <c r="F26" i="27"/>
  <c r="G26" i="27" s="1"/>
  <c r="F37" i="27"/>
  <c r="G37" i="27" s="1"/>
  <c r="F29" i="27"/>
  <c r="G29" i="27" s="1"/>
  <c r="F54" i="26" l="1"/>
  <c r="G54" i="26" s="1"/>
  <c r="F56" i="26"/>
  <c r="G56" i="26" s="1"/>
  <c r="F38" i="26"/>
  <c r="G38" i="26" s="1"/>
  <c r="F53" i="26"/>
  <c r="G53" i="26" s="1"/>
  <c r="F42" i="26"/>
  <c r="F55" i="26"/>
  <c r="G55" i="26" s="1"/>
  <c r="F49" i="26"/>
  <c r="G49" i="26" s="1"/>
  <c r="F41" i="26"/>
  <c r="G41" i="26" s="1"/>
  <c r="F40" i="26"/>
  <c r="F48" i="26"/>
  <c r="G48" i="26" s="1"/>
  <c r="F43" i="26"/>
  <c r="G43" i="26" s="1"/>
  <c r="F47" i="26"/>
  <c r="G47" i="26" s="1"/>
  <c r="F51" i="26"/>
  <c r="F35" i="26"/>
  <c r="G35" i="26" s="1"/>
  <c r="F50" i="26"/>
  <c r="G50" i="26" s="1"/>
  <c r="F45" i="26"/>
  <c r="G45" i="26" s="1"/>
  <c r="F37" i="26"/>
  <c r="F46" i="26"/>
  <c r="F52" i="26"/>
  <c r="G52" i="26" s="1"/>
  <c r="F34" i="26"/>
  <c r="G34" i="26" s="1"/>
  <c r="F44" i="26"/>
  <c r="G44" i="26" s="1"/>
  <c r="F36" i="26"/>
  <c r="G36" i="26" s="1"/>
  <c r="F57" i="26"/>
  <c r="G57" i="26" s="1"/>
  <c r="G46" i="26"/>
  <c r="G51" i="26"/>
  <c r="G37" i="26"/>
  <c r="G40" i="26"/>
  <c r="G39" i="26"/>
  <c r="G42" i="26"/>
  <c r="C12" i="17" l="1"/>
  <c r="I12" i="17"/>
  <c r="H13" i="17"/>
  <c r="I13" i="17"/>
  <c r="J13" i="17"/>
  <c r="D32" i="17" s="1"/>
  <c r="E32" i="17" s="1"/>
  <c r="C31" i="17"/>
  <c r="C32" i="17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J21" i="20"/>
  <c r="D48" i="20" s="1"/>
  <c r="I21" i="20"/>
  <c r="H21" i="20"/>
  <c r="I20" i="20"/>
  <c r="C20" i="20"/>
  <c r="J20" i="20" s="1"/>
  <c r="D47" i="20" s="1"/>
  <c r="J19" i="20"/>
  <c r="D46" i="20" s="1"/>
  <c r="I19" i="20"/>
  <c r="H19" i="20"/>
  <c r="I18" i="20"/>
  <c r="C18" i="20"/>
  <c r="H18" i="20" s="1"/>
  <c r="J17" i="20"/>
  <c r="D44" i="20" s="1"/>
  <c r="I17" i="20"/>
  <c r="H17" i="20"/>
  <c r="I16" i="20"/>
  <c r="C16" i="20"/>
  <c r="J16" i="20" s="1"/>
  <c r="D43" i="20" s="1"/>
  <c r="J15" i="20"/>
  <c r="D42" i="20" s="1"/>
  <c r="I15" i="20"/>
  <c r="H15" i="20"/>
  <c r="I14" i="20"/>
  <c r="C14" i="20"/>
  <c r="J14" i="20" s="1"/>
  <c r="D41" i="20" s="1"/>
  <c r="J13" i="20"/>
  <c r="D40" i="20" s="1"/>
  <c r="I13" i="20"/>
  <c r="H13" i="20"/>
  <c r="I12" i="20"/>
  <c r="C12" i="20"/>
  <c r="H12" i="20" s="1"/>
  <c r="J11" i="20"/>
  <c r="D38" i="20" s="1"/>
  <c r="I11" i="20"/>
  <c r="H11" i="20"/>
  <c r="I10" i="20"/>
  <c r="C10" i="20"/>
  <c r="H10" i="20" s="1"/>
  <c r="J9" i="20"/>
  <c r="D36" i="20" s="1"/>
  <c r="I9" i="20"/>
  <c r="H9" i="20"/>
  <c r="J8" i="20"/>
  <c r="D35" i="20" s="1"/>
  <c r="I8" i="20"/>
  <c r="C8" i="20"/>
  <c r="H8" i="20" s="1"/>
  <c r="J7" i="20"/>
  <c r="D34" i="20" s="1"/>
  <c r="I7" i="20"/>
  <c r="H7" i="20"/>
  <c r="I6" i="20"/>
  <c r="C6" i="20"/>
  <c r="J6" i="20" s="1"/>
  <c r="D33" i="20" s="1"/>
  <c r="J5" i="20"/>
  <c r="D32" i="20" s="1"/>
  <c r="I5" i="20"/>
  <c r="H5" i="20"/>
  <c r="I4" i="20"/>
  <c r="C4" i="20"/>
  <c r="J4" i="20" s="1"/>
  <c r="D31" i="20" s="1"/>
  <c r="J3" i="20"/>
  <c r="D30" i="20" s="1"/>
  <c r="I3" i="20"/>
  <c r="H3" i="20"/>
  <c r="I2" i="20"/>
  <c r="C2" i="20"/>
  <c r="H2" i="20" s="1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J19" i="19"/>
  <c r="D44" i="19" s="1"/>
  <c r="I19" i="19"/>
  <c r="H19" i="19"/>
  <c r="I18" i="19"/>
  <c r="C18" i="19"/>
  <c r="H18" i="19" s="1"/>
  <c r="J17" i="19"/>
  <c r="D42" i="19" s="1"/>
  <c r="I17" i="19"/>
  <c r="H17" i="19"/>
  <c r="I16" i="19"/>
  <c r="C16" i="19"/>
  <c r="H16" i="19" s="1"/>
  <c r="J15" i="19"/>
  <c r="D40" i="19" s="1"/>
  <c r="I15" i="19"/>
  <c r="H15" i="19"/>
  <c r="I14" i="19"/>
  <c r="C14" i="19"/>
  <c r="H14" i="19" s="1"/>
  <c r="J13" i="19"/>
  <c r="D38" i="19" s="1"/>
  <c r="I13" i="19"/>
  <c r="H13" i="19"/>
  <c r="I12" i="19"/>
  <c r="C12" i="19"/>
  <c r="J12" i="19" s="1"/>
  <c r="D37" i="19" s="1"/>
  <c r="J11" i="19"/>
  <c r="D36" i="19" s="1"/>
  <c r="I11" i="19"/>
  <c r="H11" i="19"/>
  <c r="I10" i="19"/>
  <c r="C10" i="19"/>
  <c r="J10" i="19" s="1"/>
  <c r="D35" i="19" s="1"/>
  <c r="J9" i="19"/>
  <c r="D34" i="19" s="1"/>
  <c r="I9" i="19"/>
  <c r="H9" i="19"/>
  <c r="I8" i="19"/>
  <c r="C8" i="19"/>
  <c r="H8" i="19" s="1"/>
  <c r="J7" i="19"/>
  <c r="D32" i="19" s="1"/>
  <c r="I7" i="19"/>
  <c r="H7" i="19"/>
  <c r="I6" i="19"/>
  <c r="C6" i="19"/>
  <c r="H6" i="19" s="1"/>
  <c r="J5" i="19"/>
  <c r="D30" i="19" s="1"/>
  <c r="I5" i="19"/>
  <c r="H5" i="19"/>
  <c r="I4" i="19"/>
  <c r="C4" i="19"/>
  <c r="J4" i="19" s="1"/>
  <c r="D29" i="19" s="1"/>
  <c r="J3" i="19"/>
  <c r="D28" i="19" s="1"/>
  <c r="I3" i="19"/>
  <c r="H3" i="19"/>
  <c r="I2" i="19"/>
  <c r="C2" i="19"/>
  <c r="H2" i="19" s="1"/>
  <c r="C30" i="17"/>
  <c r="C29" i="17"/>
  <c r="J11" i="17"/>
  <c r="D30" i="17" s="1"/>
  <c r="F30" i="17" s="1"/>
  <c r="I11" i="17"/>
  <c r="H11" i="17"/>
  <c r="I10" i="17"/>
  <c r="C10" i="17"/>
  <c r="J10" i="17" s="1"/>
  <c r="D29" i="17" s="1"/>
  <c r="C28" i="17"/>
  <c r="C27" i="17"/>
  <c r="C26" i="17"/>
  <c r="C25" i="17"/>
  <c r="C24" i="17"/>
  <c r="C23" i="17"/>
  <c r="C22" i="17"/>
  <c r="C21" i="17"/>
  <c r="H9" i="17"/>
  <c r="D9" i="17" s="1"/>
  <c r="J9" i="17" s="1"/>
  <c r="D28" i="17" s="1"/>
  <c r="H8" i="17"/>
  <c r="F8" i="17"/>
  <c r="M9" i="17" s="1"/>
  <c r="H7" i="17"/>
  <c r="D7" i="17" s="1"/>
  <c r="H6" i="17"/>
  <c r="F6" i="17"/>
  <c r="M7" i="17" s="1"/>
  <c r="H5" i="17"/>
  <c r="D5" i="17" s="1"/>
  <c r="H4" i="17"/>
  <c r="F4" i="17"/>
  <c r="H3" i="17"/>
  <c r="D3" i="17" s="1"/>
  <c r="H2" i="17"/>
  <c r="F2" i="17"/>
  <c r="M3" i="17" s="1"/>
  <c r="H12" i="17" l="1"/>
  <c r="N13" i="17"/>
  <c r="L13" i="17" s="1"/>
  <c r="M13" i="17" s="1"/>
  <c r="J12" i="17"/>
  <c r="D31" i="17" s="1"/>
  <c r="E31" i="17" s="1"/>
  <c r="F32" i="17"/>
  <c r="H16" i="20"/>
  <c r="J10" i="20"/>
  <c r="D37" i="20" s="1"/>
  <c r="H4" i="20"/>
  <c r="H20" i="20"/>
  <c r="J12" i="20"/>
  <c r="D39" i="20" s="1"/>
  <c r="F43" i="20"/>
  <c r="E43" i="20"/>
  <c r="F37" i="20"/>
  <c r="E37" i="20"/>
  <c r="F30" i="20"/>
  <c r="E30" i="20"/>
  <c r="F35" i="20"/>
  <c r="E35" i="20"/>
  <c r="F40" i="20"/>
  <c r="E40" i="20"/>
  <c r="F41" i="20"/>
  <c r="E41" i="20"/>
  <c r="F38" i="20"/>
  <c r="E38" i="20"/>
  <c r="F48" i="20"/>
  <c r="E48" i="20"/>
  <c r="F33" i="20"/>
  <c r="E33" i="20"/>
  <c r="F46" i="20"/>
  <c r="E46" i="20"/>
  <c r="F36" i="20"/>
  <c r="E36" i="20"/>
  <c r="F44" i="20"/>
  <c r="E44" i="20"/>
  <c r="F31" i="20"/>
  <c r="E31" i="20"/>
  <c r="F34" i="20"/>
  <c r="E34" i="20"/>
  <c r="F47" i="20"/>
  <c r="E47" i="20"/>
  <c r="F32" i="20"/>
  <c r="E32" i="20"/>
  <c r="F39" i="20"/>
  <c r="E39" i="20"/>
  <c r="F42" i="20"/>
  <c r="E42" i="20"/>
  <c r="J2" i="20"/>
  <c r="D29" i="20" s="1"/>
  <c r="H14" i="20"/>
  <c r="J18" i="20"/>
  <c r="D45" i="20" s="1"/>
  <c r="H6" i="20"/>
  <c r="J2" i="19"/>
  <c r="D27" i="19" s="1"/>
  <c r="E27" i="19" s="1"/>
  <c r="J16" i="19"/>
  <c r="D41" i="19" s="1"/>
  <c r="F41" i="19" s="1"/>
  <c r="J8" i="19"/>
  <c r="D33" i="19" s="1"/>
  <c r="F33" i="19" s="1"/>
  <c r="H4" i="19"/>
  <c r="J18" i="19"/>
  <c r="D43" i="19" s="1"/>
  <c r="F43" i="19" s="1"/>
  <c r="F40" i="19"/>
  <c r="E40" i="19"/>
  <c r="F29" i="19"/>
  <c r="E29" i="19"/>
  <c r="F38" i="19"/>
  <c r="E38" i="19"/>
  <c r="F42" i="19"/>
  <c r="E42" i="19"/>
  <c r="F35" i="19"/>
  <c r="E35" i="19"/>
  <c r="F30" i="19"/>
  <c r="E30" i="19"/>
  <c r="F44" i="19"/>
  <c r="E44" i="19"/>
  <c r="F37" i="19"/>
  <c r="E37" i="19"/>
  <c r="F34" i="19"/>
  <c r="E34" i="19"/>
  <c r="F32" i="19"/>
  <c r="E32" i="19"/>
  <c r="F28" i="19"/>
  <c r="E28" i="19"/>
  <c r="F36" i="19"/>
  <c r="E36" i="19"/>
  <c r="J6" i="19"/>
  <c r="D31" i="19" s="1"/>
  <c r="H12" i="19"/>
  <c r="H10" i="19"/>
  <c r="J14" i="19"/>
  <c r="D39" i="19" s="1"/>
  <c r="D8" i="17"/>
  <c r="J8" i="17" s="1"/>
  <c r="D27" i="17" s="1"/>
  <c r="F27" i="17" s="1"/>
  <c r="F29" i="17"/>
  <c r="E29" i="17"/>
  <c r="E30" i="17"/>
  <c r="H10" i="17"/>
  <c r="D4" i="17"/>
  <c r="I4" i="17" s="1"/>
  <c r="J3" i="17"/>
  <c r="D22" i="17" s="1"/>
  <c r="F22" i="17" s="1"/>
  <c r="I3" i="17"/>
  <c r="D2" i="17"/>
  <c r="I2" i="17" s="1"/>
  <c r="D6" i="17"/>
  <c r="I6" i="17" s="1"/>
  <c r="F28" i="17"/>
  <c r="E28" i="17"/>
  <c r="J7" i="17"/>
  <c r="D26" i="17" s="1"/>
  <c r="I7" i="17"/>
  <c r="I5" i="17"/>
  <c r="J5" i="17"/>
  <c r="D24" i="17" s="1"/>
  <c r="I9" i="17"/>
  <c r="F31" i="17" l="1"/>
  <c r="F51" i="20" a="1"/>
  <c r="F51" i="20" s="1"/>
  <c r="B51" i="20" a="1"/>
  <c r="B51" i="20" s="1"/>
  <c r="F45" i="20"/>
  <c r="E45" i="20"/>
  <c r="F29" i="20"/>
  <c r="E29" i="20"/>
  <c r="E41" i="19"/>
  <c r="E43" i="19"/>
  <c r="E33" i="19"/>
  <c r="F27" i="19"/>
  <c r="F47" i="19" a="1"/>
  <c r="F47" i="19" s="1"/>
  <c r="F31" i="19"/>
  <c r="E31" i="19"/>
  <c r="B47" i="19" s="1" a="1"/>
  <c r="B47" i="19" s="1"/>
  <c r="F39" i="19"/>
  <c r="E39" i="19"/>
  <c r="J4" i="17"/>
  <c r="D23" i="17" s="1"/>
  <c r="F23" i="17" s="1"/>
  <c r="E27" i="17"/>
  <c r="J6" i="17"/>
  <c r="D25" i="17" s="1"/>
  <c r="E25" i="17" s="1"/>
  <c r="J2" i="17"/>
  <c r="D21" i="17" s="1"/>
  <c r="F21" i="17" s="1"/>
  <c r="I8" i="17"/>
  <c r="E22" i="17"/>
  <c r="F24" i="17"/>
  <c r="E24" i="17"/>
  <c r="F26" i="17"/>
  <c r="E26" i="17"/>
  <c r="G44" i="20" l="1"/>
  <c r="I44" i="20" s="1"/>
  <c r="G47" i="20"/>
  <c r="I47" i="20" s="1"/>
  <c r="G39" i="20"/>
  <c r="I39" i="20" s="1"/>
  <c r="G33" i="20"/>
  <c r="I33" i="20" s="1"/>
  <c r="G46" i="20"/>
  <c r="I46" i="20" s="1"/>
  <c r="G43" i="20"/>
  <c r="I43" i="20" s="1"/>
  <c r="G40" i="20"/>
  <c r="I40" i="20" s="1"/>
  <c r="G36" i="20"/>
  <c r="I36" i="20" s="1"/>
  <c r="G32" i="20"/>
  <c r="I32" i="20" s="1"/>
  <c r="G45" i="20"/>
  <c r="G42" i="20"/>
  <c r="I42" i="20" s="1"/>
  <c r="G38" i="20"/>
  <c r="I38" i="20" s="1"/>
  <c r="G35" i="20"/>
  <c r="I35" i="20" s="1"/>
  <c r="G30" i="20"/>
  <c r="I30" i="20" s="1"/>
  <c r="G48" i="20"/>
  <c r="I48" i="20" s="1"/>
  <c r="G41" i="20"/>
  <c r="I41" i="20" s="1"/>
  <c r="G37" i="20"/>
  <c r="I37" i="20" s="1"/>
  <c r="G34" i="20"/>
  <c r="I34" i="20" s="1"/>
  <c r="G31" i="20"/>
  <c r="I31" i="20" s="1"/>
  <c r="G29" i="20"/>
  <c r="I29" i="20" s="1"/>
  <c r="H48" i="20"/>
  <c r="J48" i="20" s="1"/>
  <c r="H47" i="20"/>
  <c r="J47" i="20" s="1"/>
  <c r="H46" i="20"/>
  <c r="J46" i="20" s="1"/>
  <c r="H45" i="20"/>
  <c r="J45" i="20" s="1"/>
  <c r="H44" i="20"/>
  <c r="J44" i="20" s="1"/>
  <c r="H43" i="20"/>
  <c r="J43" i="20" s="1"/>
  <c r="H42" i="20"/>
  <c r="J42" i="20" s="1"/>
  <c r="H41" i="20"/>
  <c r="J41" i="20" s="1"/>
  <c r="H40" i="20"/>
  <c r="J40" i="20" s="1"/>
  <c r="H39" i="20"/>
  <c r="J39" i="20" s="1"/>
  <c r="H38" i="20"/>
  <c r="J38" i="20" s="1"/>
  <c r="H37" i="20"/>
  <c r="J37" i="20" s="1"/>
  <c r="H36" i="20"/>
  <c r="J36" i="20" s="1"/>
  <c r="H35" i="20"/>
  <c r="J35" i="20" s="1"/>
  <c r="H34" i="20"/>
  <c r="J34" i="20" s="1"/>
  <c r="H33" i="20"/>
  <c r="J33" i="20" s="1"/>
  <c r="H32" i="20"/>
  <c r="J32" i="20" s="1"/>
  <c r="H31" i="20"/>
  <c r="J31" i="20" s="1"/>
  <c r="H30" i="20"/>
  <c r="J30" i="20" s="1"/>
  <c r="H29" i="20"/>
  <c r="J29" i="20" s="1"/>
  <c r="I45" i="20"/>
  <c r="H41" i="19"/>
  <c r="J41" i="19" s="1"/>
  <c r="H34" i="19"/>
  <c r="J34" i="19" s="1"/>
  <c r="H28" i="19"/>
  <c r="J28" i="19" s="1"/>
  <c r="H36" i="19"/>
  <c r="J36" i="19" s="1"/>
  <c r="H39" i="19"/>
  <c r="J39" i="19" s="1"/>
  <c r="H31" i="19"/>
  <c r="J31" i="19" s="1"/>
  <c r="H43" i="19"/>
  <c r="J43" i="19" s="1"/>
  <c r="H35" i="19"/>
  <c r="J35" i="19" s="1"/>
  <c r="H29" i="19"/>
  <c r="J29" i="19" s="1"/>
  <c r="H44" i="19"/>
  <c r="J44" i="19" s="1"/>
  <c r="H40" i="19"/>
  <c r="J40" i="19" s="1"/>
  <c r="H37" i="19"/>
  <c r="J37" i="19" s="1"/>
  <c r="H32" i="19"/>
  <c r="J32" i="19" s="1"/>
  <c r="H27" i="19"/>
  <c r="J27" i="19" s="1"/>
  <c r="H42" i="19"/>
  <c r="J42" i="19" s="1"/>
  <c r="H38" i="19"/>
  <c r="J38" i="19" s="1"/>
  <c r="H33" i="19"/>
  <c r="J33" i="19" s="1"/>
  <c r="H30" i="19"/>
  <c r="J30" i="19" s="1"/>
  <c r="E21" i="17"/>
  <c r="E23" i="17"/>
  <c r="F25" i="17"/>
  <c r="F35" i="17" a="1"/>
  <c r="F35" i="17" s="1"/>
  <c r="H32" i="17" l="1"/>
  <c r="J32" i="17" s="1"/>
  <c r="H31" i="17"/>
  <c r="J31" i="17" s="1"/>
  <c r="G44" i="19"/>
  <c r="I44" i="19" s="1"/>
  <c r="G43" i="19"/>
  <c r="I43" i="19" s="1"/>
  <c r="G42" i="19"/>
  <c r="I42" i="19" s="1"/>
  <c r="G41" i="19"/>
  <c r="I41" i="19" s="1"/>
  <c r="G40" i="19"/>
  <c r="I40" i="19" s="1"/>
  <c r="G39" i="19"/>
  <c r="I39" i="19" s="1"/>
  <c r="G38" i="19"/>
  <c r="I38" i="19" s="1"/>
  <c r="G37" i="19"/>
  <c r="I37" i="19" s="1"/>
  <c r="G36" i="19"/>
  <c r="I36" i="19" s="1"/>
  <c r="G35" i="19"/>
  <c r="I35" i="19" s="1"/>
  <c r="G34" i="19"/>
  <c r="I34" i="19" s="1"/>
  <c r="G33" i="19"/>
  <c r="I33" i="19" s="1"/>
  <c r="G32" i="19"/>
  <c r="I32" i="19" s="1"/>
  <c r="G31" i="19"/>
  <c r="I31" i="19" s="1"/>
  <c r="G30" i="19"/>
  <c r="I30" i="19" s="1"/>
  <c r="G29" i="19"/>
  <c r="I29" i="19" s="1"/>
  <c r="G28" i="19"/>
  <c r="I28" i="19" s="1"/>
  <c r="G27" i="19"/>
  <c r="I27" i="19" s="1"/>
  <c r="B35" i="17" a="1"/>
  <c r="B35" i="17" s="1"/>
  <c r="H30" i="17"/>
  <c r="J30" i="17" s="1"/>
  <c r="H29" i="17"/>
  <c r="J29" i="17" s="1"/>
  <c r="H28" i="17"/>
  <c r="J28" i="17" s="1"/>
  <c r="H27" i="17"/>
  <c r="J27" i="17" s="1"/>
  <c r="H26" i="17"/>
  <c r="J26" i="17" s="1"/>
  <c r="H25" i="17"/>
  <c r="J25" i="17" s="1"/>
  <c r="H24" i="17"/>
  <c r="J24" i="17" s="1"/>
  <c r="H23" i="17"/>
  <c r="J23" i="17" s="1"/>
  <c r="H22" i="17"/>
  <c r="J22" i="17" s="1"/>
  <c r="H21" i="17"/>
  <c r="J21" i="17" s="1"/>
  <c r="G31" i="17" l="1"/>
  <c r="I31" i="17" s="1"/>
  <c r="G32" i="17"/>
  <c r="I32" i="17" s="1"/>
  <c r="G25" i="17"/>
  <c r="I25" i="17" s="1"/>
  <c r="G28" i="17"/>
  <c r="I28" i="17" s="1"/>
  <c r="G27" i="17"/>
  <c r="I27" i="17" s="1"/>
  <c r="G26" i="17"/>
  <c r="I26" i="17" s="1"/>
  <c r="G24" i="17"/>
  <c r="I24" i="17" s="1"/>
  <c r="G23" i="17"/>
  <c r="I23" i="17" s="1"/>
  <c r="G29" i="17"/>
  <c r="I29" i="17" s="1"/>
  <c r="G22" i="17"/>
  <c r="I22" i="17" s="1"/>
  <c r="G21" i="17"/>
  <c r="I21" i="17" s="1"/>
  <c r="G30" i="17"/>
  <c r="I30" i="17" s="1"/>
  <c r="G52" i="62" l="1"/>
  <c r="G51" i="62"/>
  <c r="G50" i="62"/>
  <c r="E18" i="74" l="1"/>
  <c r="F18" i="74"/>
  <c r="H18" i="74" s="1"/>
  <c r="E20" i="74"/>
  <c r="F20" i="74" s="1"/>
  <c r="H20" i="74" s="1"/>
  <c r="E21" i="74"/>
  <c r="F21" i="74"/>
  <c r="H21" i="74" s="1"/>
  <c r="E19" i="74"/>
  <c r="F19" i="74" s="1"/>
  <c r="H19" i="74" s="1"/>
  <c r="E22" i="74"/>
  <c r="F22" i="74"/>
  <c r="H22" i="74" s="1"/>
  <c r="E23" i="74"/>
  <c r="F23" i="74" s="1"/>
  <c r="H23" i="74" s="1"/>
  <c r="E16" i="74"/>
  <c r="F16" i="74" s="1"/>
  <c r="E24" i="74"/>
  <c r="F24" i="74" s="1"/>
  <c r="H24" i="74" s="1"/>
  <c r="E17" i="74"/>
  <c r="F17" i="74"/>
  <c r="H17" i="7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<sst xmlns="http://schemas.openxmlformats.org/spreadsheetml/2006/main" count="5518" uniqueCount="422">
  <si>
    <t>Size [kw_th]</t>
  </si>
  <si>
    <t>Ref</t>
  </si>
  <si>
    <t>[138]</t>
  </si>
  <si>
    <t>Condensing Boilers</t>
  </si>
  <si>
    <t>Link</t>
  </si>
  <si>
    <t>[139]</t>
  </si>
  <si>
    <t>Hoval UltraGas Description ® (15-100) Floor-standing gas condensing boiler</t>
  </si>
  <si>
    <t>https://edergen.be/uploads/downloads/Hoval-UltraGas-15-100-EN.pdf</t>
  </si>
  <si>
    <t>[140]</t>
  </si>
  <si>
    <t>https://cdn.hoval.com/topgas-classic-100-120-exa-en-25-hybris-original.pdf</t>
  </si>
  <si>
    <t>Hoval TopGas Description ® classic (100,120) Wall-hanging gas condensing boiler</t>
  </si>
  <si>
    <t>ref eff, min load</t>
  </si>
  <si>
    <t>XD (size) [kW_th]</t>
  </si>
  <si>
    <t>Point</t>
  </si>
  <si>
    <t>In (input) [kW_HHV]</t>
  </si>
  <si>
    <t xml:space="preserve">PL </t>
  </si>
  <si>
    <t>NL</t>
  </si>
  <si>
    <t>Out (output) [kW_th]</t>
  </si>
  <si>
    <t>HEAT</t>
  </si>
  <si>
    <t>k1</t>
  </si>
  <si>
    <t>k2</t>
  </si>
  <si>
    <t>k3</t>
  </si>
  <si>
    <t>Out calc (output) [kW_th]</t>
  </si>
  <si>
    <t>Out err</t>
  </si>
  <si>
    <t>input [kW_LHV]</t>
  </si>
  <si>
    <t>In (input) [kW_LHV]</t>
  </si>
  <si>
    <t>[141]</t>
  </si>
  <si>
    <t>https://www.kwb.net/fileadmin/media/EN/Technik_Planung_Anleitungen_PDF/KWB_T_P_EN_04_2025_Modul_E_Wood_chip_and_pellet_Heatings_system_20-150_kW.pdf</t>
  </si>
  <si>
    <t>Wood chip &amp; Pellet heating systems 20 – 150 kW - Technology &amp; Planning 2025</t>
  </si>
  <si>
    <t>https://en.kostrzewa.com.pl/products/mini-bio-ne</t>
  </si>
  <si>
    <t>Mini Bio NE</t>
  </si>
  <si>
    <t>input [kW_el]</t>
  </si>
  <si>
    <t>eff (COP)</t>
  </si>
  <si>
    <t>ICE CHP</t>
  </si>
  <si>
    <t>ICE CHP PL</t>
  </si>
  <si>
    <t>ICE CHP NL</t>
  </si>
  <si>
    <t>[147]</t>
  </si>
  <si>
    <t>https://www.combustion-engines.eu/pdf-142951-74319?filename=The+tests+of+micro_CHP.pdf</t>
  </si>
  <si>
    <t>[148]</t>
  </si>
  <si>
    <t>[149]</t>
  </si>
  <si>
    <t>The tests of micro-CHP prototype with SI engine powered by LPG and natural gas</t>
  </si>
  <si>
    <t>[150]</t>
  </si>
  <si>
    <t>[151]</t>
  </si>
  <si>
    <t>eff_el [%]</t>
  </si>
  <si>
    <t>eff_th [%]</t>
  </si>
  <si>
    <t>https://www.totem.energy/totem_gamma/</t>
  </si>
  <si>
    <t>Totem Datasheets</t>
  </si>
  <si>
    <t>https://www.shentongroup.co.uk/tech-info/datasheets</t>
  </si>
  <si>
    <t>ShentonGroup Datasheets &amp; Technical Drawings</t>
  </si>
  <si>
    <t>Out EE [kw_el]</t>
  </si>
  <si>
    <t>Out Heat [kw_th]</t>
  </si>
  <si>
    <t>input [kW_LHV] el</t>
  </si>
  <si>
    <t>input [kW_LHV] th</t>
  </si>
  <si>
    <t>input [kW_LHV] both</t>
  </si>
  <si>
    <t>XD (size) [kW_el]</t>
  </si>
  <si>
    <t>EE</t>
  </si>
  <si>
    <t>Out (output) [kW_el]</t>
  </si>
  <si>
    <t>Out calc (output) [kW_el]</t>
  </si>
  <si>
    <t>k1 EE</t>
  </si>
  <si>
    <t>k2 EE</t>
  </si>
  <si>
    <t>k3 EE</t>
  </si>
  <si>
    <t>k1 HEAT</t>
  </si>
  <si>
    <t>k2 HEAT</t>
  </si>
  <si>
    <t>k3 HEAT</t>
  </si>
  <si>
    <t>biomass ORC</t>
  </si>
  <si>
    <t>biomass ORC PL</t>
  </si>
  <si>
    <t>biomass ORC NL</t>
  </si>
  <si>
    <t>fonti</t>
  </si>
  <si>
    <t>https://www.turboden.com/products/2463/orc-system</t>
  </si>
  <si>
    <t>https://ee-ip.org/fileadmin/user_upload/DOCUMENTS/Content/15-COM.P-7-rev.7.pdf</t>
  </si>
  <si>
    <t>https://iea.blob.core.windows.net/assets/imports/events/122/Alessandro_Foresti_2015_03_23_Kiev.pdf</t>
  </si>
  <si>
    <t>Turboden: ORC Solutions for Cogeneration and District Heating</t>
  </si>
  <si>
    <t>Turboden</t>
  </si>
  <si>
    <t>https://www.turboden.com/references</t>
  </si>
  <si>
    <t>Turboden References</t>
  </si>
  <si>
    <t>Out EE [Mw_el]</t>
  </si>
  <si>
    <t>Out Heat [Mw_th]</t>
  </si>
  <si>
    <t>HP?</t>
  </si>
  <si>
    <t>total eff PL = total eff NL</t>
  </si>
  <si>
    <t>HP1</t>
  </si>
  <si>
    <t>eff tot [%]</t>
  </si>
  <si>
    <t>input [MW_LHV]</t>
  </si>
  <si>
    <t>Non Condensing Boilers</t>
  </si>
  <si>
    <t xml:space="preserve">Non Condensing boiler PL </t>
  </si>
  <si>
    <t xml:space="preserve">Non Condensing boiler NL </t>
  </si>
  <si>
    <t>Size [BHP]</t>
  </si>
  <si>
    <t>[152]</t>
  </si>
  <si>
    <t>https://it.scribd.com/document/80458550/CB-7768-Gen-boiler-Efficiency-Tables</t>
  </si>
  <si>
    <t>CBLE Firetube Boiler</t>
  </si>
  <si>
    <t>[153]</t>
  </si>
  <si>
    <t>https://cleaverbrooks.com/Catalog/boilers/firetube/cble</t>
  </si>
  <si>
    <t>accessed 2/11/2025</t>
  </si>
  <si>
    <t>[152][153]</t>
  </si>
  <si>
    <t xml:space="preserve">Condensing boiler PL </t>
  </si>
  <si>
    <t xml:space="preserve">Condensing boiler NL </t>
  </si>
  <si>
    <t>https://hmg-attachments.s3-eu-west-1.amazonaws.com/U91877_Datasheet.pdf?utm_source=chatgpt.com</t>
  </si>
  <si>
    <t>Bosch Condens 7000F Boiler</t>
  </si>
  <si>
    <t>[154]</t>
  </si>
  <si>
    <t>[155]</t>
  </si>
  <si>
    <t>VITOCROSSAL 200</t>
  </si>
  <si>
    <t>https://www.viessmann-us.com/content/dam/public-brands/ca/pdfs/gas-fired/vitocrossal_200-cm2_lg_gw6b_tdm.pdf/_jcr_content/renditions/original./vitocrossal_200-cm2_lg_gw6b_tdm.pdf</t>
  </si>
  <si>
    <t>SOFC CHP</t>
  </si>
  <si>
    <t>SOFC CHP PL</t>
  </si>
  <si>
    <t>SOFC CHP NL</t>
  </si>
  <si>
    <t>https://www.researchgate.net/publication/341720840_Efficiency_analysis_of_50_kWe_SOFC_systems_fueled_with_biogas_from_waste_water</t>
  </si>
  <si>
    <t>Efficiency analysis of 50 kWe SOFC systems fueled with biogas from waste water</t>
  </si>
  <si>
    <t>[156]</t>
  </si>
  <si>
    <t>[157]</t>
  </si>
  <si>
    <t>Convion C60</t>
  </si>
  <si>
    <t>https://convion.fi/wp-content/uploads/2023/09/Convion_C60_brochure_2023.pdf</t>
  </si>
  <si>
    <t>BLUEGEN -15</t>
  </si>
  <si>
    <t>[158]</t>
  </si>
  <si>
    <t>https://bluegen.eu/wp-content/uploads/2022/09/Brochure_Bluegen_ENG_2022-09_v3_acc.pdf</t>
  </si>
  <si>
    <t>[159]</t>
  </si>
  <si>
    <t>The Bloom Energy Server 6.5</t>
  </si>
  <si>
    <t>https://www.bloomenergy.com/wp-content/uploads/bloom-energy-server-datasheet-2024.pdf</t>
  </si>
  <si>
    <t>eff_tot [%]</t>
  </si>
  <si>
    <t>[160]</t>
  </si>
  <si>
    <t>https://unige.iris.cineca.it/bitstream/11567/932321/1/1-s2.0-S0360544218323028-main.pdf</t>
  </si>
  <si>
    <t>Solid oxide fuel cell hybrid system: a detailed review of an environmentally clean and efficient source of energy</t>
  </si>
  <si>
    <t xml:space="preserve">Note </t>
  </si>
  <si>
    <t xml:space="preserve">PEM FC CHP PL </t>
  </si>
  <si>
    <t>PEMFC CHP</t>
  </si>
  <si>
    <t xml:space="preserve">PEM FC CHP NL </t>
  </si>
  <si>
    <t>https://ecp.ep.liu.se/index.php/sims/article/download/515/475/437</t>
  </si>
  <si>
    <t>[163]</t>
  </si>
  <si>
    <t>https://powercellgroup.com/segments/power-generation/</t>
  </si>
  <si>
    <t>Zero-Emission Power Generation Solutions</t>
  </si>
  <si>
    <t>absorption chiller large PL</t>
  </si>
  <si>
    <t>absorption chiller large NL</t>
  </si>
  <si>
    <t>Size [TR]</t>
  </si>
  <si>
    <t>Size [kW_th]</t>
  </si>
  <si>
    <t>Reference</t>
  </si>
  <si>
    <t>Direct Fired VAM XP Series</t>
  </si>
  <si>
    <t>https://www.thermaxglobal.com/wp-content/uploads/2024/09/Direct-Fired-Absorption-Chiller-XP-Brochure.pdf</t>
  </si>
  <si>
    <t>1 TR = 3.517 kW_th</t>
  </si>
  <si>
    <t>NG input [Nm³/h]</t>
  </si>
  <si>
    <t>[164]</t>
  </si>
  <si>
    <t>NCVgas= 9000 kcal/Nm3 = 10.465 kWh/Nm3</t>
  </si>
  <si>
    <t>eff_burner = 0.94</t>
  </si>
  <si>
    <t>[165]</t>
  </si>
  <si>
    <t>https://www.mechanicalresource.com/hubfs/Resource%20Center%20Files/White%20Papers/Riello/RTC%203000-4000-5000-6000%20RTC%208000-10000%20RTC%20USA%20INSTALLATION%2C%20OPERATION%20AND%20SERVICE%20MANUAL.pdf?hsLang=en</t>
  </si>
  <si>
    <t>RTC 3000-4000-5000-6000 RTC 8000-10000</t>
  </si>
  <si>
    <t>Heat Input [kW_th]</t>
  </si>
  <si>
    <t>COP NL</t>
  </si>
  <si>
    <t>https://www.shareddocs.com/hvac/docs/1001/Public/0E/16DNH-Product-data-PD5-20090423.pdf</t>
  </si>
  <si>
    <t>[166]</t>
  </si>
  <si>
    <t>valido su tutta gamma</t>
  </si>
  <si>
    <t>COP PL</t>
  </si>
  <si>
    <t>16DNH - Product Data</t>
  </si>
  <si>
    <t>https://cellar-c2.services.clever-cloud.com/com-mcphy/uploads/2020/08/20.05.McPhy_Portfolio_ELY_McLyzer_EN.pdf</t>
  </si>
  <si>
    <t>https://ucpcdn.thyssenkrupp.com/_binary/UCPthyssenkruppBAISUhdeChlorineEngineers/en/products/water-electrolysis-hydrogen-production/alkaline-water-electrolysis/link-thyssenkrupp_Hydrogen_Water_Electrolysis_and_green_chemicals.pdf</t>
  </si>
  <si>
    <t>https://www.finh2.fi/wp-content/uploads/highlights-of-alkaline-electrolyzer-development.pdf</t>
  </si>
  <si>
    <t>eff (%)</t>
  </si>
  <si>
    <t>Hydrogen from large-scale electrolysis</t>
  </si>
  <si>
    <t>Mclyzer</t>
  </si>
  <si>
    <t>[169]</t>
  </si>
  <si>
    <t>[170]</t>
  </si>
  <si>
    <t>SEC [kw_Nm3]</t>
  </si>
  <si>
    <t>[171]</t>
  </si>
  <si>
    <t>[169] [171]</t>
  </si>
  <si>
    <t>[170][171]</t>
  </si>
  <si>
    <t>Highlights of alkaline electrolyzer development</t>
  </si>
  <si>
    <t>https://hydrogenindustryleaders.com/8-elogen-11-24.pdf</t>
  </si>
  <si>
    <t>Reliable &amp; HighPerformance PEM Electrolyser for the UK</t>
  </si>
  <si>
    <t>PEM Electrolyzers HyLYZER® Series</t>
  </si>
  <si>
    <t>https://www.accelerazero.com/sites/default/files/2023-03/Electrolyzer%20Technologies%20-%20Brochure%20-%20Accelera%20by%20Cummins%20-%2003%2003%202023_0.pdf?utm_campaign=newpower-accelera-tradeshows&amp;utm_content=&amp;utm_medium=qr-code</t>
  </si>
  <si>
    <t>[172]</t>
  </si>
  <si>
    <t>[173]</t>
  </si>
  <si>
    <t>HyLYZER® 250/500</t>
  </si>
  <si>
    <t>https://www.accelerazero.com/sites/default/files/2025-11/Accelera_HyLYZER_250_500_spec_sheet_2025.pdf</t>
  </si>
  <si>
    <t>SEC [kw_kg]</t>
  </si>
  <si>
    <t>[172][173]</t>
  </si>
  <si>
    <t>[174]</t>
  </si>
  <si>
    <t>HyLYZER® 400/500</t>
  </si>
  <si>
    <t>[172][174]</t>
  </si>
  <si>
    <t>https://www.accelerazero.com/sites/default/files/2025-09/HyLYZER-500-spec-sheet-2025.pdf</t>
  </si>
  <si>
    <t>HyLYZER® 1000</t>
  </si>
  <si>
    <t>[175]</t>
  </si>
  <si>
    <t>https://www.accelerazero.com/sites/default/files/2025-09/HyLYZER-1000-spec-sheet-2025.pdf</t>
  </si>
  <si>
    <t>[172][175]</t>
  </si>
  <si>
    <t>[176]</t>
  </si>
  <si>
    <t>https://ecodesign.tranetechnologies.com/ords/r/stsbx/ecodesigndatasheetmgmt/home</t>
  </si>
  <si>
    <t>Ecodesign Datasheet Management</t>
  </si>
  <si>
    <t>[177]</t>
  </si>
  <si>
    <t>https://trane.eu/uk/equipment/product-details.html?prodId=224</t>
  </si>
  <si>
    <t>XStream™ RTWF Water-to-Water Heat Pump</t>
  </si>
  <si>
    <t>[178]</t>
  </si>
  <si>
    <t>[177][178]</t>
  </si>
  <si>
    <t xml:space="preserve">HP (wate-water) PL </t>
  </si>
  <si>
    <t xml:space="preserve">HP (wate-water) NL </t>
  </si>
  <si>
    <t>[177][179]</t>
  </si>
  <si>
    <t>[179]</t>
  </si>
  <si>
    <t>NOTE: Data for HE (high efficiency), refrigerant R134a, RTWF model, High Vi (volume ratio), Tj=7 °C.</t>
  </si>
  <si>
    <t>https://trane.eu/uk/equipment/product-details.html?prodId=221</t>
  </si>
  <si>
    <t>City Advantage CXWF Water-to-Water Heat Pump</t>
  </si>
  <si>
    <t>Water-Water HP (and geo)</t>
  </si>
  <si>
    <t>Water-Water HP (and Geo)</t>
  </si>
  <si>
    <t xml:space="preserve">Air-Water HP </t>
  </si>
  <si>
    <t xml:space="preserve">HP (air-water) PL </t>
  </si>
  <si>
    <t xml:space="preserve">HP (air-water) NL </t>
  </si>
  <si>
    <t>[180]</t>
  </si>
  <si>
    <t>https://trane.eu/uk/equipment/product-details.html?prodId=216</t>
  </si>
  <si>
    <t>Sintesis Advantage CXAF Air-to-Water Heat Pump</t>
  </si>
  <si>
    <t>[177][180]</t>
  </si>
  <si>
    <t>NOTE: Data for HE (high efficiency), refrigerant R454b, CXAX model,  Tj=7 °C, LN (low noise), fans EC,  Hydronic Pump is not considered in the data (consistency).</t>
  </si>
  <si>
    <t>NOTE: Data for HE (high efficiency), refrigerant R454b, CXAF model, Tj=7 °C, LN (low noise), fans EC,  Hydronic Pump is not considered in the data (consistency).</t>
  </si>
  <si>
    <t>[181]</t>
  </si>
  <si>
    <t>Conquest CXAX Air-to-Water Heat Pump</t>
  </si>
  <si>
    <t>https://trane.eu/uk/equipment/product-details.html?prodId=215</t>
  </si>
  <si>
    <t>[177][181]</t>
  </si>
  <si>
    <t>Decentralized Wood Chip Boiler  PL</t>
  </si>
  <si>
    <t>Decentralized Wood Chip Boiler  NL</t>
  </si>
  <si>
    <t>[183]</t>
  </si>
  <si>
    <t>https://www.kwb.net/en/products/wood-heating-systems/wood-chip-boilers/kwb-powerfire/</t>
  </si>
  <si>
    <t>KWB Powerfire 1 - Wood chip biomass boiler</t>
  </si>
  <si>
    <t>Wood Chip Boiler</t>
  </si>
  <si>
    <t>Pellet Boiler</t>
  </si>
  <si>
    <t>[184]</t>
  </si>
  <si>
    <t>https://www.kwb.net/en/products/wood-heating-systems/wood-chip-boilers/kwb-powerfire-2/</t>
  </si>
  <si>
    <t>KWB Powerfire 2</t>
  </si>
  <si>
    <t>[185]</t>
  </si>
  <si>
    <t>BioFire 500-1500 P45S</t>
  </si>
  <si>
    <t>https://www.myriadproducts.co.uk/hubfs/Resource%20centre%20files/Biomass%20products%20-%20Datasheets/Datasheet%20BF%20500-1500kW%20P45S%20v1.0.pdf?hsLang=en</t>
  </si>
  <si>
    <t>[187]</t>
  </si>
  <si>
    <t>https://trane.eu/uk/equipment/product-details.html?prodId=2110</t>
  </si>
  <si>
    <t>Trane Leaf Air-to-Water Heat Pump</t>
  </si>
  <si>
    <t>[177][187]</t>
  </si>
  <si>
    <t>NOTE: Data for refrigerant R290, LEAF model,  Tj=7 °C,  Hydronic Pump is not considered in the data (consistency).</t>
  </si>
  <si>
    <t xml:space="preserve">[188] </t>
  </si>
  <si>
    <t>LHV &amp; HHV for NG</t>
  </si>
  <si>
    <t>https://www.engineeringtoolbox.com/fuels-higher-calorific-values-d_169.html</t>
  </si>
  <si>
    <t>eff [%] HHV</t>
  </si>
  <si>
    <t>eff [%] LHV</t>
  </si>
  <si>
    <t>Tutte le taglie da ref 148 presentano profili lineari</t>
  </si>
  <si>
    <t>(Pot in ingresso = Input, Carico El = Output)</t>
  </si>
  <si>
    <t>Modello 10</t>
  </si>
  <si>
    <t>Modello 30</t>
  </si>
  <si>
    <t>Per quelli da ref 147:</t>
  </si>
  <si>
    <t>PL</t>
  </si>
  <si>
    <t>effPL/effNL</t>
  </si>
  <si>
    <t>Output Power [kW_th]</t>
  </si>
  <si>
    <t>Fuel Cell Stack Performance [MJ/kg_H2]</t>
  </si>
  <si>
    <t>eff LHV [%]</t>
  </si>
  <si>
    <t>Input [kW_th] (LHV)</t>
  </si>
  <si>
    <t>FCRp =0.82</t>
  </si>
  <si>
    <t>FCRp</t>
  </si>
  <si>
    <t>Model 1820 TR</t>
  </si>
  <si>
    <t>COPp</t>
  </si>
  <si>
    <t>Input [kW_th]</t>
  </si>
  <si>
    <t>input [kW_th]</t>
  </si>
  <si>
    <t>Compression chiller large PL</t>
  </si>
  <si>
    <t>Compression chiller large NL</t>
  </si>
  <si>
    <t>Output [kW_th]</t>
  </si>
  <si>
    <t>Alkaline Electrolyzer PL</t>
  </si>
  <si>
    <t>Alkaline Electrolyzer NL</t>
  </si>
  <si>
    <t>Alkaline el PL</t>
  </si>
  <si>
    <t>Alkaline el NL</t>
  </si>
  <si>
    <t>SEC [kWh/kg_H2]</t>
  </si>
  <si>
    <t>SEC [kWh/Nm3]</t>
  </si>
  <si>
    <t>SECp/SECn</t>
  </si>
  <si>
    <t>Model 20000 kW_th</t>
  </si>
  <si>
    <t>eff</t>
  </si>
  <si>
    <t>eff [%] (LHV)</t>
  </si>
  <si>
    <t>Alkaline Electrolyzer</t>
  </si>
  <si>
    <t xml:space="preserve">HP applicata: % of output power in PL = % of current </t>
  </si>
  <si>
    <t>30% è minimo di modelli che ho trovato, ed efficienza è gia data, idem per 100%</t>
  </si>
  <si>
    <t>Ma si può aggiungere punto 60%</t>
  </si>
  <si>
    <t>Utilizzo metodo indiretto che ha errore molto più basso</t>
  </si>
  <si>
    <t>PL 60%</t>
  </si>
  <si>
    <t>rapporto eff_PL/eff_NL</t>
  </si>
  <si>
    <t>NL 100%</t>
  </si>
  <si>
    <t>Decentralized Pellet Boiler  PL</t>
  </si>
  <si>
    <t>Decentralized Pellet Boiler  NL</t>
  </si>
  <si>
    <t>Decentralized Wood Chip Boiler  NL MODEL 1500 kW WOOD CHIPS</t>
  </si>
  <si>
    <t>eff_th</t>
  </si>
  <si>
    <t>Ratio eff_minPL/eff_NL</t>
  </si>
  <si>
    <t>https://task32.ieabioenergy.com/wp-content/uploads/sites/2/2017/03/IEA-_Verenum_2006_Efficiency.pdf</t>
  </si>
  <si>
    <t>Da Manuale tecnico Aermec 0280-0750</t>
  </si>
  <si>
    <t>NRL0600</t>
  </si>
  <si>
    <t>1° Gradino di Potenza</t>
  </si>
  <si>
    <t>2° Gradino di Potenza</t>
  </si>
  <si>
    <t>3° Gradino di Potenza</t>
  </si>
  <si>
    <t>4° Gradino di Potenza</t>
  </si>
  <si>
    <t>Potenza termica [%}</t>
  </si>
  <si>
    <t>Potenza assorbita%</t>
  </si>
  <si>
    <t>PL [%]</t>
  </si>
  <si>
    <t>Efficiency Correction Factor</t>
  </si>
  <si>
    <t>COP</t>
  </si>
  <si>
    <t>Applicato a modello 26 kW</t>
  </si>
  <si>
    <t>26 kW_th</t>
  </si>
  <si>
    <t>14 kW_th</t>
  </si>
  <si>
    <t>COP reale</t>
  </si>
  <si>
    <t>n.a.</t>
  </si>
  <si>
    <t>Output</t>
  </si>
  <si>
    <t>Input</t>
  </si>
  <si>
    <t>Poiché PL min per modello 14 kW_th è circa 50% PL, applichiamo il punto PL a 73%</t>
  </si>
  <si>
    <t>circa 50%</t>
  </si>
  <si>
    <t>6 kW_th</t>
  </si>
  <si>
    <t>68 kW_th</t>
  </si>
  <si>
    <t>120 kW_th</t>
  </si>
  <si>
    <t>Poiché PL min per modello 30 kW_th è circa 30% PL, applichiamo il punto PL a 73% e 48%</t>
  </si>
  <si>
    <t>circa 30%</t>
  </si>
  <si>
    <t>circa 35%</t>
  </si>
  <si>
    <t>124 kW_th</t>
  </si>
  <si>
    <t>Poiché PL min per modello 124 kW_th è circa 35% PL, applichiamo il punto PL a 73% e 48%</t>
  </si>
  <si>
    <t>Poiché PL min per modello 68 kW_th è circa 35% PL, applichiamo il punto PL a 73% e 48%</t>
  </si>
  <si>
    <t>Poiché PL min per modello 120 kW_th è circa 35% PL, applichiamo il punto PL a 73% e 48%</t>
  </si>
  <si>
    <t>261 kW_th</t>
  </si>
  <si>
    <t>Poiché PL min per modello 261 kW_th è circa 35% PL, applichiamo il punto PL a 73% e 48%</t>
  </si>
  <si>
    <t>Poiché PL min per modello 554 kW_th è circa 35% PL, applichiamo il punto PL a 73% e 48%</t>
  </si>
  <si>
    <t>554 kW_th</t>
  </si>
  <si>
    <t>52 kW_th</t>
  </si>
  <si>
    <t>196 kW_th</t>
  </si>
  <si>
    <t>287 kW_th</t>
  </si>
  <si>
    <t>335 kW_th</t>
  </si>
  <si>
    <t>409 kW_th</t>
  </si>
  <si>
    <t>63 kW_th</t>
  </si>
  <si>
    <t>165 kW_th</t>
  </si>
  <si>
    <t>438 kW_th</t>
  </si>
  <si>
    <t>443 kW_th</t>
  </si>
  <si>
    <t>1707 kW_th</t>
  </si>
  <si>
    <t>981 kW_th</t>
  </si>
  <si>
    <t>eff (EER)</t>
  </si>
  <si>
    <t>Model 52.7 kW_th</t>
  </si>
  <si>
    <t>Output [kw_th]</t>
  </si>
  <si>
    <t>Model 217.2 kW_th</t>
  </si>
  <si>
    <t>Model 694.8 kW_th</t>
  </si>
  <si>
    <t>Compression Chiller (water)</t>
  </si>
  <si>
    <t>Model 849 kW_th</t>
  </si>
  <si>
    <t>Model 1571.2 kW_th</t>
  </si>
  <si>
    <t>Model 2155.2 kW_th</t>
  </si>
  <si>
    <t xml:space="preserve">Note: Chosen models with XE Low Vi E...B C...C1 R1234ze </t>
  </si>
  <si>
    <t>Note: models  CGWF HE R454B</t>
  </si>
  <si>
    <t>Compression Chiller (air)</t>
  </si>
  <si>
    <t>Model 334 kW_th</t>
  </si>
  <si>
    <t>Model 828 kW_th</t>
  </si>
  <si>
    <t>Model 1617 kW_th</t>
  </si>
  <si>
    <t>Note: models  RTAF  HE LN R134a</t>
  </si>
  <si>
    <t>Note: models CGAF  HE EC LN</t>
  </si>
  <si>
    <t>Model 137 kW_th</t>
  </si>
  <si>
    <t>Model 236.7 kW_th</t>
  </si>
  <si>
    <t>Model 309 kW_th</t>
  </si>
  <si>
    <t>Note: models CGAX  HE LN R454B</t>
  </si>
  <si>
    <t>Note: models CGAX  HE LN R454B till 130 KW</t>
  </si>
  <si>
    <t>Model 96 kW_th</t>
  </si>
  <si>
    <t>Model 40 kW_th</t>
  </si>
  <si>
    <t>Model 63 kW_th</t>
  </si>
  <si>
    <t>Model 81 kW_th</t>
  </si>
  <si>
    <t>[149][189]</t>
  </si>
  <si>
    <t>[150][189]</t>
  </si>
  <si>
    <t>[151][189]</t>
  </si>
  <si>
    <t xml:space="preserve">[189] </t>
  </si>
  <si>
    <t xml:space="preserve">Biomass-fired Organic Rankine Cycle combined heat and power systems - A. Guercio, R. Bini
</t>
  </si>
  <si>
    <t>[160][156]</t>
  </si>
  <si>
    <t>Load</t>
  </si>
  <si>
    <t>el eff</t>
  </si>
  <si>
    <t>[190]</t>
  </si>
  <si>
    <t>[191]</t>
  </si>
  <si>
    <t>https://www.nusc.gov.tw/english/About-NSC/Establishment-of-a-High-Efficiency-Electric-Power-System-INER-s-1-kW-Solid-Oxide-Fuel-Cell-Power-System-20080811-195.html</t>
  </si>
  <si>
    <t>Establishment of a High Efficiency Electric Power System-- INER's 1 kW Solid Oxide Fuel Cell Power System</t>
  </si>
  <si>
    <t>https://www.prnewswire.com/news-releases/thermal-electric-cogeneration-efficiency-of-92-55-ranks-first-in-the-world-weichai-releases-the-worlds-first-commercialized-high-power-metal-supported-sofc-product-301762592.html</t>
  </si>
  <si>
    <t>Thermal-electric cogeneration efficiency of 92.55% ranks first in the world. </t>
  </si>
  <si>
    <t>[158][156][190][191]</t>
  </si>
  <si>
    <t>[156][190][191]</t>
  </si>
  <si>
    <t>Absorption Chiller steam</t>
  </si>
  <si>
    <t>STEAM</t>
  </si>
  <si>
    <t>GRUPPI REFRIGERANTI ALIMENTATI AD ACQUA CALDA 1 Specifiche tecniche - Yazaki</t>
  </si>
  <si>
    <t>https://maya-airconditioning.com/wp-content/uploads/2022/10/1_WFC_MBCE1_Specifiche_tecniche_ver_1_22.pdf</t>
  </si>
  <si>
    <t>PRODUCT CATALOGUE FOR ABSORPTION MACHINES Chillers and Heat pumps</t>
  </si>
  <si>
    <t>https://documentos.mollier.pt/thermax/catalogue2024_tac_l1_eng.pdf</t>
  </si>
  <si>
    <t>HOT WATER</t>
  </si>
  <si>
    <t>% Acqua IN</t>
  </si>
  <si>
    <t>Out</t>
  </si>
  <si>
    <t>In</t>
  </si>
  <si>
    <t>Coeff pen</t>
  </si>
  <si>
    <t>COP_pl/COP_nl</t>
  </si>
  <si>
    <t>Absorption Chiller hot water</t>
  </si>
  <si>
    <t>1_NG</t>
  </si>
  <si>
    <t>1_Heat</t>
  </si>
  <si>
    <t>2_NG</t>
  </si>
  <si>
    <t>2_Heat</t>
  </si>
  <si>
    <t>1_El e 2_El per altri</t>
  </si>
  <si>
    <t>PEM electrolyzer PL</t>
  </si>
  <si>
    <t>PEM electrolyzer NL</t>
  </si>
  <si>
    <t>PEM electrolyzer</t>
  </si>
  <si>
    <t>NOTE: Data for HE  efficiency, refrigerant R454b, CXFW model, Tj=7 °C.</t>
  </si>
  <si>
    <t>NOTE: Data for HE  efficiency, refrigerant R454b, CXFW model, Tj=20 °C.</t>
  </si>
  <si>
    <t>NOTE: Data for HE (high efficiency), refrigerant R134a, RTWF model, Tj=20 °C, High Vi (volume ratio).</t>
  </si>
  <si>
    <t>NOTE: Data for refrigerant R290, LEAF model,  Tj=20 °C,  Hydronic Pump is not considered in the data (consistency).</t>
  </si>
  <si>
    <t>NOTE: Data for HE (high efficiency), refrigerant R454b, CXAF model, Tj=20°C, LN (low noise),  Hydronic Pump is not considered in the data (consistency).</t>
  </si>
  <si>
    <t>NOTE: Data for HE (high efficiency), refrigerant R454b, CXAF model, Tj=20 °C, LN (low noise), fans EC,  Hydronic Pump is not considered in the data (consistency).</t>
  </si>
  <si>
    <t>2_WC</t>
  </si>
  <si>
    <t>1_WC</t>
  </si>
  <si>
    <t>1_Pellet</t>
  </si>
  <si>
    <t>2_Pellet</t>
  </si>
  <si>
    <t>1_EE_input</t>
  </si>
  <si>
    <t>2_EE_input</t>
  </si>
  <si>
    <t>Size [kw]</t>
  </si>
  <si>
    <t>Size_OUT [kw]</t>
  </si>
  <si>
    <t>1_H2</t>
  </si>
  <si>
    <t>2_H2</t>
  </si>
  <si>
    <t>1_Cooling</t>
  </si>
  <si>
    <t>2_Cooling</t>
  </si>
  <si>
    <t>1_H_input</t>
  </si>
  <si>
    <t>2_H_input</t>
  </si>
  <si>
    <t>1_EE</t>
  </si>
  <si>
    <t>2_EE</t>
  </si>
  <si>
    <t>1_Biom</t>
  </si>
  <si>
    <t>2_Biom</t>
  </si>
  <si>
    <t>2_Cool</t>
  </si>
  <si>
    <t>1_Cool</t>
  </si>
  <si>
    <t>[167][168]</t>
  </si>
  <si>
    <t>[167]</t>
  </si>
  <si>
    <t>[168]</t>
  </si>
  <si>
    <t>L_Max</t>
  </si>
  <si>
    <t>L_min</t>
  </si>
  <si>
    <t>Point 1 corresponds to minimum load, point 2 to nominal/max load</t>
  </si>
  <si>
    <t>1_Heat_input</t>
  </si>
  <si>
    <t>2_Heat_input</t>
  </si>
  <si>
    <t xml:space="preserve">NL </t>
  </si>
  <si>
    <t xml:space="preserve">Non Condensing boiler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</si>
</sst>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%"/>
    <numFmt numFmtId="167" formatCode="0.0000"/>
    <numFmt numFmtId="168" formatCode="0.0000000"/>
    <numFmt numFmtId="169" formatCode="0.000000"/>
    <numFmt numFmtId="170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2"/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5" fillId="0" borderId="0" xfId="0" applyFont="1"/>
    <xf numFmtId="9" fontId="0" fillId="0" borderId="0" xfId="1" applyFont="1"/>
    <xf numFmtId="166" fontId="0" fillId="0" borderId="0" xfId="1" applyNumberFormat="1" applyFont="1"/>
    <xf numFmtId="0" fontId="0" fillId="4" borderId="0" xfId="0" applyFill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5" borderId="1" xfId="0" applyFill="1" applyBorder="1"/>
    <xf numFmtId="0" fontId="0" fillId="5" borderId="0" xfId="0" applyFill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9" fontId="0" fillId="6" borderId="0" xfId="1" applyFont="1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6" fillId="0" borderId="0" xfId="0" applyFont="1"/>
    <xf numFmtId="166" fontId="0" fillId="0" borderId="1" xfId="1" applyNumberFormat="1" applyFont="1" applyBorder="1"/>
    <xf numFmtId="164" fontId="0" fillId="0" borderId="1" xfId="0" applyNumberFormat="1" applyBorder="1"/>
    <xf numFmtId="0" fontId="0" fillId="8" borderId="0" xfId="0" applyFill="1"/>
    <xf numFmtId="0" fontId="7" fillId="0" borderId="0" xfId="0" applyFont="1"/>
    <xf numFmtId="9" fontId="0" fillId="3" borderId="0" xfId="1" applyFont="1" applyFill="1"/>
    <xf numFmtId="9" fontId="0" fillId="3" borderId="1" xfId="1" applyFont="1" applyFill="1" applyBorder="1"/>
    <xf numFmtId="0" fontId="0" fillId="9" borderId="0" xfId="0" applyFill="1"/>
    <xf numFmtId="0" fontId="0" fillId="9" borderId="1" xfId="0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/>
    <xf numFmtId="10" fontId="0" fillId="0" borderId="1" xfId="1" applyNumberFormat="1" applyFont="1" applyBorder="1" applyAlignment="1"/>
    <xf numFmtId="10" fontId="0" fillId="0" borderId="0" xfId="1" applyNumberFormat="1" applyFont="1" applyAlignment="1">
      <alignment horizontal="right"/>
    </xf>
    <xf numFmtId="0" fontId="0" fillId="2" borderId="1" xfId="0" applyFill="1" applyBorder="1"/>
    <xf numFmtId="1" fontId="0" fillId="0" borderId="1" xfId="0" applyNumberFormat="1" applyBorder="1"/>
    <xf numFmtId="0" fontId="3" fillId="0" borderId="0" xfId="2" applyAlignment="1">
      <alignment horizontal="left"/>
    </xf>
    <xf numFmtId="0" fontId="0" fillId="10" borderId="0" xfId="0" applyFill="1"/>
    <xf numFmtId="0" fontId="0" fillId="10" borderId="1" xfId="0" applyFill="1" applyBorder="1"/>
    <xf numFmtId="0" fontId="0" fillId="11" borderId="0" xfId="0" applyFill="1"/>
    <xf numFmtId="0" fontId="0" fillId="11" borderId="1" xfId="0" applyFill="1" applyBorder="1"/>
    <xf numFmtId="0" fontId="0" fillId="3" borderId="0" xfId="0" applyFill="1"/>
    <xf numFmtId="0" fontId="0" fillId="3" borderId="1" xfId="0" applyFill="1" applyBorder="1"/>
    <xf numFmtId="0" fontId="2" fillId="12" borderId="0" xfId="0" applyFont="1" applyFill="1"/>
    <xf numFmtId="0" fontId="2" fillId="13" borderId="0" xfId="0" applyFont="1" applyFill="1"/>
    <xf numFmtId="0" fontId="0" fillId="14" borderId="0" xfId="0" applyFill="1"/>
    <xf numFmtId="0" fontId="0" fillId="15" borderId="0" xfId="0" applyFill="1"/>
    <xf numFmtId="10" fontId="0" fillId="0" borderId="1" xfId="1" applyNumberFormat="1" applyFont="1" applyBorder="1"/>
    <xf numFmtId="0" fontId="0" fillId="4" borderId="1" xfId="0" applyFill="1" applyBorder="1"/>
    <xf numFmtId="166" fontId="0" fillId="0" borderId="0" xfId="0" applyNumberFormat="1"/>
    <xf numFmtId="1" fontId="0" fillId="0" borderId="0" xfId="0" applyNumberFormat="1"/>
    <xf numFmtId="166" fontId="0" fillId="0" borderId="0" xfId="1" applyNumberFormat="1" applyFont="1" applyAlignment="1">
      <alignment horizontal="right"/>
    </xf>
    <xf numFmtId="166" fontId="0" fillId="0" borderId="1" xfId="1" applyNumberFormat="1" applyFont="1" applyBorder="1" applyAlignment="1">
      <alignment horizontal="right"/>
    </xf>
    <xf numFmtId="9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Output - Input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 Check NG BOILER Small C'!$G$2:$G$5</c:f>
              <c:numCache>
                <c:formatCode>0.0</c:formatCode>
                <c:ptCount val="4"/>
                <c:pt idx="0">
                  <c:v>2.788420604512559</c:v>
                </c:pt>
                <c:pt idx="1">
                  <c:v>6.7148182665424043</c:v>
                </c:pt>
                <c:pt idx="2">
                  <c:v>10.948568088836938</c:v>
                </c:pt>
                <c:pt idx="3">
                  <c:v>14.714476474746681</c:v>
                </c:pt>
              </c:numCache>
            </c:numRef>
          </c:xVal>
          <c:yVal>
            <c:numRef>
              <c:f>' Check NG BOILER Small C'!$C$2:$C$5</c:f>
              <c:numCache>
                <c:formatCode>0.0</c:formatCode>
                <c:ptCount val="4"/>
                <c:pt idx="0">
                  <c:v>3</c:v>
                </c:pt>
                <c:pt idx="1">
                  <c:v>7.15</c:v>
                </c:pt>
                <c:pt idx="2">
                  <c:v>11.440000000000001</c:v>
                </c:pt>
                <c:pt idx="3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4C2E-85E6-D52932982C13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Small C'!$G$2:$G$5</c:f>
              <c:numCache>
                <c:formatCode>0.0</c:formatCode>
                <c:ptCount val="4"/>
                <c:pt idx="0">
                  <c:v>2.788420604512559</c:v>
                </c:pt>
                <c:pt idx="1">
                  <c:v>6.7148182665424043</c:v>
                </c:pt>
                <c:pt idx="2">
                  <c:v>10.948568088836938</c:v>
                </c:pt>
                <c:pt idx="3">
                  <c:v>14.714476474746681</c:v>
                </c:pt>
              </c:numCache>
            </c:numRef>
          </c:xVal>
          <c:yVal>
            <c:numRef>
              <c:f>' Check NG BOILER Small C'!$C$2:$C$5</c:f>
              <c:numCache>
                <c:formatCode>0.0</c:formatCode>
                <c:ptCount val="4"/>
                <c:pt idx="0">
                  <c:v>3</c:v>
                </c:pt>
                <c:pt idx="1">
                  <c:v>7.15</c:v>
                </c:pt>
                <c:pt idx="2">
                  <c:v>11.440000000000001</c:v>
                </c:pt>
                <c:pt idx="3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4C2E-85E6-D52932982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145551"/>
        <c:axId val="2119146511"/>
      </c:scatterChart>
      <c:valAx>
        <c:axId val="21191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46511"/>
        <c:crosses val="autoZero"/>
        <c:crossBetween val="midCat"/>
      </c:valAx>
      <c:valAx>
        <c:axId val="21191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4555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- Input</a:t>
            </a:r>
            <a:endParaRPr lang="en-GB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Small C'!$G$26:$G$29</c:f>
              <c:numCache>
                <c:formatCode>0.0</c:formatCode>
                <c:ptCount val="4"/>
                <c:pt idx="0">
                  <c:v>6.9567372371309215</c:v>
                </c:pt>
                <c:pt idx="1">
                  <c:v>21.555301187580486</c:v>
                </c:pt>
                <c:pt idx="2">
                  <c:v>35.144710942625949</c:v>
                </c:pt>
                <c:pt idx="3">
                  <c:v>47.065255594173472</c:v>
                </c:pt>
              </c:numCache>
            </c:numRef>
          </c:xVal>
          <c:yVal>
            <c:numRef>
              <c:f>' Check NG BOILER Small C'!$C$26:$C$29</c:f>
              <c:numCache>
                <c:formatCode>0.0</c:formatCode>
                <c:ptCount val="4"/>
                <c:pt idx="0">
                  <c:v>7.5</c:v>
                </c:pt>
                <c:pt idx="1">
                  <c:v>23</c:v>
                </c:pt>
                <c:pt idx="2">
                  <c:v>36.800000000000004</c:v>
                </c:pt>
                <c:pt idx="3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8-43D0-B114-138D0A500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45279"/>
        <c:axId val="348143359"/>
      </c:scatterChart>
      <c:valAx>
        <c:axId val="3481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3359"/>
        <c:crosses val="autoZero"/>
        <c:crossBetween val="midCat"/>
      </c:valAx>
      <c:valAx>
        <c:axId val="3481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- Input</a:t>
            </a:r>
            <a:endParaRPr lang="en-GB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Small C'!$G$50:$G$53</c:f>
              <c:numCache>
                <c:formatCode>0.0</c:formatCode>
                <c:ptCount val="4"/>
                <c:pt idx="0">
                  <c:v>19.521272766539482</c:v>
                </c:pt>
                <c:pt idx="1">
                  <c:v>52.272297395605996</c:v>
                </c:pt>
                <c:pt idx="2">
                  <c:v>85.162857883625307</c:v>
                </c:pt>
                <c:pt idx="3">
                  <c:v>111.48287498545442</c:v>
                </c:pt>
              </c:numCache>
            </c:numRef>
          </c:xVal>
          <c:yVal>
            <c:numRef>
              <c:f>' Check NG BOILER Small C'!$C$50:$C$53</c:f>
              <c:numCache>
                <c:formatCode>0.0</c:formatCode>
                <c:ptCount val="4"/>
                <c:pt idx="0">
                  <c:v>20.7</c:v>
                </c:pt>
                <c:pt idx="1">
                  <c:v>54.85</c:v>
                </c:pt>
                <c:pt idx="2">
                  <c:v>87.76</c:v>
                </c:pt>
                <c:pt idx="3">
                  <c:v>109.7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D-4524-BD0E-A983F2931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45279"/>
        <c:axId val="348143359"/>
      </c:scatterChart>
      <c:valAx>
        <c:axId val="3481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3359"/>
        <c:crosses val="autoZero"/>
        <c:crossBetween val="midCat"/>
      </c:valAx>
      <c:valAx>
        <c:axId val="3481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Output - Input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 Check NG BOILER Mid-Big C'!$G$2:$G$5</c:f>
              <c:numCache>
                <c:formatCode>0.0</c:formatCode>
                <c:ptCount val="4"/>
                <c:pt idx="0">
                  <c:v>41.826309067688385</c:v>
                </c:pt>
                <c:pt idx="1">
                  <c:v>70.435156642053187</c:v>
                </c:pt>
                <c:pt idx="2">
                  <c:v>114.84511981297486</c:v>
                </c:pt>
                <c:pt idx="3">
                  <c:v>142.80004360306677</c:v>
                </c:pt>
              </c:numCache>
            </c:numRef>
          </c:xVal>
          <c:yVal>
            <c:numRef>
              <c:f>' Check NG BOILER Mid-Big C'!$C$2:$C$5</c:f>
              <c:numCache>
                <c:formatCode>0.0</c:formatCode>
                <c:ptCount val="4"/>
                <c:pt idx="0">
                  <c:v>45</c:v>
                </c:pt>
                <c:pt idx="1">
                  <c:v>75</c:v>
                </c:pt>
                <c:pt idx="2">
                  <c:v>120</c:v>
                </c:pt>
                <c:pt idx="3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5-4BDF-809B-B998C7457730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Mid-Big C'!$G$2:$G$5</c:f>
              <c:numCache>
                <c:formatCode>0.0</c:formatCode>
                <c:ptCount val="4"/>
                <c:pt idx="0">
                  <c:v>41.826309067688385</c:v>
                </c:pt>
                <c:pt idx="1">
                  <c:v>70.435156642053187</c:v>
                </c:pt>
                <c:pt idx="2">
                  <c:v>114.84511981297486</c:v>
                </c:pt>
                <c:pt idx="3">
                  <c:v>142.80004360306677</c:v>
                </c:pt>
              </c:numCache>
            </c:numRef>
          </c:xVal>
          <c:yVal>
            <c:numRef>
              <c:f>' Check NG BOILER Mid-Big C'!$C$2:$C$5</c:f>
              <c:numCache>
                <c:formatCode>0.0</c:formatCode>
                <c:ptCount val="4"/>
                <c:pt idx="0">
                  <c:v>45</c:v>
                </c:pt>
                <c:pt idx="1">
                  <c:v>75</c:v>
                </c:pt>
                <c:pt idx="2">
                  <c:v>120</c:v>
                </c:pt>
                <c:pt idx="3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5-4BDF-809B-B998C745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145551"/>
        <c:axId val="2119146511"/>
      </c:scatterChart>
      <c:valAx>
        <c:axId val="21191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46511"/>
        <c:crosses val="autoZero"/>
        <c:crossBetween val="midCat"/>
      </c:valAx>
      <c:valAx>
        <c:axId val="21191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4555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- Input</a:t>
            </a:r>
            <a:endParaRPr lang="en-GB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Mid-Big C'!$G$26:$G$29</c:f>
              <c:numCache>
                <c:formatCode>0.0</c:formatCode>
                <c:ptCount val="4"/>
                <c:pt idx="0">
                  <c:v>110.72750210260722</c:v>
                </c:pt>
                <c:pt idx="1">
                  <c:v>186.44055795510869</c:v>
                </c:pt>
                <c:pt idx="2">
                  <c:v>303.92151204732363</c:v>
                </c:pt>
                <c:pt idx="3">
                  <c:v>382.30127041742293</c:v>
                </c:pt>
              </c:numCache>
            </c:numRef>
          </c:xVal>
          <c:yVal>
            <c:numRef>
              <c:f>' Check NG BOILER Mid-Big C'!$C$26:$C$29</c:f>
              <c:numCache>
                <c:formatCode>0.0</c:formatCode>
                <c:ptCount val="4"/>
                <c:pt idx="0">
                  <c:v>120.6</c:v>
                </c:pt>
                <c:pt idx="1">
                  <c:v>201</c:v>
                </c:pt>
                <c:pt idx="2">
                  <c:v>321.60000000000002</c:v>
                </c:pt>
                <c:pt idx="3">
                  <c:v>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B-475B-92B3-D4E2A34D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45279"/>
        <c:axId val="348143359"/>
      </c:scatterChart>
      <c:valAx>
        <c:axId val="3481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3359"/>
        <c:crosses val="autoZero"/>
        <c:crossBetween val="midCat"/>
      </c:valAx>
      <c:valAx>
        <c:axId val="3481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- Input</a:t>
            </a:r>
            <a:endParaRPr lang="en-GB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Mid-Big C'!$G$50:$G$53</c:f>
              <c:numCache>
                <c:formatCode>0.0</c:formatCode>
                <c:ptCount val="4"/>
                <c:pt idx="0">
                  <c:v>172.15096719932717</c:v>
                </c:pt>
                <c:pt idx="1">
                  <c:v>289.86405154712173</c:v>
                </c:pt>
                <c:pt idx="2">
                  <c:v>472.51478863078921</c:v>
                </c:pt>
                <c:pt idx="3">
                  <c:v>594.37386569872967</c:v>
                </c:pt>
              </c:numCache>
            </c:numRef>
          </c:xVal>
          <c:yVal>
            <c:numRef>
              <c:f>' Check NG BOILER Mid-Big C'!$C$50:$C$53</c:f>
              <c:numCache>
                <c:formatCode>0.0</c:formatCode>
                <c:ptCount val="4"/>
                <c:pt idx="0">
                  <c:v>187.5</c:v>
                </c:pt>
                <c:pt idx="1">
                  <c:v>312.5</c:v>
                </c:pt>
                <c:pt idx="2">
                  <c:v>500</c:v>
                </c:pt>
                <c:pt idx="3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8-4E9A-9FBA-B8841DEF0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45279"/>
        <c:axId val="348143359"/>
      </c:scatterChart>
      <c:valAx>
        <c:axId val="3481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3359"/>
        <c:crosses val="autoZero"/>
        <c:crossBetween val="midCat"/>
      </c:valAx>
      <c:valAx>
        <c:axId val="3481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Output - Input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 Check NG BOILER NC'!$H$2:$H$5</c:f>
              <c:numCache>
                <c:formatCode>0.0</c:formatCode>
                <c:ptCount val="4"/>
                <c:pt idx="0">
                  <c:v>262.54324644549763</c:v>
                </c:pt>
                <c:pt idx="1">
                  <c:v>521.38</c:v>
                </c:pt>
                <c:pt idx="2">
                  <c:v>783.91450471698113</c:v>
                </c:pt>
                <c:pt idx="3">
                  <c:v>1050.1729857819905</c:v>
                </c:pt>
              </c:numCache>
            </c:numRef>
          </c:xVal>
          <c:yVal>
            <c:numRef>
              <c:f>' Check NG BOILER NC'!$D$2:$D$5</c:f>
              <c:numCache>
                <c:formatCode>0.0</c:formatCode>
                <c:ptCount val="4"/>
                <c:pt idx="0">
                  <c:v>245.26750000000001</c:v>
                </c:pt>
                <c:pt idx="1">
                  <c:v>490.53500000000003</c:v>
                </c:pt>
                <c:pt idx="2">
                  <c:v>735.80250000000001</c:v>
                </c:pt>
                <c:pt idx="3">
                  <c:v>981.07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47-4DBC-AEC1-9F0A93AD4F17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NC'!$H$2:$H$5</c:f>
              <c:numCache>
                <c:formatCode>0.0</c:formatCode>
                <c:ptCount val="4"/>
                <c:pt idx="0">
                  <c:v>262.54324644549763</c:v>
                </c:pt>
                <c:pt idx="1">
                  <c:v>521.38</c:v>
                </c:pt>
                <c:pt idx="2">
                  <c:v>783.91450471698113</c:v>
                </c:pt>
                <c:pt idx="3">
                  <c:v>1050.1729857819905</c:v>
                </c:pt>
              </c:numCache>
            </c:numRef>
          </c:xVal>
          <c:yVal>
            <c:numRef>
              <c:f>' Check NG BOILER NC'!$D$2:$D$5</c:f>
              <c:numCache>
                <c:formatCode>0.0</c:formatCode>
                <c:ptCount val="4"/>
                <c:pt idx="0">
                  <c:v>245.26750000000001</c:v>
                </c:pt>
                <c:pt idx="1">
                  <c:v>490.53500000000003</c:v>
                </c:pt>
                <c:pt idx="2">
                  <c:v>735.80250000000001</c:v>
                </c:pt>
                <c:pt idx="3">
                  <c:v>981.07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47-4DBC-AEC1-9F0A93AD4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145551"/>
        <c:axId val="2119146511"/>
      </c:scatterChart>
      <c:valAx>
        <c:axId val="21191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46511"/>
        <c:crosses val="autoZero"/>
        <c:crossBetween val="midCat"/>
      </c:valAx>
      <c:valAx>
        <c:axId val="21191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4555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- Input</a:t>
            </a:r>
            <a:endParaRPr lang="en-GB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NC'!$H$26:$H$29</c:f>
              <c:numCache>
                <c:formatCode>0.0</c:formatCode>
                <c:ptCount val="4"/>
                <c:pt idx="0">
                  <c:v>2066.0745920745921</c:v>
                </c:pt>
                <c:pt idx="1">
                  <c:v>4117.7514518002317</c:v>
                </c:pt>
                <c:pt idx="2">
                  <c:v>6191.0081490104767</c:v>
                </c:pt>
                <c:pt idx="3">
                  <c:v>8283.6074766355141</c:v>
                </c:pt>
              </c:numCache>
            </c:numRef>
          </c:xVal>
          <c:yVal>
            <c:numRef>
              <c:f>' Check NG BOILER NC'!$D$26:$D$29</c:f>
              <c:numCache>
                <c:formatCode>0.0</c:formatCode>
                <c:ptCount val="4"/>
                <c:pt idx="0">
                  <c:v>1962.14</c:v>
                </c:pt>
                <c:pt idx="1">
                  <c:v>3924.28</c:v>
                </c:pt>
                <c:pt idx="2">
                  <c:v>5886.42</c:v>
                </c:pt>
                <c:pt idx="3">
                  <c:v>7848.56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8-494F-91D9-08B2838E9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45279"/>
        <c:axId val="348143359"/>
      </c:scatterChart>
      <c:valAx>
        <c:axId val="3481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3359"/>
        <c:crosses val="autoZero"/>
        <c:crossBetween val="midCat"/>
      </c:valAx>
      <c:valAx>
        <c:axId val="3481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Output - Input</a:t>
            </a:r>
            <a:endParaRPr lang="en-GB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Check NG BOILER NC'!$H$50:$H$53</c:f>
              <c:numCache>
                <c:formatCode>0.0</c:formatCode>
                <c:ptCount val="4"/>
                <c:pt idx="0">
                  <c:v>1048.9301775147931</c:v>
                </c:pt>
                <c:pt idx="1">
                  <c:v>2092.9067296340027</c:v>
                </c:pt>
                <c:pt idx="2">
                  <c:v>3143.0709219858154</c:v>
                </c:pt>
                <c:pt idx="3">
                  <c:v>4200.6919431279621</c:v>
                </c:pt>
              </c:numCache>
            </c:numRef>
          </c:xVal>
          <c:yVal>
            <c:numRef>
              <c:f>' Check NG BOILER NC'!$D$50:$D$53</c:f>
              <c:numCache>
                <c:formatCode>0.0</c:formatCode>
                <c:ptCount val="4"/>
                <c:pt idx="0">
                  <c:v>981.07</c:v>
                </c:pt>
                <c:pt idx="1">
                  <c:v>1962.14</c:v>
                </c:pt>
                <c:pt idx="2">
                  <c:v>2943.21</c:v>
                </c:pt>
                <c:pt idx="3">
                  <c:v>3924.28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B-4542-BEED-FA78F9AFF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45279"/>
        <c:axId val="348143359"/>
      </c:scatterChart>
      <c:valAx>
        <c:axId val="3481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3359"/>
        <c:crosses val="autoZero"/>
        <c:crossBetween val="midCat"/>
      </c:valAx>
      <c:valAx>
        <c:axId val="3481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Boiler Biomass'!$E$8:$E$10</c:f>
              <c:numCache>
                <c:formatCode>0.00</c:formatCode>
                <c:ptCount val="3"/>
                <c:pt idx="0">
                  <c:v>477.20042417815483</c:v>
                </c:pt>
                <c:pt idx="1">
                  <c:v>976.3501380026272</c:v>
                </c:pt>
                <c:pt idx="2">
                  <c:v>1619.8704103671705</c:v>
                </c:pt>
              </c:numCache>
            </c:numRef>
          </c:xVal>
          <c:yVal>
            <c:numRef>
              <c:f>'Check Boiler Biomass'!$C$8:$C$10</c:f>
              <c:numCache>
                <c:formatCode>0.00</c:formatCode>
                <c:ptCount val="3"/>
                <c:pt idx="0">
                  <c:v>450</c:v>
                </c:pt>
                <c:pt idx="1">
                  <c:v>900</c:v>
                </c:pt>
                <c:pt idx="2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9-40DB-81C8-157F6589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Boiler Biomass'!$E$31:$E$33</c:f>
              <c:numCache>
                <c:formatCode>0.00</c:formatCode>
                <c:ptCount val="3"/>
                <c:pt idx="0">
                  <c:v>162.89445048966266</c:v>
                </c:pt>
                <c:pt idx="1">
                  <c:v>321.32906956369362</c:v>
                </c:pt>
                <c:pt idx="2">
                  <c:v>533.11965811965808</c:v>
                </c:pt>
              </c:numCache>
            </c:numRef>
          </c:xVal>
          <c:yVal>
            <c:numRef>
              <c:f>'Check Boiler Biomass'!$C$31:$C$33</c:f>
              <c:numCache>
                <c:formatCode>0.00</c:formatCode>
                <c:ptCount val="3"/>
                <c:pt idx="0">
                  <c:v>149.69999999999999</c:v>
                </c:pt>
                <c:pt idx="1">
                  <c:v>299.39999999999998</c:v>
                </c:pt>
                <c:pt idx="2">
                  <c:v>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4-4374-9A58-4CAC63D78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small'!$F$25:$F$29</c:f>
              <c:numCache>
                <c:formatCode>0.00</c:formatCode>
                <c:ptCount val="5"/>
                <c:pt idx="0">
                  <c:v>8</c:v>
                </c:pt>
                <c:pt idx="1">
                  <c:v>9.7560975609756095</c:v>
                </c:pt>
                <c:pt idx="2">
                  <c:v>11.76470588235294</c:v>
                </c:pt>
                <c:pt idx="3">
                  <c:v>14.285714285714285</c:v>
                </c:pt>
                <c:pt idx="4">
                  <c:v>17.241379310344829</c:v>
                </c:pt>
              </c:numCache>
            </c:numRef>
          </c:xVal>
          <c:yVal>
            <c:numRef>
              <c:f>'Check ICE small'!$C$25:$C$29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22-47BE-824C-CE9529995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45359"/>
        <c:axId val="398737199"/>
      </c:scatterChart>
      <c:valAx>
        <c:axId val="398745359"/>
        <c:scaling>
          <c:orientation val="minMax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37199"/>
        <c:crosses val="autoZero"/>
        <c:crossBetween val="midCat"/>
      </c:valAx>
      <c:valAx>
        <c:axId val="3987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4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</a:t>
            </a:r>
            <a:r>
              <a:rPr lang="en-GB" b="1" baseline="0"/>
              <a:t>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small'!$F$50:$F$54</c:f>
              <c:numCache>
                <c:formatCode>0.00</c:formatCode>
                <c:ptCount val="5"/>
                <c:pt idx="0">
                  <c:v>80</c:v>
                </c:pt>
                <c:pt idx="1">
                  <c:v>97.560975609756099</c:v>
                </c:pt>
                <c:pt idx="2">
                  <c:v>117.64705882352941</c:v>
                </c:pt>
                <c:pt idx="3">
                  <c:v>142.85714285714283</c:v>
                </c:pt>
                <c:pt idx="4">
                  <c:v>172.41379310344828</c:v>
                </c:pt>
              </c:numCache>
            </c:numRef>
          </c:xVal>
          <c:yVal>
            <c:numRef>
              <c:f>'Check ICE small'!$C$50:$C$54</c:f>
              <c:numCache>
                <c:formatCode>0.0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7-46A8-BAA6-6B7CB0961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45359"/>
        <c:axId val="398737199"/>
      </c:scatterChart>
      <c:valAx>
        <c:axId val="398745359"/>
        <c:scaling>
          <c:orientation val="minMax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37199"/>
        <c:crosses val="autoZero"/>
        <c:crossBetween val="midCat"/>
      </c:valAx>
      <c:valAx>
        <c:axId val="3987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4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Mid-Large'!$F$3:$F$5</c:f>
              <c:numCache>
                <c:formatCode>0.00</c:formatCode>
                <c:ptCount val="3"/>
                <c:pt idx="0">
                  <c:v>10.48951048951049</c:v>
                </c:pt>
                <c:pt idx="1">
                  <c:v>11.363636363636363</c:v>
                </c:pt>
                <c:pt idx="2">
                  <c:v>14.577259475218657</c:v>
                </c:pt>
              </c:numCache>
            </c:numRef>
          </c:xVal>
          <c:yVal>
            <c:numRef>
              <c:f>'Check ICE Mid-Large'!$C$3:$C$5</c:f>
              <c:numCache>
                <c:formatCode>0.0</c:formatCode>
                <c:ptCount val="3"/>
                <c:pt idx="0">
                  <c:v>3</c:v>
                </c:pt>
                <c:pt idx="1">
                  <c:v>3.75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F-4DB4-BB0B-E6FF6EC7D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Mid-Large'!$F$27:$F$29</c:f>
              <c:numCache>
                <c:formatCode>0.00</c:formatCode>
                <c:ptCount val="3"/>
                <c:pt idx="0">
                  <c:v>156.82656826568265</c:v>
                </c:pt>
                <c:pt idx="1">
                  <c:v>205.64516129032259</c:v>
                </c:pt>
                <c:pt idx="2">
                  <c:v>252.22551928783381</c:v>
                </c:pt>
              </c:numCache>
            </c:numRef>
          </c:xVal>
          <c:yVal>
            <c:numRef>
              <c:f>'Check ICE Mid-Large'!$C$27:$C$29</c:f>
              <c:numCache>
                <c:formatCode>0.0</c:formatCode>
                <c:ptCount val="3"/>
                <c:pt idx="0">
                  <c:v>42.5</c:v>
                </c:pt>
                <c:pt idx="1">
                  <c:v>63.75</c:v>
                </c:pt>
                <c:pt idx="2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58-4827-99A0-12245C91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Mid-Large'!$F$51:$F$53</c:f>
              <c:numCache>
                <c:formatCode>0.00</c:formatCode>
                <c:ptCount val="3"/>
                <c:pt idx="0">
                  <c:v>217.3202614379085</c:v>
                </c:pt>
                <c:pt idx="1">
                  <c:v>280.98591549295776</c:v>
                </c:pt>
                <c:pt idx="2">
                  <c:v>351.85185185185185</c:v>
                </c:pt>
              </c:numCache>
            </c:numRef>
          </c:xVal>
          <c:yVal>
            <c:numRef>
              <c:f>'Check ICE Mid-Large'!$C$51:$C$53</c:f>
              <c:numCache>
                <c:formatCode>0.0</c:formatCode>
                <c:ptCount val="3"/>
                <c:pt idx="0">
                  <c:v>66.5</c:v>
                </c:pt>
                <c:pt idx="1">
                  <c:v>99.75</c:v>
                </c:pt>
                <c:pt idx="2">
                  <c:v>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51-42D4-AAD2-4E1BE130C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Mid-Large'!$F$75:$F$77</c:f>
              <c:numCache>
                <c:formatCode>0.00</c:formatCode>
                <c:ptCount val="3"/>
                <c:pt idx="0">
                  <c:v>294.11764705882354</c:v>
                </c:pt>
                <c:pt idx="1">
                  <c:v>408.03108808290153</c:v>
                </c:pt>
                <c:pt idx="2">
                  <c:v>528.9672544080604</c:v>
                </c:pt>
              </c:numCache>
            </c:numRef>
          </c:xVal>
          <c:yVal>
            <c:numRef>
              <c:f>'Check ICE Mid-Large'!$C$75:$C$77</c:f>
              <c:numCache>
                <c:formatCode>0.0</c:formatCode>
                <c:ptCount val="3"/>
                <c:pt idx="0">
                  <c:v>105</c:v>
                </c:pt>
                <c:pt idx="1">
                  <c:v>157.5</c:v>
                </c:pt>
                <c:pt idx="2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2-4F49-AE66-A56436F8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Mid-Large'!$F$99:$F$101</c:f>
              <c:numCache>
                <c:formatCode>0.00</c:formatCode>
                <c:ptCount val="3"/>
                <c:pt idx="0">
                  <c:v>401.23456790123453</c:v>
                </c:pt>
                <c:pt idx="1">
                  <c:v>535.71428571428578</c:v>
                </c:pt>
                <c:pt idx="2">
                  <c:v>684.21052631578948</c:v>
                </c:pt>
              </c:numCache>
            </c:numRef>
          </c:xVal>
          <c:yVal>
            <c:numRef>
              <c:f>'Check ICE Mid-Large'!$C$99:$C$101</c:f>
              <c:numCache>
                <c:formatCode>0.0</c:formatCode>
                <c:ptCount val="3"/>
                <c:pt idx="0">
                  <c:v>130</c:v>
                </c:pt>
                <c:pt idx="1">
                  <c:v>195</c:v>
                </c:pt>
                <c:pt idx="2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D-4598-A139-5A5A80A7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Mid-Large'!$F$122:$F$124</c:f>
              <c:numCache>
                <c:formatCode>0.00</c:formatCode>
                <c:ptCount val="3"/>
                <c:pt idx="0">
                  <c:v>771.20822622107971</c:v>
                </c:pt>
                <c:pt idx="1">
                  <c:v>1092.2330097087379</c:v>
                </c:pt>
                <c:pt idx="2">
                  <c:v>1418.4397163120568</c:v>
                </c:pt>
              </c:numCache>
            </c:numRef>
          </c:xVal>
          <c:yVal>
            <c:numRef>
              <c:f>'Check ICE Mid-Large'!$C$122:$C$124</c:f>
              <c:numCache>
                <c:formatCode>0.0</c:formatCode>
                <c:ptCount val="3"/>
                <c:pt idx="0">
                  <c:v>300</c:v>
                </c:pt>
                <c:pt idx="1">
                  <c:v>450</c:v>
                </c:pt>
                <c:pt idx="2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6-4772-AAEC-31AD27E7A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ICE Mid-Large'!$F$146:$F$148</c:f>
              <c:numCache>
                <c:formatCode>0.00</c:formatCode>
                <c:ptCount val="3"/>
                <c:pt idx="0">
                  <c:v>2531.6455696202529</c:v>
                </c:pt>
                <c:pt idx="1">
                  <c:v>3546.0992907801419</c:v>
                </c:pt>
                <c:pt idx="2">
                  <c:v>4608.294930875576</c:v>
                </c:pt>
              </c:numCache>
            </c:numRef>
          </c:xVal>
          <c:yVal>
            <c:numRef>
              <c:f>'Check ICE Mid-Large'!$C$146:$C$148</c:f>
              <c:numCache>
                <c:formatCode>0.0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0-4DB8-9BCD-259AA4031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ORC biomass'!$F$16:$F$25</c:f>
              <c:numCache>
                <c:formatCode>0.00</c:formatCode>
                <c:ptCount val="10"/>
                <c:pt idx="0">
                  <c:v>4.0874157303370788</c:v>
                </c:pt>
                <c:pt idx="1">
                  <c:v>5.389333333333334</c:v>
                </c:pt>
                <c:pt idx="2">
                  <c:v>7.0137532133676093</c:v>
                </c:pt>
                <c:pt idx="3">
                  <c:v>8.4403712296983784</c:v>
                </c:pt>
                <c:pt idx="4">
                  <c:v>9.8853260869565212</c:v>
                </c:pt>
                <c:pt idx="5">
                  <c:v>11.368124999999999</c:v>
                </c:pt>
                <c:pt idx="6">
                  <c:v>12.965682281059063</c:v>
                </c:pt>
                <c:pt idx="7">
                  <c:v>14.624321608040203</c:v>
                </c:pt>
                <c:pt idx="8">
                  <c:v>16.402905811623249</c:v>
                </c:pt>
                <c:pt idx="9" formatCode="0.000">
                  <c:v>18.189</c:v>
                </c:pt>
              </c:numCache>
            </c:numRef>
          </c:xVal>
          <c:yVal>
            <c:numRef>
              <c:f>'Check ORC biomass'!$C$16:$C$25</c:f>
              <c:numCache>
                <c:formatCode>0.00</c:formatCode>
                <c:ptCount val="10"/>
                <c:pt idx="0">
                  <c:v>0.30000000000000004</c:v>
                </c:pt>
                <c:pt idx="1">
                  <c:v>0.60000000000000009</c:v>
                </c:pt>
                <c:pt idx="2">
                  <c:v>0.89999999999999991</c:v>
                </c:pt>
                <c:pt idx="3">
                  <c:v>1.2000000000000002</c:v>
                </c:pt>
                <c:pt idx="4">
                  <c:v>1.5</c:v>
                </c:pt>
                <c:pt idx="5">
                  <c:v>1.7999999999999998</c:v>
                </c:pt>
                <c:pt idx="6">
                  <c:v>2.0999999999999996</c:v>
                </c:pt>
                <c:pt idx="7">
                  <c:v>2.4000000000000004</c:v>
                </c:pt>
                <c:pt idx="8">
                  <c:v>2.7</c:v>
                </c:pt>
                <c:pt idx="9" formatCode="0.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8-49B4-8067-A99234715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0959"/>
        <c:axId val="398684399"/>
      </c:scatterChart>
      <c:valAx>
        <c:axId val="39867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84399"/>
        <c:crosses val="autoZero"/>
        <c:crossBetween val="midCat"/>
      </c:valAx>
      <c:valAx>
        <c:axId val="3986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SOFC CHP'!$E$16:$E$25</c:f>
              <c:numCache>
                <c:formatCode>0.00</c:formatCode>
                <c:ptCount val="10"/>
                <c:pt idx="0">
                  <c:v>178.45117845117841</c:v>
                </c:pt>
                <c:pt idx="1">
                  <c:v>192.72727272727272</c:v>
                </c:pt>
                <c:pt idx="2">
                  <c:v>206.49350649350649</c:v>
                </c:pt>
                <c:pt idx="3">
                  <c:v>226.73796791443851</c:v>
                </c:pt>
                <c:pt idx="4">
                  <c:v>243.34251606978879</c:v>
                </c:pt>
                <c:pt idx="5">
                  <c:v>270.17841971112995</c:v>
                </c:pt>
                <c:pt idx="6">
                  <c:v>303.84930384930379</c:v>
                </c:pt>
                <c:pt idx="7">
                  <c:v>341.11021721641191</c:v>
                </c:pt>
                <c:pt idx="8">
                  <c:v>394.21487603305781</c:v>
                </c:pt>
                <c:pt idx="9">
                  <c:v>454.5454545454545</c:v>
                </c:pt>
              </c:numCache>
            </c:numRef>
          </c:xVal>
          <c:yVal>
            <c:numRef>
              <c:f>'Check SOFC CHP'!$C$16:$C$25</c:f>
              <c:numCache>
                <c:formatCode>0.00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 formatCode="0.0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A-42D4-B0AF-826ED8FFD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81519"/>
        <c:axId val="398685359"/>
      </c:scatterChart>
      <c:valAx>
        <c:axId val="398681519"/>
        <c:scaling>
          <c:orientation val="minMax"/>
          <c:max val="465"/>
          <c:min val="1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85359"/>
        <c:crosses val="autoZero"/>
        <c:crossBetween val="midCat"/>
      </c:valAx>
      <c:valAx>
        <c:axId val="3986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8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layout>
        <c:manualLayout>
          <c:xMode val="edge"/>
          <c:yMode val="edge"/>
          <c:x val="0.3674026684164479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PEMFC'!$E$3:$E$10</c:f>
              <c:numCache>
                <c:formatCode>0.00</c:formatCode>
                <c:ptCount val="8"/>
                <c:pt idx="0">
                  <c:v>34.992223950233289</c:v>
                </c:pt>
                <c:pt idx="1">
                  <c:v>58.777429467084644</c:v>
                </c:pt>
                <c:pt idx="2">
                  <c:v>96.463022508038591</c:v>
                </c:pt>
                <c:pt idx="3">
                  <c:v>123.35526315789475</c:v>
                </c:pt>
                <c:pt idx="4">
                  <c:v>151.26050420168067</c:v>
                </c:pt>
                <c:pt idx="5">
                  <c:v>194.63667820069205</c:v>
                </c:pt>
                <c:pt idx="6">
                  <c:v>210.15761821366024</c:v>
                </c:pt>
                <c:pt idx="7">
                  <c:v>266.42984014209594</c:v>
                </c:pt>
              </c:numCache>
            </c:numRef>
          </c:xVal>
          <c:yVal>
            <c:numRef>
              <c:f>'Check PEMFC'!$B$3:$B$10</c:f>
              <c:numCache>
                <c:formatCode>General</c:formatCode>
                <c:ptCount val="8"/>
                <c:pt idx="0">
                  <c:v>18.75</c:v>
                </c:pt>
                <c:pt idx="1">
                  <c:v>31.25</c:v>
                </c:pt>
                <c:pt idx="2">
                  <c:v>50</c:v>
                </c:pt>
                <c:pt idx="3">
                  <c:v>62.5</c:v>
                </c:pt>
                <c:pt idx="4">
                  <c:v>75</c:v>
                </c:pt>
                <c:pt idx="5">
                  <c:v>93.75</c:v>
                </c:pt>
                <c:pt idx="6">
                  <c:v>100</c:v>
                </c:pt>
                <c:pt idx="7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7-41DA-B744-A51A6189D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6719"/>
        <c:axId val="398686799"/>
      </c:scatterChart>
      <c:valAx>
        <c:axId val="39867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86799"/>
        <c:crosses val="autoZero"/>
        <c:crossBetween val="midCat"/>
      </c:valAx>
      <c:valAx>
        <c:axId val="3986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ABS chill'!$G$14:$G$22</c:f>
              <c:numCache>
                <c:formatCode>0.00</c:formatCode>
                <c:ptCount val="9"/>
                <c:pt idx="0">
                  <c:v>830.50170886075932</c:v>
                </c:pt>
                <c:pt idx="1">
                  <c:v>1002.678892405063</c:v>
                </c:pt>
                <c:pt idx="2">
                  <c:v>1377.4174683544304</c:v>
                </c:pt>
                <c:pt idx="3">
                  <c:v>1792.66832278481</c:v>
                </c:pt>
                <c:pt idx="4">
                  <c:v>2260.5851392405061</c:v>
                </c:pt>
                <c:pt idx="5">
                  <c:v>2750.7837088607589</c:v>
                </c:pt>
                <c:pt idx="6">
                  <c:v>3208.5724556962027</c:v>
                </c:pt>
                <c:pt idx="7">
                  <c:v>3638.8128531645566</c:v>
                </c:pt>
                <c:pt idx="8">
                  <c:v>4051.2278481012654</c:v>
                </c:pt>
              </c:numCache>
            </c:numRef>
          </c:xVal>
          <c:yVal>
            <c:numRef>
              <c:f>'Check ABS chill'!$E$14:$E$22</c:f>
              <c:numCache>
                <c:formatCode>0.00</c:formatCode>
                <c:ptCount val="9"/>
                <c:pt idx="0">
                  <c:v>1600.2349999999999</c:v>
                </c:pt>
                <c:pt idx="1">
                  <c:v>1920.2819999999997</c:v>
                </c:pt>
                <c:pt idx="2">
                  <c:v>2560.3760000000002</c:v>
                </c:pt>
                <c:pt idx="3">
                  <c:v>3200.47</c:v>
                </c:pt>
                <c:pt idx="4">
                  <c:v>3840.5639999999994</c:v>
                </c:pt>
                <c:pt idx="5">
                  <c:v>4480.6579999999994</c:v>
                </c:pt>
                <c:pt idx="6">
                  <c:v>5120.7520000000004</c:v>
                </c:pt>
                <c:pt idx="7">
                  <c:v>5760.8459999999995</c:v>
                </c:pt>
                <c:pt idx="8" formatCode="General">
                  <c:v>6400.94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A-4642-8AF1-337C5436B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669952"/>
        <c:axId val="292669472"/>
      </c:scatterChart>
      <c:valAx>
        <c:axId val="29266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69472"/>
        <c:crosses val="autoZero"/>
        <c:crossBetween val="midCat"/>
      </c:valAx>
      <c:valAx>
        <c:axId val="2926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6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6"/>
              <c:pt idx="0">
                <c:v>351.6</c:v>
              </c:pt>
              <c:pt idx="1">
                <c:v>329.37887999999998</c:v>
              </c:pt>
              <c:pt idx="2">
                <c:v>304.73172000000005</c:v>
              </c:pt>
              <c:pt idx="3">
                <c:v>281.28000000000003</c:v>
              </c:pt>
              <c:pt idx="4">
                <c:v>241.79532</c:v>
              </c:pt>
              <c:pt idx="5">
                <c:v>210.96</c:v>
              </c:pt>
            </c:numLit>
          </c:xVal>
          <c:yVal>
            <c:numLit>
              <c:formatCode>General</c:formatCode>
              <c:ptCount val="6"/>
              <c:pt idx="0">
                <c:v>480</c:v>
              </c:pt>
              <c:pt idx="1">
                <c:v>432</c:v>
              </c:pt>
              <c:pt idx="2">
                <c:v>384</c:v>
              </c:pt>
              <c:pt idx="3">
                <c:v>336.00000000000006</c:v>
              </c:pt>
              <c:pt idx="4">
                <c:v>288.00000000000006</c:v>
              </c:pt>
              <c:pt idx="5">
                <c:v>240.00000000000006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1DC-4271-83E5-01BD5AF5D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247920"/>
        <c:axId val="1815258000"/>
      </c:scatterChart>
      <c:valAx>
        <c:axId val="1815247920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258000"/>
        <c:crosses val="autoZero"/>
        <c:crossBetween val="midCat"/>
      </c:valAx>
      <c:valAx>
        <c:axId val="1815258000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8499234470691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24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Trane_W_Compr_Chill Sm-Mi'!$D$3:$D$6</c:f>
              <c:numCache>
                <c:formatCode>0.00</c:formatCode>
                <c:ptCount val="4"/>
                <c:pt idx="0">
                  <c:v>10.456349206349207</c:v>
                </c:pt>
                <c:pt idx="1">
                  <c:v>6.1489698890649764</c:v>
                </c:pt>
                <c:pt idx="2">
                  <c:v>3.1887755102040818</c:v>
                </c:pt>
                <c:pt idx="3">
                  <c:v>1.2388392857142856</c:v>
                </c:pt>
              </c:numCache>
            </c:numRef>
          </c:xVal>
          <c:yVal>
            <c:numRef>
              <c:f>'Check Trane_W_Compr_Chill Sm-Mi'!$B$3:$B$6</c:f>
              <c:numCache>
                <c:formatCode>General</c:formatCode>
                <c:ptCount val="4"/>
                <c:pt idx="0">
                  <c:v>52.7</c:v>
                </c:pt>
                <c:pt idx="1">
                  <c:v>38.799999999999997</c:v>
                </c:pt>
                <c:pt idx="2">
                  <c:v>25</c:v>
                </c:pt>
                <c:pt idx="3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70-4E18-9D3A-51130E6B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Trane_W_Compr_Chill Sm-Mi'!$D$22:$D$25</c:f>
              <c:numCache>
                <c:formatCode>0.00</c:formatCode>
                <c:ptCount val="4"/>
                <c:pt idx="0">
                  <c:v>44.599589322381924</c:v>
                </c:pt>
                <c:pt idx="1">
                  <c:v>27.072758037225043</c:v>
                </c:pt>
                <c:pt idx="2">
                  <c:v>14.913043478260869</c:v>
                </c:pt>
                <c:pt idx="3">
                  <c:v>5.9973753280839901</c:v>
                </c:pt>
              </c:numCache>
            </c:numRef>
          </c:xVal>
          <c:yVal>
            <c:numRef>
              <c:f>'Check Trane_W_Compr_Chill Sm-Mi'!$B$22:$B$25</c:f>
              <c:numCache>
                <c:formatCode>General</c:formatCode>
                <c:ptCount val="4"/>
                <c:pt idx="0">
                  <c:v>217.2</c:v>
                </c:pt>
                <c:pt idx="1">
                  <c:v>160</c:v>
                </c:pt>
                <c:pt idx="2">
                  <c:v>102.9</c:v>
                </c:pt>
                <c:pt idx="3">
                  <c:v>45.7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A-4E4C-A608-E5449914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Trane_W_Compr_Chill Sm-Mi'!$D$41:$D$44</c:f>
              <c:numCache>
                <c:formatCode>0.00</c:formatCode>
                <c:ptCount val="4"/>
                <c:pt idx="0">
                  <c:v>148.77944325481798</c:v>
                </c:pt>
                <c:pt idx="1">
                  <c:v>84.382207578253713</c:v>
                </c:pt>
                <c:pt idx="2">
                  <c:v>44.306864064602962</c:v>
                </c:pt>
                <c:pt idx="3">
                  <c:v>18.828828828828833</c:v>
                </c:pt>
              </c:numCache>
            </c:numRef>
          </c:xVal>
          <c:yVal>
            <c:numRef>
              <c:f>'Check Trane_W_Compr_Chill Sm-Mi'!$B$41:$B$44</c:f>
              <c:numCache>
                <c:formatCode>General</c:formatCode>
                <c:ptCount val="4"/>
                <c:pt idx="0">
                  <c:v>694.8</c:v>
                </c:pt>
                <c:pt idx="1">
                  <c:v>512.20000000000005</c:v>
                </c:pt>
                <c:pt idx="2">
                  <c:v>329.2</c:v>
                </c:pt>
                <c:pt idx="3">
                  <c:v>146.30000000000001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C-4DD4-BA76-EDAC6936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Trane_W_Compr_Chill  B'!$D$3:$D$6</c:f>
              <c:numCache>
                <c:formatCode>0.00</c:formatCode>
                <c:ptCount val="4"/>
                <c:pt idx="0">
                  <c:v>147.39583333333334</c:v>
                </c:pt>
                <c:pt idx="1">
                  <c:v>92.806499261447556</c:v>
                </c:pt>
                <c:pt idx="2">
                  <c:v>50.776081424936386</c:v>
                </c:pt>
                <c:pt idx="3">
                  <c:v>22.287500000000001</c:v>
                </c:pt>
              </c:numCache>
            </c:numRef>
          </c:xVal>
          <c:yVal>
            <c:numRef>
              <c:f>'Check Trane_W_Compr_Chill  B'!$B$3:$B$6</c:f>
              <c:numCache>
                <c:formatCode>General</c:formatCode>
                <c:ptCount val="4"/>
                <c:pt idx="0">
                  <c:v>849</c:v>
                </c:pt>
                <c:pt idx="1">
                  <c:v>628.29999999999995</c:v>
                </c:pt>
                <c:pt idx="2">
                  <c:v>399.1</c:v>
                </c:pt>
                <c:pt idx="3">
                  <c:v>178.3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E-4ECB-968C-74766CFE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Trane_W_Compr_Chill  B'!$D$22:$D$25</c:f>
              <c:numCache>
                <c:formatCode>0.00</c:formatCode>
                <c:ptCount val="4"/>
                <c:pt idx="0">
                  <c:v>255.89576547231272</c:v>
                </c:pt>
                <c:pt idx="1">
                  <c:v>165.86305278174038</c:v>
                </c:pt>
                <c:pt idx="2">
                  <c:v>87.087264150943398</c:v>
                </c:pt>
                <c:pt idx="3">
                  <c:v>41.931385006353239</c:v>
                </c:pt>
              </c:numCache>
            </c:numRef>
          </c:xVal>
          <c:yVal>
            <c:numRef>
              <c:f>'Check Trane_W_Compr_Chill  B'!$B$22:$B$25</c:f>
              <c:numCache>
                <c:formatCode>General</c:formatCode>
                <c:ptCount val="4"/>
                <c:pt idx="0">
                  <c:v>1571.2</c:v>
                </c:pt>
                <c:pt idx="1">
                  <c:v>1162.7</c:v>
                </c:pt>
                <c:pt idx="2">
                  <c:v>738.5</c:v>
                </c:pt>
                <c:pt idx="3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5-458C-8BFC-054B539C0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Trane_W_Compr_Chill  B'!$D$41:$D$44</c:f>
              <c:numCache>
                <c:formatCode>0.00</c:formatCode>
                <c:ptCount val="4"/>
                <c:pt idx="0">
                  <c:v>386.92998204667856</c:v>
                </c:pt>
                <c:pt idx="1">
                  <c:v>248.42679127725859</c:v>
                </c:pt>
                <c:pt idx="2">
                  <c:v>138.19918144611188</c:v>
                </c:pt>
                <c:pt idx="3">
                  <c:v>60.42723631508678</c:v>
                </c:pt>
              </c:numCache>
            </c:numRef>
          </c:xVal>
          <c:yVal>
            <c:numRef>
              <c:f>'Check Trane_W_Compr_Chill  B'!$B$41:$B$44</c:f>
              <c:numCache>
                <c:formatCode>General</c:formatCode>
                <c:ptCount val="4"/>
                <c:pt idx="0">
                  <c:v>2155.1999999999998</c:v>
                </c:pt>
                <c:pt idx="1">
                  <c:v>1594.9</c:v>
                </c:pt>
                <c:pt idx="2">
                  <c:v>1013</c:v>
                </c:pt>
                <c:pt idx="3">
                  <c:v>452.6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5-4712-9DF6-5352C55D8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Small'!$D$21:$D$24</c:f>
              <c:numCache>
                <c:formatCode>0.00</c:formatCode>
                <c:ptCount val="4"/>
                <c:pt idx="0">
                  <c:v>20.960264900662249</c:v>
                </c:pt>
                <c:pt idx="1">
                  <c:v>12.098445595854923</c:v>
                </c:pt>
                <c:pt idx="2">
                  <c:v>6.25</c:v>
                </c:pt>
                <c:pt idx="3">
                  <c:v>2.6336633663366338</c:v>
                </c:pt>
              </c:numCache>
            </c:numRef>
          </c:xVal>
          <c:yVal>
            <c:numRef>
              <c:f>'Check Trane_A_Comp_Chill Small'!$B$21:$B$24</c:f>
              <c:numCache>
                <c:formatCode>General</c:formatCode>
                <c:ptCount val="4"/>
                <c:pt idx="0">
                  <c:v>63.3</c:v>
                </c:pt>
                <c:pt idx="1">
                  <c:v>46.7</c:v>
                </c:pt>
                <c:pt idx="2">
                  <c:v>30</c:v>
                </c:pt>
                <c:pt idx="3">
                  <c:v>13.3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1-4FD7-A993-C2D64FEE9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Small'!$D$40:$D$43</c:f>
              <c:numCache>
                <c:formatCode>0.00</c:formatCode>
                <c:ptCount val="4"/>
                <c:pt idx="0">
                  <c:v>27.842465753424658</c:v>
                </c:pt>
                <c:pt idx="1">
                  <c:v>15.763157894736842</c:v>
                </c:pt>
                <c:pt idx="2">
                  <c:v>8.3514099783080251</c:v>
                </c:pt>
                <c:pt idx="3">
                  <c:v>3.6538461538461542</c:v>
                </c:pt>
              </c:numCache>
            </c:numRef>
          </c:xVal>
          <c:yVal>
            <c:numRef>
              <c:f>'Check Trane_A_Comp_Chill Small'!$B$40:$B$43</c:f>
              <c:numCache>
                <c:formatCode>General</c:formatCode>
                <c:ptCount val="4"/>
                <c:pt idx="0">
                  <c:v>81.3</c:v>
                </c:pt>
                <c:pt idx="1">
                  <c:v>59.9</c:v>
                </c:pt>
                <c:pt idx="2">
                  <c:v>38.5</c:v>
                </c:pt>
                <c:pt idx="3">
                  <c:v>17.100000000000001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9-4D71-96E9-F6E580A7A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Small'!$D$3:$D$6</c:f>
              <c:numCache>
                <c:formatCode>0.00</c:formatCode>
                <c:ptCount val="4"/>
                <c:pt idx="0">
                  <c:v>14.535714285714288</c:v>
                </c:pt>
                <c:pt idx="1">
                  <c:v>8.108108108108107</c:v>
                </c:pt>
                <c:pt idx="2">
                  <c:v>4.1956521739130439</c:v>
                </c:pt>
                <c:pt idx="3">
                  <c:v>1.787941787941788</c:v>
                </c:pt>
              </c:numCache>
            </c:numRef>
          </c:xVal>
          <c:yVal>
            <c:numRef>
              <c:f>'Check Trane_A_Comp_Chill Small'!$B$3:$B$6</c:f>
              <c:numCache>
                <c:formatCode>General</c:formatCode>
                <c:ptCount val="4"/>
                <c:pt idx="0">
                  <c:v>40.700000000000003</c:v>
                </c:pt>
                <c:pt idx="1">
                  <c:v>30</c:v>
                </c:pt>
                <c:pt idx="2">
                  <c:v>19.3</c:v>
                </c:pt>
                <c:pt idx="3">
                  <c:v>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E-458C-8B67-62F01BC43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M'!$D$21:$D$24</c:f>
              <c:numCache>
                <c:formatCode>0.00</c:formatCode>
                <c:ptCount val="4"/>
                <c:pt idx="0">
                  <c:v>43.492063492063494</c:v>
                </c:pt>
                <c:pt idx="1">
                  <c:v>23.933649289099527</c:v>
                </c:pt>
                <c:pt idx="2">
                  <c:v>11.778584392014521</c:v>
                </c:pt>
                <c:pt idx="3">
                  <c:v>4.6019108280254777</c:v>
                </c:pt>
              </c:numCache>
            </c:numRef>
          </c:xVal>
          <c:yVal>
            <c:numRef>
              <c:f>'Check Trane_A_Comp_Chill M'!$B$21:$B$24</c:f>
              <c:numCache>
                <c:formatCode>General</c:formatCode>
                <c:ptCount val="4"/>
                <c:pt idx="0">
                  <c:v>137</c:v>
                </c:pt>
                <c:pt idx="1">
                  <c:v>101</c:v>
                </c:pt>
                <c:pt idx="2">
                  <c:v>64.900000000000006</c:v>
                </c:pt>
                <c:pt idx="3">
                  <c:v>28.9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6-4195-9746-A3E8A1FE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M'!$D$40:$D$43</c:f>
              <c:numCache>
                <c:formatCode>0.00</c:formatCode>
                <c:ptCount val="4"/>
                <c:pt idx="0">
                  <c:v>75.382165605095537</c:v>
                </c:pt>
                <c:pt idx="1">
                  <c:v>44.376590330788801</c:v>
                </c:pt>
                <c:pt idx="2">
                  <c:v>21.434034416826002</c:v>
                </c:pt>
                <c:pt idx="3">
                  <c:v>8.2861896838602327</c:v>
                </c:pt>
              </c:numCache>
            </c:numRef>
          </c:xVal>
          <c:yVal>
            <c:numRef>
              <c:f>'Check Trane_A_Comp_Chill M'!$B$40:$B$43</c:f>
              <c:numCache>
                <c:formatCode>General</c:formatCode>
                <c:ptCount val="4"/>
                <c:pt idx="0">
                  <c:v>236.7</c:v>
                </c:pt>
                <c:pt idx="1">
                  <c:v>174.4</c:v>
                </c:pt>
                <c:pt idx="2">
                  <c:v>112.1</c:v>
                </c:pt>
                <c:pt idx="3">
                  <c:v>49.8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3-4CD7-8B58-15DDB9CAC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M'!$D$59:$D$62</c:f>
              <c:numCache>
                <c:formatCode>0.00</c:formatCode>
                <c:ptCount val="4"/>
                <c:pt idx="0">
                  <c:v>92.172619047619051</c:v>
                </c:pt>
                <c:pt idx="1">
                  <c:v>54.204275534441805</c:v>
                </c:pt>
                <c:pt idx="2">
                  <c:v>25.691768826619963</c:v>
                </c:pt>
                <c:pt idx="3">
                  <c:v>10.000000000000002</c:v>
                </c:pt>
              </c:numCache>
            </c:numRef>
          </c:xVal>
          <c:yVal>
            <c:numRef>
              <c:f>'Check Trane_A_Comp_Chill M'!$B$59:$B$62</c:f>
              <c:numCache>
                <c:formatCode>General</c:formatCode>
                <c:ptCount val="4"/>
                <c:pt idx="0">
                  <c:v>309.7</c:v>
                </c:pt>
                <c:pt idx="1">
                  <c:v>228.2</c:v>
                </c:pt>
                <c:pt idx="2">
                  <c:v>146.69999999999999</c:v>
                </c:pt>
                <c:pt idx="3">
                  <c:v>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2-47FD-9DEB-71B0CEDE8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M'!$D$3:$D$6</c:f>
              <c:numCache>
                <c:formatCode>0.00</c:formatCode>
                <c:ptCount val="4"/>
                <c:pt idx="0">
                  <c:v>33.058419243986251</c:v>
                </c:pt>
                <c:pt idx="1">
                  <c:v>18.511749347258487</c:v>
                </c:pt>
                <c:pt idx="2">
                  <c:v>8.5553470919324575</c:v>
                </c:pt>
                <c:pt idx="3">
                  <c:v>3.4175084175084174</c:v>
                </c:pt>
              </c:numCache>
            </c:numRef>
          </c:xVal>
          <c:yVal>
            <c:numRef>
              <c:f>'Check Trane_A_Comp_Chill M'!$B$3:$B$6</c:f>
              <c:numCache>
                <c:formatCode>General</c:formatCode>
                <c:ptCount val="4"/>
                <c:pt idx="0">
                  <c:v>96.2</c:v>
                </c:pt>
                <c:pt idx="1">
                  <c:v>70.900000000000006</c:v>
                </c:pt>
                <c:pt idx="2">
                  <c:v>45.6</c:v>
                </c:pt>
                <c:pt idx="3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C-4438-B94F-6AE265653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 B'!$D$3:$D$6</c:f>
              <c:numCache>
                <c:formatCode>0.00</c:formatCode>
                <c:ptCount val="4"/>
                <c:pt idx="0">
                  <c:v>102.20183486238531</c:v>
                </c:pt>
                <c:pt idx="1">
                  <c:v>64.441558441558442</c:v>
                </c:pt>
                <c:pt idx="2">
                  <c:v>35.565610859728508</c:v>
                </c:pt>
                <c:pt idx="3">
                  <c:v>12.187500000000002</c:v>
                </c:pt>
              </c:numCache>
            </c:numRef>
          </c:xVal>
          <c:yVal>
            <c:numRef>
              <c:f>'Check Trane_A_Comp_Chill  B'!$B$3:$B$6</c:f>
              <c:numCache>
                <c:formatCode>General</c:formatCode>
                <c:ptCount val="4"/>
                <c:pt idx="0">
                  <c:v>334.2</c:v>
                </c:pt>
                <c:pt idx="1">
                  <c:v>248.1</c:v>
                </c:pt>
                <c:pt idx="2">
                  <c:v>157.19999999999999</c:v>
                </c:pt>
                <c:pt idx="3">
                  <c:v>70.2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60-44A6-B818-FFE9D0448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 B'!$D$22:$D$25</c:f>
              <c:numCache>
                <c:formatCode>0.00</c:formatCode>
                <c:ptCount val="4"/>
                <c:pt idx="0">
                  <c:v>249.45783132530124</c:v>
                </c:pt>
                <c:pt idx="1">
                  <c:v>147.88461538461539</c:v>
                </c:pt>
                <c:pt idx="2">
                  <c:v>84.673913043478265</c:v>
                </c:pt>
                <c:pt idx="3">
                  <c:v>30.349040139616054</c:v>
                </c:pt>
              </c:numCache>
            </c:numRef>
          </c:xVal>
          <c:yVal>
            <c:numRef>
              <c:f>'Check Trane_A_Comp_Chill  B'!$B$22:$B$25</c:f>
              <c:numCache>
                <c:formatCode>General</c:formatCode>
                <c:ptCount val="4"/>
                <c:pt idx="0">
                  <c:v>828.2</c:v>
                </c:pt>
                <c:pt idx="1">
                  <c:v>615.20000000000005</c:v>
                </c:pt>
                <c:pt idx="2">
                  <c:v>389.5</c:v>
                </c:pt>
                <c:pt idx="3">
                  <c:v>173.9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E0-45F3-BA97-8E743EC66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Trane_A_Comp_Chill  B'!$D$41:$D$44</c:f>
              <c:numCache>
                <c:formatCode>0.00</c:formatCode>
                <c:ptCount val="4"/>
                <c:pt idx="0">
                  <c:v>513.30158730158735</c:v>
                </c:pt>
                <c:pt idx="1">
                  <c:v>298.21339950372203</c:v>
                </c:pt>
                <c:pt idx="2">
                  <c:v>143.22033898305085</c:v>
                </c:pt>
                <c:pt idx="3">
                  <c:v>48.062234794908065</c:v>
                </c:pt>
              </c:numCache>
            </c:numRef>
          </c:xVal>
          <c:yVal>
            <c:numRef>
              <c:f>'Check Trane_A_Comp_Chill  B'!$B$41:$B$44</c:f>
              <c:numCache>
                <c:formatCode>General</c:formatCode>
                <c:ptCount val="4"/>
                <c:pt idx="0">
                  <c:v>1616.9</c:v>
                </c:pt>
                <c:pt idx="1">
                  <c:v>1201.8</c:v>
                </c:pt>
                <c:pt idx="2">
                  <c:v>760.5</c:v>
                </c:pt>
                <c:pt idx="3">
                  <c:v>339.8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88-46C4-BA28-806FF7169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57103"/>
        <c:axId val="810746543"/>
      </c:scatterChart>
      <c:valAx>
        <c:axId val="8107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46543"/>
        <c:crosses val="autoZero"/>
        <c:crossBetween val="midCat"/>
      </c:valAx>
      <c:valAx>
        <c:axId val="810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ALK el'!$H$12:$H$17</c:f>
              <c:numCache>
                <c:formatCode>0.00</c:formatCode>
                <c:ptCount val="6"/>
                <c:pt idx="0">
                  <c:v>18860.342590598455</c:v>
                </c:pt>
                <c:pt idx="1">
                  <c:v>20192.989552089843</c:v>
                </c:pt>
                <c:pt idx="2">
                  <c:v>21977.381246290177</c:v>
                </c:pt>
                <c:pt idx="3">
                  <c:v>24032.819780115879</c:v>
                </c:pt>
                <c:pt idx="4">
                  <c:v>26223.781733754266</c:v>
                </c:pt>
                <c:pt idx="5">
                  <c:v>28685.790527018009</c:v>
                </c:pt>
              </c:numCache>
            </c:numRef>
          </c:xVal>
          <c:yVal>
            <c:numRef>
              <c:f>'Check ALK el'!$G$12:$G$17</c:f>
              <c:numCache>
                <c:formatCode>General</c:formatCode>
                <c:ptCount val="6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E-45C5-9238-D22CEFD27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829120"/>
        <c:axId val="2041824800"/>
      </c:scatterChart>
      <c:valAx>
        <c:axId val="2041829120"/>
        <c:scaling>
          <c:orientation val="minMax"/>
          <c:min val="1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24800"/>
        <c:crosses val="autoZero"/>
        <c:crossBetween val="midCat"/>
      </c:valAx>
      <c:valAx>
        <c:axId val="20418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2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PEM el'!$H$16:$H$25</c:f>
              <c:numCache>
                <c:formatCode>0.00</c:formatCode>
                <c:ptCount val="10"/>
                <c:pt idx="0">
                  <c:v>3096.8945283250046</c:v>
                </c:pt>
                <c:pt idx="1">
                  <c:v>5573.2393023920695</c:v>
                </c:pt>
                <c:pt idx="2">
                  <c:v>8131.5434779648995</c:v>
                </c:pt>
                <c:pt idx="3">
                  <c:v>10795.224026902288</c:v>
                </c:pt>
                <c:pt idx="4">
                  <c:v>13552.572463274832</c:v>
                </c:pt>
                <c:pt idx="5">
                  <c:v>16403.588787082539</c:v>
                </c:pt>
                <c:pt idx="6">
                  <c:v>19342.418755360712</c:v>
                </c:pt>
                <c:pt idx="7">
                  <c:v>22386.625097003442</c:v>
                </c:pt>
                <c:pt idx="8">
                  <c:v>25553.770540904814</c:v>
                </c:pt>
                <c:pt idx="9">
                  <c:v>28685.790527018009</c:v>
                </c:pt>
              </c:numCache>
            </c:numRef>
          </c:xVal>
          <c:yVal>
            <c:numRef>
              <c:f>'Check PEM el'!$G$16:$G$25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4-4279-A71E-D37732EDA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829120"/>
        <c:axId val="2041824800"/>
      </c:scatterChart>
      <c:valAx>
        <c:axId val="2041829120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24800"/>
        <c:crosses val="autoZero"/>
        <c:crossBetween val="midCat"/>
      </c:valAx>
      <c:valAx>
        <c:axId val="20418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2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W-W HP Small-Mid'!$E$8:$E$10</c:f>
              <c:numCache>
                <c:formatCode>0.00</c:formatCode>
                <c:ptCount val="3"/>
                <c:pt idx="0">
                  <c:v>14.549653579676674</c:v>
                </c:pt>
                <c:pt idx="1">
                  <c:v>6.8273092369477908</c:v>
                </c:pt>
                <c:pt idx="2">
                  <c:v>3.9138240574506282</c:v>
                </c:pt>
              </c:numCache>
            </c:numRef>
          </c:xVal>
          <c:yVal>
            <c:numRef>
              <c:f>'Check W-W HP Small-Mid'!$D$8:$D$10</c:f>
              <c:numCache>
                <c:formatCode>0.00</c:formatCode>
                <c:ptCount val="3"/>
                <c:pt idx="0">
                  <c:v>63</c:v>
                </c:pt>
                <c:pt idx="1">
                  <c:v>34</c:v>
                </c:pt>
                <c:pt idx="2">
                  <c:v>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07-4495-B98F-74826DD9FDF2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W-W HP Small-Mid'!$E$8:$E$10</c:f>
              <c:numCache>
                <c:formatCode>0.00</c:formatCode>
                <c:ptCount val="3"/>
                <c:pt idx="0">
                  <c:v>14.549653579676674</c:v>
                </c:pt>
                <c:pt idx="1">
                  <c:v>6.8273092369477908</c:v>
                </c:pt>
                <c:pt idx="2">
                  <c:v>3.9138240574506282</c:v>
                </c:pt>
              </c:numCache>
            </c:numRef>
          </c:xVal>
          <c:yVal>
            <c:numRef>
              <c:f>'Check W-W HP Small-Mid'!$D$8:$D$10</c:f>
              <c:numCache>
                <c:formatCode>0.00</c:formatCode>
                <c:ptCount val="3"/>
                <c:pt idx="0">
                  <c:v>63</c:v>
                </c:pt>
                <c:pt idx="1">
                  <c:v>34</c:v>
                </c:pt>
                <c:pt idx="2">
                  <c:v>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07-4495-B98F-74826DD9FDF2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W-W HP Small-Mid'!$E$8:$E$11</c:f>
              <c:numCache>
                <c:formatCode>0.00</c:formatCode>
                <c:ptCount val="4"/>
                <c:pt idx="0">
                  <c:v>14.549653579676674</c:v>
                </c:pt>
                <c:pt idx="1">
                  <c:v>6.8273092369477908</c:v>
                </c:pt>
                <c:pt idx="2">
                  <c:v>3.9138240574506282</c:v>
                </c:pt>
                <c:pt idx="3">
                  <c:v>1.6724137931034482</c:v>
                </c:pt>
              </c:numCache>
            </c:numRef>
          </c:xVal>
          <c:yVal>
            <c:numRef>
              <c:f>'Check W-W HP Small-Mid'!$D$8:$D$11</c:f>
              <c:numCache>
                <c:formatCode>0.00</c:formatCode>
                <c:ptCount val="4"/>
                <c:pt idx="0">
                  <c:v>63</c:v>
                </c:pt>
                <c:pt idx="1">
                  <c:v>34</c:v>
                </c:pt>
                <c:pt idx="2">
                  <c:v>21.8</c:v>
                </c:pt>
                <c:pt idx="3">
                  <c:v>9.6999999999999993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07-4495-B98F-74826DD9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W-W HP Small-Mid'!$E$27:$E$30</c:f>
              <c:numCache>
                <c:formatCode>0.00</c:formatCode>
                <c:ptCount val="4"/>
                <c:pt idx="0">
                  <c:v>36.423841059602644</c:v>
                </c:pt>
                <c:pt idx="1">
                  <c:v>17.076923076923077</c:v>
                </c:pt>
                <c:pt idx="2">
                  <c:v>9.9131944444444446</c:v>
                </c:pt>
                <c:pt idx="3">
                  <c:v>4.3493150684931505</c:v>
                </c:pt>
              </c:numCache>
            </c:numRef>
          </c:xVal>
          <c:yVal>
            <c:numRef>
              <c:f>'Check W-W HP Small-Mid'!$D$27:$D$30</c:f>
              <c:numCache>
                <c:formatCode>0.00</c:formatCode>
                <c:ptCount val="4"/>
                <c:pt idx="0">
                  <c:v>165</c:v>
                </c:pt>
                <c:pt idx="1">
                  <c:v>88.8</c:v>
                </c:pt>
                <c:pt idx="2">
                  <c:v>57.1</c:v>
                </c:pt>
                <c:pt idx="3">
                  <c:v>25.4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6-4D03-A4CC-E98DC066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W-W HP Small-Mid'!$E$45:$E$48</c:f>
              <c:numCache>
                <c:formatCode>0.00</c:formatCode>
                <c:ptCount val="4"/>
                <c:pt idx="0">
                  <c:v>101.86046511627907</c:v>
                </c:pt>
                <c:pt idx="1">
                  <c:v>48.618556701030933</c:v>
                </c:pt>
                <c:pt idx="2">
                  <c:v>27.613843351548269</c:v>
                </c:pt>
                <c:pt idx="3">
                  <c:v>11.580756013745704</c:v>
                </c:pt>
              </c:numCache>
            </c:numRef>
          </c:xVal>
          <c:yVal>
            <c:numRef>
              <c:f>'Check W-W HP Small-Mid'!$D$45:$D$48</c:f>
              <c:numCache>
                <c:formatCode>0.00</c:formatCode>
                <c:ptCount val="4"/>
                <c:pt idx="0">
                  <c:v>438</c:v>
                </c:pt>
                <c:pt idx="1">
                  <c:v>235.8</c:v>
                </c:pt>
                <c:pt idx="2">
                  <c:v>151.6</c:v>
                </c:pt>
                <c:pt idx="3">
                  <c:v>67.400000000000006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B1-4E9C-A740-821E45F2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W-W HP Big'!$E$8:$E$10</c:f>
              <c:numCache>
                <c:formatCode>0.00</c:formatCode>
                <c:ptCount val="3"/>
                <c:pt idx="0">
                  <c:v>98.663697104677055</c:v>
                </c:pt>
                <c:pt idx="1">
                  <c:v>47.987927565392354</c:v>
                </c:pt>
                <c:pt idx="2">
                  <c:v>27.727272727272727</c:v>
                </c:pt>
              </c:numCache>
            </c:numRef>
          </c:xVal>
          <c:yVal>
            <c:numRef>
              <c:f>'Check W-W HP Big'!$D$8:$D$10</c:f>
              <c:numCache>
                <c:formatCode>0.00</c:formatCode>
                <c:ptCount val="3"/>
                <c:pt idx="0">
                  <c:v>443</c:v>
                </c:pt>
                <c:pt idx="1">
                  <c:v>238.5</c:v>
                </c:pt>
                <c:pt idx="2">
                  <c:v>152.5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4-4D04-90FF-3A2045C63CF5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W-W HP Big'!$E$8:$E$10</c:f>
              <c:numCache>
                <c:formatCode>0.00</c:formatCode>
                <c:ptCount val="3"/>
                <c:pt idx="0">
                  <c:v>98.663697104677055</c:v>
                </c:pt>
                <c:pt idx="1">
                  <c:v>47.987927565392354</c:v>
                </c:pt>
                <c:pt idx="2">
                  <c:v>27.727272727272727</c:v>
                </c:pt>
              </c:numCache>
            </c:numRef>
          </c:xVal>
          <c:yVal>
            <c:numRef>
              <c:f>'Check W-W HP Big'!$D$8:$D$10</c:f>
              <c:numCache>
                <c:formatCode>0.00</c:formatCode>
                <c:ptCount val="3"/>
                <c:pt idx="0">
                  <c:v>443</c:v>
                </c:pt>
                <c:pt idx="1">
                  <c:v>238.5</c:v>
                </c:pt>
                <c:pt idx="2">
                  <c:v>152.5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74-4D04-90FF-3A2045C63CF5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W-W HP Big'!$E$8:$E$11</c:f>
              <c:numCache>
                <c:formatCode>0.00</c:formatCode>
                <c:ptCount val="4"/>
                <c:pt idx="0">
                  <c:v>98.663697104677055</c:v>
                </c:pt>
                <c:pt idx="1">
                  <c:v>47.987927565392354</c:v>
                </c:pt>
                <c:pt idx="2">
                  <c:v>27.727272727272727</c:v>
                </c:pt>
                <c:pt idx="3">
                  <c:v>11.333333333333334</c:v>
                </c:pt>
              </c:numCache>
            </c:numRef>
          </c:xVal>
          <c:yVal>
            <c:numRef>
              <c:f>'Check W-W HP Big'!$D$8:$D$11</c:f>
              <c:numCache>
                <c:formatCode>0.00</c:formatCode>
                <c:ptCount val="4"/>
                <c:pt idx="0">
                  <c:v>443</c:v>
                </c:pt>
                <c:pt idx="1">
                  <c:v>238.5</c:v>
                </c:pt>
                <c:pt idx="2">
                  <c:v>152.5</c:v>
                </c:pt>
                <c:pt idx="3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74-4D04-90FF-3A2045C63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W-W HP Big'!$E$27:$E$30</c:f>
              <c:numCache>
                <c:formatCode>0.00</c:formatCode>
                <c:ptCount val="4"/>
                <c:pt idx="0">
                  <c:v>213.2608695652174</c:v>
                </c:pt>
                <c:pt idx="1">
                  <c:v>101.40655105973023</c:v>
                </c:pt>
                <c:pt idx="2">
                  <c:v>58.537005163511196</c:v>
                </c:pt>
                <c:pt idx="3">
                  <c:v>24.2443729903537</c:v>
                </c:pt>
              </c:numCache>
            </c:numRef>
          </c:xVal>
          <c:yVal>
            <c:numRef>
              <c:f>'Check W-W HP Big'!$D$27:$D$30</c:f>
              <c:numCache>
                <c:formatCode>0.00</c:formatCode>
                <c:ptCount val="4"/>
                <c:pt idx="0">
                  <c:v>981</c:v>
                </c:pt>
                <c:pt idx="1">
                  <c:v>526.29999999999995</c:v>
                </c:pt>
                <c:pt idx="2">
                  <c:v>340.1</c:v>
                </c:pt>
                <c:pt idx="3">
                  <c:v>150.80000000000001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1-4ABA-9040-CCB141B0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W-W HP Big'!$E$45:$E$48</c:f>
              <c:numCache>
                <c:formatCode>0.00</c:formatCode>
                <c:ptCount val="4"/>
                <c:pt idx="0">
                  <c:v>366.3090128755365</c:v>
                </c:pt>
                <c:pt idx="1">
                  <c:v>172.70168855534709</c:v>
                </c:pt>
                <c:pt idx="2">
                  <c:v>96.968174204355108</c:v>
                </c:pt>
                <c:pt idx="3">
                  <c:v>38.291970802919714</c:v>
                </c:pt>
              </c:numCache>
            </c:numRef>
          </c:xVal>
          <c:yVal>
            <c:numRef>
              <c:f>'Check W-W HP Big'!$D$45:$D$48</c:f>
              <c:numCache>
                <c:formatCode>0.00</c:formatCode>
                <c:ptCount val="4"/>
                <c:pt idx="0">
                  <c:v>1707</c:v>
                </c:pt>
                <c:pt idx="1">
                  <c:v>920.5</c:v>
                </c:pt>
                <c:pt idx="2">
                  <c:v>578.9</c:v>
                </c:pt>
                <c:pt idx="3">
                  <c:v>262.3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9-4A8D-B239-1047476E7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A-W HP Small'!$E$22:$E$24</c:f>
              <c:numCache>
                <c:formatCode>0.00</c:formatCode>
                <c:ptCount val="3"/>
                <c:pt idx="0">
                  <c:v>1.751269035532995</c:v>
                </c:pt>
                <c:pt idx="1">
                  <c:v>2.8491775857262334</c:v>
                </c:pt>
                <c:pt idx="2">
                  <c:v>4.0697674418604652</c:v>
                </c:pt>
              </c:numCache>
            </c:numRef>
          </c:xVal>
          <c:yVal>
            <c:numRef>
              <c:f>'Check A-W HP Small'!$D$22:$D$24</c:f>
              <c:numCache>
                <c:formatCode>General</c:formatCode>
                <c:ptCount val="3"/>
                <c:pt idx="0">
                  <c:v>6.9</c:v>
                </c:pt>
                <c:pt idx="1">
                  <c:v>10.219999999999999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4C-466E-ACCB-A0E4926191FF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A-W HP Small'!$E$22:$E$24</c:f>
              <c:numCache>
                <c:formatCode>0.00</c:formatCode>
                <c:ptCount val="3"/>
                <c:pt idx="0">
                  <c:v>1.751269035532995</c:v>
                </c:pt>
                <c:pt idx="1">
                  <c:v>2.8491775857262334</c:v>
                </c:pt>
                <c:pt idx="2">
                  <c:v>4.0697674418604652</c:v>
                </c:pt>
              </c:numCache>
            </c:numRef>
          </c:xVal>
          <c:yVal>
            <c:numRef>
              <c:f>'Check A-W HP Small'!$D$22:$D$24</c:f>
              <c:numCache>
                <c:formatCode>General</c:formatCode>
                <c:ptCount val="3"/>
                <c:pt idx="0">
                  <c:v>6.9</c:v>
                </c:pt>
                <c:pt idx="1">
                  <c:v>10.219999999999999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4C-466E-ACCB-A0E4926191FF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Small'!$E$22:$E$24</c:f>
              <c:numCache>
                <c:formatCode>0.00</c:formatCode>
                <c:ptCount val="3"/>
                <c:pt idx="0">
                  <c:v>1.751269035532995</c:v>
                </c:pt>
                <c:pt idx="1">
                  <c:v>2.8491775857262334</c:v>
                </c:pt>
                <c:pt idx="2">
                  <c:v>4.0697674418604652</c:v>
                </c:pt>
              </c:numCache>
            </c:numRef>
          </c:xVal>
          <c:yVal>
            <c:numRef>
              <c:f>'Check A-W HP Small'!$D$22:$D$24</c:f>
              <c:numCache>
                <c:formatCode>General</c:formatCode>
                <c:ptCount val="3"/>
                <c:pt idx="0">
                  <c:v>6.9</c:v>
                </c:pt>
                <c:pt idx="1">
                  <c:v>10.219999999999999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4C-466E-ACCB-A0E49261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Small'!$E$40:$E$42</c:f>
              <c:numCache>
                <c:formatCode>0.00</c:formatCode>
                <c:ptCount val="3"/>
                <c:pt idx="0">
                  <c:v>2.1576763485477177</c:v>
                </c:pt>
                <c:pt idx="1">
                  <c:v>5.0689435071854554</c:v>
                </c:pt>
                <c:pt idx="2">
                  <c:v>7.2423398328690807</c:v>
                </c:pt>
              </c:numCache>
            </c:numRef>
          </c:xVal>
          <c:yVal>
            <c:numRef>
              <c:f>'Check A-W HP Small'!$D$40:$D$42</c:f>
              <c:numCache>
                <c:formatCode>General</c:formatCode>
                <c:ptCount val="3"/>
                <c:pt idx="0">
                  <c:v>10.4</c:v>
                </c:pt>
                <c:pt idx="1">
                  <c:v>18.98</c:v>
                </c:pt>
                <c:pt idx="2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3-4361-8833-10E9ED4FC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Small'!$E$58:$E$60</c:f>
              <c:numCache>
                <c:formatCode>0.00</c:formatCode>
                <c:ptCount val="3"/>
                <c:pt idx="0">
                  <c:v>0.72139303482587069</c:v>
                </c:pt>
                <c:pt idx="1">
                  <c:v>1.25355962278731</c:v>
                </c:pt>
                <c:pt idx="2">
                  <c:v>1.791044776119403</c:v>
                </c:pt>
              </c:numCache>
            </c:numRef>
          </c:xVal>
          <c:yVal>
            <c:numRef>
              <c:f>'Check A-W HP Small'!$D$58:$D$60</c:f>
              <c:numCache>
                <c:formatCode>General</c:formatCode>
                <c:ptCount val="3"/>
                <c:pt idx="0">
                  <c:v>2.9</c:v>
                </c:pt>
                <c:pt idx="1">
                  <c:v>4.38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0-4862-A174-F43DD088E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A-W HP Mid'!$E$15:$E$18</c:f>
              <c:numCache>
                <c:formatCode>0.00</c:formatCode>
                <c:ptCount val="4"/>
                <c:pt idx="0">
                  <c:v>2.659846547314578</c:v>
                </c:pt>
                <c:pt idx="1">
                  <c:v>4.2304593070104746</c:v>
                </c:pt>
                <c:pt idx="2">
                  <c:v>6.8627450980392153</c:v>
                </c:pt>
                <c:pt idx="3">
                  <c:v>9.8039215686274517</c:v>
                </c:pt>
              </c:numCache>
            </c:numRef>
          </c:xVal>
          <c:yVal>
            <c:numRef>
              <c:f>'Check A-W HP Mid'!$D$15:$D$18</c:f>
              <c:numCache>
                <c:formatCode>0.00</c:formatCode>
                <c:ptCount val="4"/>
                <c:pt idx="0" formatCode="General">
                  <c:v>10.4</c:v>
                </c:pt>
                <c:pt idx="1">
                  <c:v>14.399999999999999</c:v>
                </c:pt>
                <c:pt idx="2" formatCode="General">
                  <c:v>21.9</c:v>
                </c:pt>
                <c:pt idx="3" formatCode="General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5-4926-9603-8C719C21E933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A-W HP Mid'!$E$15:$E$18</c:f>
              <c:numCache>
                <c:formatCode>0.00</c:formatCode>
                <c:ptCount val="4"/>
                <c:pt idx="0">
                  <c:v>2.659846547314578</c:v>
                </c:pt>
                <c:pt idx="1">
                  <c:v>4.2304593070104746</c:v>
                </c:pt>
                <c:pt idx="2">
                  <c:v>6.8627450980392153</c:v>
                </c:pt>
                <c:pt idx="3">
                  <c:v>9.8039215686274517</c:v>
                </c:pt>
              </c:numCache>
            </c:numRef>
          </c:xVal>
          <c:yVal>
            <c:numRef>
              <c:f>'Check A-W HP Mid'!$D$15:$D$18</c:f>
              <c:numCache>
                <c:formatCode>0.00</c:formatCode>
                <c:ptCount val="4"/>
                <c:pt idx="0" formatCode="General">
                  <c:v>10.4</c:v>
                </c:pt>
                <c:pt idx="1">
                  <c:v>14.399999999999999</c:v>
                </c:pt>
                <c:pt idx="2" formatCode="General">
                  <c:v>21.9</c:v>
                </c:pt>
                <c:pt idx="3" formatCode="General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5-4926-9603-8C719C21E933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Mid'!$E$15:$E$18</c:f>
              <c:numCache>
                <c:formatCode>0.00</c:formatCode>
                <c:ptCount val="4"/>
                <c:pt idx="0">
                  <c:v>2.659846547314578</c:v>
                </c:pt>
                <c:pt idx="1">
                  <c:v>4.2304593070104746</c:v>
                </c:pt>
                <c:pt idx="2">
                  <c:v>6.8627450980392153</c:v>
                </c:pt>
                <c:pt idx="3">
                  <c:v>9.8039215686274517</c:v>
                </c:pt>
              </c:numCache>
            </c:numRef>
          </c:xVal>
          <c:yVal>
            <c:numRef>
              <c:f>'Check A-W HP Mid'!$D$15:$D$18</c:f>
              <c:numCache>
                <c:formatCode>0.00</c:formatCode>
                <c:ptCount val="4"/>
                <c:pt idx="0" formatCode="General">
                  <c:v>10.4</c:v>
                </c:pt>
                <c:pt idx="1">
                  <c:v>14.399999999999999</c:v>
                </c:pt>
                <c:pt idx="2" formatCode="General">
                  <c:v>21.9</c:v>
                </c:pt>
                <c:pt idx="3" formatCode="General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95-4926-9603-8C719C21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Mid'!$E$34:$E$37</c:f>
              <c:numCache>
                <c:formatCode>0.00</c:formatCode>
                <c:ptCount val="4"/>
                <c:pt idx="0">
                  <c:v>5.185995623632385</c:v>
                </c:pt>
                <c:pt idx="1">
                  <c:v>9.5554662996415196</c:v>
                </c:pt>
                <c:pt idx="2">
                  <c:v>15.157159345591783</c:v>
                </c:pt>
                <c:pt idx="3">
                  <c:v>21.656050955414013</c:v>
                </c:pt>
              </c:numCache>
            </c:numRef>
          </c:xVal>
          <c:yVal>
            <c:numRef>
              <c:f>'Check A-W HP Mid'!$D$34:$D$37</c:f>
              <c:numCache>
                <c:formatCode>0.00</c:formatCode>
                <c:ptCount val="4"/>
                <c:pt idx="0">
                  <c:v>23.7</c:v>
                </c:pt>
                <c:pt idx="1">
                  <c:v>32.64</c:v>
                </c:pt>
                <c:pt idx="2" formatCode="General">
                  <c:v>49.64</c:v>
                </c:pt>
                <c:pt idx="3" formatCode="General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C-4767-BA6D-D1B50084F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Mid'!$E$52:$E$55</c:f>
              <c:numCache>
                <c:formatCode>0.00</c:formatCode>
                <c:ptCount val="4"/>
                <c:pt idx="0">
                  <c:v>9.2857142857142847</c:v>
                </c:pt>
                <c:pt idx="1">
                  <c:v>17.590872101352964</c:v>
                </c:pt>
                <c:pt idx="2">
                  <c:v>27.903154394269027</c:v>
                </c:pt>
                <c:pt idx="3">
                  <c:v>39.867109634551497</c:v>
                </c:pt>
              </c:numCache>
            </c:numRef>
          </c:xVal>
          <c:yVal>
            <c:numRef>
              <c:f>'Check A-W HP Mid'!$D$52:$D$55</c:f>
              <c:numCache>
                <c:formatCode>0.00</c:formatCode>
                <c:ptCount val="4"/>
                <c:pt idx="0" formatCode="General">
                  <c:v>41.6</c:v>
                </c:pt>
                <c:pt idx="1">
                  <c:v>57.599999999999994</c:v>
                </c:pt>
                <c:pt idx="2" formatCode="General">
                  <c:v>87.6</c:v>
                </c:pt>
                <c:pt idx="3" formatCode="General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F-469A-92FD-7135AA50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A-W HP Mid v2'!$E$8:$E$10</c:f>
              <c:numCache>
                <c:formatCode>0.00</c:formatCode>
                <c:ptCount val="3"/>
                <c:pt idx="0">
                  <c:v>16.993464052287582</c:v>
                </c:pt>
                <c:pt idx="1">
                  <c:v>8.5196374622356483</c:v>
                </c:pt>
                <c:pt idx="2">
                  <c:v>4.4038929440389296</c:v>
                </c:pt>
              </c:numCache>
            </c:numRef>
          </c:xVal>
          <c:yVal>
            <c:numRef>
              <c:f>'Check A-W HP Mid v2'!$D$8:$D$10</c:f>
              <c:numCache>
                <c:formatCode>0.00</c:formatCode>
                <c:ptCount val="3"/>
                <c:pt idx="0">
                  <c:v>52</c:v>
                </c:pt>
                <c:pt idx="1">
                  <c:v>28.2</c:v>
                </c:pt>
                <c:pt idx="2">
                  <c:v>18.100000000000001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B-4904-A402-60104B774757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A-W HP Mid v2'!$E$8:$E$10</c:f>
              <c:numCache>
                <c:formatCode>0.00</c:formatCode>
                <c:ptCount val="3"/>
                <c:pt idx="0">
                  <c:v>16.993464052287582</c:v>
                </c:pt>
                <c:pt idx="1">
                  <c:v>8.5196374622356483</c:v>
                </c:pt>
                <c:pt idx="2">
                  <c:v>4.4038929440389296</c:v>
                </c:pt>
              </c:numCache>
            </c:numRef>
          </c:xVal>
          <c:yVal>
            <c:numRef>
              <c:f>'Check A-W HP Mid v2'!$D$8:$D$10</c:f>
              <c:numCache>
                <c:formatCode>0.00</c:formatCode>
                <c:ptCount val="3"/>
                <c:pt idx="0">
                  <c:v>52</c:v>
                </c:pt>
                <c:pt idx="1">
                  <c:v>28.2</c:v>
                </c:pt>
                <c:pt idx="2">
                  <c:v>18.100000000000001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9B-4904-A402-60104B774757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Mid v2'!$E$8:$E$11</c:f>
              <c:numCache>
                <c:formatCode>0.00</c:formatCode>
                <c:ptCount val="4"/>
                <c:pt idx="0">
                  <c:v>16.993464052287582</c:v>
                </c:pt>
                <c:pt idx="1">
                  <c:v>8.5196374622356483</c:v>
                </c:pt>
                <c:pt idx="2">
                  <c:v>4.4038929440389296</c:v>
                </c:pt>
                <c:pt idx="3">
                  <c:v>2.0716112531969308</c:v>
                </c:pt>
              </c:numCache>
            </c:numRef>
          </c:xVal>
          <c:yVal>
            <c:numRef>
              <c:f>'Check A-W HP Mid v2'!$D$8:$D$11</c:f>
              <c:numCache>
                <c:formatCode>0.00</c:formatCode>
                <c:ptCount val="4"/>
                <c:pt idx="0">
                  <c:v>52</c:v>
                </c:pt>
                <c:pt idx="1">
                  <c:v>28.2</c:v>
                </c:pt>
                <c:pt idx="2">
                  <c:v>18.100000000000001</c:v>
                </c:pt>
                <c:pt idx="3">
                  <c:v>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9B-4904-A402-60104B774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Mid v2'!$E$27:$E$30</c:f>
              <c:numCache>
                <c:formatCode>0.00</c:formatCode>
                <c:ptCount val="4"/>
                <c:pt idx="0">
                  <c:v>21.656050955414013</c:v>
                </c:pt>
                <c:pt idx="1">
                  <c:v>10.635838150289016</c:v>
                </c:pt>
                <c:pt idx="2">
                  <c:v>5.185995623632385</c:v>
                </c:pt>
                <c:pt idx="3">
                  <c:v>2.2245762711864407</c:v>
                </c:pt>
              </c:numCache>
            </c:numRef>
          </c:xVal>
          <c:yVal>
            <c:numRef>
              <c:f>'Check A-W HP Mid v2'!$D$27:$D$30</c:f>
              <c:numCache>
                <c:formatCode>0.00</c:formatCode>
                <c:ptCount val="4"/>
                <c:pt idx="0">
                  <c:v>68</c:v>
                </c:pt>
                <c:pt idx="1">
                  <c:v>36.799999999999997</c:v>
                </c:pt>
                <c:pt idx="2">
                  <c:v>23.7</c:v>
                </c:pt>
                <c:pt idx="3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6-470C-9C1B-2B6293336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Mid v2'!$E$45:$E$48</c:f>
              <c:numCache>
                <c:formatCode>0.00</c:formatCode>
                <c:ptCount val="4"/>
                <c:pt idx="0">
                  <c:v>39.867109634551497</c:v>
                </c:pt>
                <c:pt idx="1">
                  <c:v>19.198813056379823</c:v>
                </c:pt>
                <c:pt idx="2">
                  <c:v>9.2857142857142847</c:v>
                </c:pt>
                <c:pt idx="3">
                  <c:v>3.9956803455723544</c:v>
                </c:pt>
              </c:numCache>
            </c:numRef>
          </c:xVal>
          <c:yVal>
            <c:numRef>
              <c:f>'Check A-W HP Mid v2'!$D$45:$D$48</c:f>
              <c:numCache>
                <c:formatCode>General</c:formatCode>
                <c:ptCount val="4"/>
                <c:pt idx="0">
                  <c:v>120</c:v>
                </c:pt>
                <c:pt idx="1">
                  <c:v>64.7</c:v>
                </c:pt>
                <c:pt idx="2">
                  <c:v>41.6</c:v>
                </c:pt>
                <c:pt idx="3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C-4EFB-B06A-BF57974F6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A-W HP Big-Huge'!$E$15:$E$18</c:f>
              <c:numCache>
                <c:formatCode>0.00</c:formatCode>
                <c:ptCount val="4"/>
                <c:pt idx="0">
                  <c:v>9.4505494505494507</c:v>
                </c:pt>
                <c:pt idx="1">
                  <c:v>17.372353673723534</c:v>
                </c:pt>
                <c:pt idx="2">
                  <c:v>28.18181818181818</c:v>
                </c:pt>
                <c:pt idx="3">
                  <c:v>40.259740259740262</c:v>
                </c:pt>
              </c:numCache>
            </c:numRef>
          </c:xVal>
          <c:yVal>
            <c:numRef>
              <c:f>'Check A-W HP Big-Huge'!$D$15:$D$18</c:f>
              <c:numCache>
                <c:formatCode>0.00</c:formatCode>
                <c:ptCount val="4"/>
                <c:pt idx="0" formatCode="General">
                  <c:v>43</c:v>
                </c:pt>
                <c:pt idx="1">
                  <c:v>59.519999999999996</c:v>
                </c:pt>
                <c:pt idx="2" formatCode="General">
                  <c:v>90.52</c:v>
                </c:pt>
                <c:pt idx="3" formatCode="General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7E-4F22-9E61-3C7D0D7DACA9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A-W HP Big-Huge'!$E$15:$E$18</c:f>
              <c:numCache>
                <c:formatCode>0.00</c:formatCode>
                <c:ptCount val="4"/>
                <c:pt idx="0">
                  <c:v>9.4505494505494507</c:v>
                </c:pt>
                <c:pt idx="1">
                  <c:v>17.372353673723534</c:v>
                </c:pt>
                <c:pt idx="2">
                  <c:v>28.18181818181818</c:v>
                </c:pt>
                <c:pt idx="3">
                  <c:v>40.259740259740262</c:v>
                </c:pt>
              </c:numCache>
            </c:numRef>
          </c:xVal>
          <c:yVal>
            <c:numRef>
              <c:f>'Check A-W HP Big-Huge'!$D$15:$D$18</c:f>
              <c:numCache>
                <c:formatCode>0.00</c:formatCode>
                <c:ptCount val="4"/>
                <c:pt idx="0" formatCode="General">
                  <c:v>43</c:v>
                </c:pt>
                <c:pt idx="1">
                  <c:v>59.519999999999996</c:v>
                </c:pt>
                <c:pt idx="2" formatCode="General">
                  <c:v>90.52</c:v>
                </c:pt>
                <c:pt idx="3" formatCode="General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7E-4F22-9E61-3C7D0D7DACA9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Big-Huge'!$E$15:$E$18</c:f>
              <c:numCache>
                <c:formatCode>0.00</c:formatCode>
                <c:ptCount val="4"/>
                <c:pt idx="0">
                  <c:v>9.4505494505494507</c:v>
                </c:pt>
                <c:pt idx="1">
                  <c:v>17.372353673723534</c:v>
                </c:pt>
                <c:pt idx="2">
                  <c:v>28.18181818181818</c:v>
                </c:pt>
                <c:pt idx="3">
                  <c:v>40.259740259740262</c:v>
                </c:pt>
              </c:numCache>
            </c:numRef>
          </c:xVal>
          <c:yVal>
            <c:numRef>
              <c:f>'Check A-W HP Big-Huge'!$D$15:$D$18</c:f>
              <c:numCache>
                <c:formatCode>0.00</c:formatCode>
                <c:ptCount val="4"/>
                <c:pt idx="0" formatCode="General">
                  <c:v>43</c:v>
                </c:pt>
                <c:pt idx="1">
                  <c:v>59.519999999999996</c:v>
                </c:pt>
                <c:pt idx="2" formatCode="General">
                  <c:v>90.52</c:v>
                </c:pt>
                <c:pt idx="3" formatCode="General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7E-4F22-9E61-3C7D0D7D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Big-Huge'!$E$34:$E$37</c:f>
              <c:numCache>
                <c:formatCode>0.00</c:formatCode>
                <c:ptCount val="4"/>
                <c:pt idx="0">
                  <c:v>19.824561403508774</c:v>
                </c:pt>
                <c:pt idx="1">
                  <c:v>34.79245979744185</c:v>
                </c:pt>
                <c:pt idx="2">
                  <c:v>55.188814510779679</c:v>
                </c:pt>
                <c:pt idx="3">
                  <c:v>78.851963746223561</c:v>
                </c:pt>
              </c:numCache>
            </c:numRef>
          </c:xVal>
          <c:yVal>
            <c:numRef>
              <c:f>'Check A-W HP Big-Huge'!$D$34:$D$37</c:f>
              <c:numCache>
                <c:formatCode>0.00</c:formatCode>
                <c:ptCount val="4"/>
                <c:pt idx="0">
                  <c:v>90.4</c:v>
                </c:pt>
                <c:pt idx="1">
                  <c:v>125.28</c:v>
                </c:pt>
                <c:pt idx="2" formatCode="General">
                  <c:v>190.53</c:v>
                </c:pt>
                <c:pt idx="3" formatCode="General">
                  <c:v>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8-463F-96FD-98C9CEBFE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Big-Huge'!$E$52:$E$55</c:f>
              <c:numCache>
                <c:formatCode>0.00</c:formatCode>
                <c:ptCount val="4"/>
                <c:pt idx="0">
                  <c:v>38.727272727272727</c:v>
                </c:pt>
                <c:pt idx="1">
                  <c:v>70.649043506479089</c:v>
                </c:pt>
                <c:pt idx="2">
                  <c:v>112.06557340707941</c:v>
                </c:pt>
                <c:pt idx="3">
                  <c:v>160.11560693641619</c:v>
                </c:pt>
              </c:numCache>
            </c:numRef>
          </c:xVal>
          <c:yVal>
            <c:numRef>
              <c:f>'Check A-W HP Big-Huge'!$D$52:$D$55</c:f>
              <c:numCache>
                <c:formatCode>0.00</c:formatCode>
                <c:ptCount val="4"/>
                <c:pt idx="0" formatCode="General">
                  <c:v>191.7</c:v>
                </c:pt>
                <c:pt idx="1">
                  <c:v>265.92</c:v>
                </c:pt>
                <c:pt idx="2" formatCode="General">
                  <c:v>404.42</c:v>
                </c:pt>
                <c:pt idx="3" formatCode="General">
                  <c:v>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F-4DD6-92EE-CD14E974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A-W HP Big v2'!$E$8:$E$10</c:f>
              <c:numCache>
                <c:formatCode>0.00</c:formatCode>
                <c:ptCount val="3"/>
                <c:pt idx="0">
                  <c:v>40.259740259740262</c:v>
                </c:pt>
                <c:pt idx="1">
                  <c:v>19.61876832844575</c:v>
                </c:pt>
                <c:pt idx="2">
                  <c:v>9.4505494505494507</c:v>
                </c:pt>
              </c:numCache>
            </c:numRef>
          </c:xVal>
          <c:yVal>
            <c:numRef>
              <c:f>'Check A-W HP Big v2'!$D$8:$D$10</c:f>
              <c:numCache>
                <c:formatCode>0.00</c:formatCode>
                <c:ptCount val="3"/>
                <c:pt idx="0">
                  <c:v>124</c:v>
                </c:pt>
                <c:pt idx="1">
                  <c:v>66.900000000000006</c:v>
                </c:pt>
                <c:pt idx="2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33-4E86-ADE2-11664C5C257C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A-W HP Big v2'!$E$8:$E$10</c:f>
              <c:numCache>
                <c:formatCode>0.00</c:formatCode>
                <c:ptCount val="3"/>
                <c:pt idx="0">
                  <c:v>40.259740259740262</c:v>
                </c:pt>
                <c:pt idx="1">
                  <c:v>19.61876832844575</c:v>
                </c:pt>
                <c:pt idx="2">
                  <c:v>9.4505494505494507</c:v>
                </c:pt>
              </c:numCache>
            </c:numRef>
          </c:xVal>
          <c:yVal>
            <c:numRef>
              <c:f>'Check A-W HP Big v2'!$D$8:$D$10</c:f>
              <c:numCache>
                <c:formatCode>0.00</c:formatCode>
                <c:ptCount val="3"/>
                <c:pt idx="0">
                  <c:v>124</c:v>
                </c:pt>
                <c:pt idx="1">
                  <c:v>66.900000000000006</c:v>
                </c:pt>
                <c:pt idx="2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33-4E86-ADE2-11664C5C257C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Big v2'!$E$8:$E$11</c:f>
              <c:numCache>
                <c:formatCode>0.00</c:formatCode>
                <c:ptCount val="4"/>
                <c:pt idx="0">
                  <c:v>40.259740259740262</c:v>
                </c:pt>
                <c:pt idx="1">
                  <c:v>19.61876832844575</c:v>
                </c:pt>
                <c:pt idx="2">
                  <c:v>9.4505494505494507</c:v>
                </c:pt>
                <c:pt idx="3">
                  <c:v>4.2070484581497798</c:v>
                </c:pt>
              </c:numCache>
            </c:numRef>
          </c:xVal>
          <c:yVal>
            <c:numRef>
              <c:f>'Check A-W HP Big v2'!$D$8:$D$11</c:f>
              <c:numCache>
                <c:formatCode>0.00</c:formatCode>
                <c:ptCount val="4"/>
                <c:pt idx="0">
                  <c:v>124</c:v>
                </c:pt>
                <c:pt idx="1">
                  <c:v>66.900000000000006</c:v>
                </c:pt>
                <c:pt idx="2">
                  <c:v>43</c:v>
                </c:pt>
                <c:pt idx="3">
                  <c:v>19.100000000000001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33-4E86-ADE2-11664C5C2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Big v2'!$E$27:$E$30</c:f>
              <c:numCache>
                <c:formatCode>0.00</c:formatCode>
                <c:ptCount val="4"/>
                <c:pt idx="0">
                  <c:v>59.214501510574017</c:v>
                </c:pt>
                <c:pt idx="1">
                  <c:v>29.607843137254903</c:v>
                </c:pt>
                <c:pt idx="2">
                  <c:v>14.416135881104035</c:v>
                </c:pt>
                <c:pt idx="3">
                  <c:v>6.344537815126051</c:v>
                </c:pt>
              </c:numCache>
            </c:numRef>
          </c:xVal>
          <c:yVal>
            <c:numRef>
              <c:f>'Check A-W HP Big v2'!$D$27:$D$30</c:f>
              <c:numCache>
                <c:formatCode>0.00</c:formatCode>
                <c:ptCount val="4"/>
                <c:pt idx="0">
                  <c:v>196</c:v>
                </c:pt>
                <c:pt idx="1">
                  <c:v>105.7</c:v>
                </c:pt>
                <c:pt idx="2">
                  <c:v>67.900000000000006</c:v>
                </c:pt>
                <c:pt idx="3">
                  <c:v>30.2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3-4D0F-ACF3-7FF6A380F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Big v2'!$E$45:$E$48</c:f>
              <c:numCache>
                <c:formatCode>0.00</c:formatCode>
                <c:ptCount val="4"/>
                <c:pt idx="0">
                  <c:v>87.767584097859327</c:v>
                </c:pt>
                <c:pt idx="1">
                  <c:v>41.729729729729726</c:v>
                </c:pt>
                <c:pt idx="2">
                  <c:v>21.217948717948719</c:v>
                </c:pt>
                <c:pt idx="3">
                  <c:v>9.4635193133047206</c:v>
                </c:pt>
              </c:numCache>
            </c:numRef>
          </c:xVal>
          <c:yVal>
            <c:numRef>
              <c:f>'Check A-W HP Big v2'!$D$45:$D$48</c:f>
              <c:numCache>
                <c:formatCode>General</c:formatCode>
                <c:ptCount val="4"/>
                <c:pt idx="0">
                  <c:v>287</c:v>
                </c:pt>
                <c:pt idx="1">
                  <c:v>154.4</c:v>
                </c:pt>
                <c:pt idx="2">
                  <c:v>99.3</c:v>
                </c:pt>
                <c:pt idx="3">
                  <c:v>44.1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8-450F-A4F3-32363DA24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'Check A-W HP Huge v2'!$E$8:$E$10</c:f>
              <c:numCache>
                <c:formatCode>0.00</c:formatCode>
                <c:ptCount val="3"/>
                <c:pt idx="0">
                  <c:v>95.988538681948413</c:v>
                </c:pt>
                <c:pt idx="1">
                  <c:v>46.805194805194802</c:v>
                </c:pt>
                <c:pt idx="2">
                  <c:v>22.529182879377434</c:v>
                </c:pt>
              </c:numCache>
            </c:numRef>
          </c:xVal>
          <c:yVal>
            <c:numRef>
              <c:f>'Check A-W HP Huge v2'!$D$8:$D$10</c:f>
              <c:numCache>
                <c:formatCode>0.00</c:formatCode>
                <c:ptCount val="3"/>
                <c:pt idx="0">
                  <c:v>335</c:v>
                </c:pt>
                <c:pt idx="1">
                  <c:v>180.2</c:v>
                </c:pt>
                <c:pt idx="2">
                  <c:v>115.8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A-404D-9467-91153FBC28E9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'Check A-W HP Huge v2'!$E$8:$E$10</c:f>
              <c:numCache>
                <c:formatCode>0.00</c:formatCode>
                <c:ptCount val="3"/>
                <c:pt idx="0">
                  <c:v>95.988538681948413</c:v>
                </c:pt>
                <c:pt idx="1">
                  <c:v>46.805194805194802</c:v>
                </c:pt>
                <c:pt idx="2">
                  <c:v>22.529182879377434</c:v>
                </c:pt>
              </c:numCache>
            </c:numRef>
          </c:xVal>
          <c:yVal>
            <c:numRef>
              <c:f>'Check A-W HP Huge v2'!$D$8:$D$10</c:f>
              <c:numCache>
                <c:formatCode>0.00</c:formatCode>
                <c:ptCount val="3"/>
                <c:pt idx="0">
                  <c:v>335</c:v>
                </c:pt>
                <c:pt idx="1">
                  <c:v>180.2</c:v>
                </c:pt>
                <c:pt idx="2">
                  <c:v>115.8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A-404D-9467-91153FBC28E9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Huge v2'!$E$8:$E$11</c:f>
              <c:numCache>
                <c:formatCode>0.00</c:formatCode>
                <c:ptCount val="4"/>
                <c:pt idx="0">
                  <c:v>95.988538681948413</c:v>
                </c:pt>
                <c:pt idx="1">
                  <c:v>46.805194805194802</c:v>
                </c:pt>
                <c:pt idx="2">
                  <c:v>22.529182879377434</c:v>
                </c:pt>
                <c:pt idx="3">
                  <c:v>16.121842496285289</c:v>
                </c:pt>
              </c:numCache>
            </c:numRef>
          </c:xVal>
          <c:yVal>
            <c:numRef>
              <c:f>'Check A-W HP Huge v2'!$D$8:$D$11</c:f>
              <c:numCache>
                <c:formatCode>0.00</c:formatCode>
                <c:ptCount val="4"/>
                <c:pt idx="0">
                  <c:v>335</c:v>
                </c:pt>
                <c:pt idx="1">
                  <c:v>180.2</c:v>
                </c:pt>
                <c:pt idx="2">
                  <c:v>115.8</c:v>
                </c:pt>
                <c:pt idx="3">
                  <c:v>108.5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2A-404D-9467-91153FBC2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Huge v2'!$E$27:$E$30</c:f>
              <c:numCache>
                <c:formatCode>0.00</c:formatCode>
                <c:ptCount val="4"/>
                <c:pt idx="0">
                  <c:v>117.52873563218391</c:v>
                </c:pt>
                <c:pt idx="1">
                  <c:v>57.643979057591622</c:v>
                </c:pt>
                <c:pt idx="2">
                  <c:v>29.417879417879419</c:v>
                </c:pt>
                <c:pt idx="3">
                  <c:v>13.060941828254848</c:v>
                </c:pt>
              </c:numCache>
            </c:numRef>
          </c:xVal>
          <c:yVal>
            <c:numRef>
              <c:f>'Check A-W HP Huge v2'!$D$27:$D$30</c:f>
              <c:numCache>
                <c:formatCode>0.00</c:formatCode>
                <c:ptCount val="4"/>
                <c:pt idx="0">
                  <c:v>409</c:v>
                </c:pt>
                <c:pt idx="1">
                  <c:v>220.2</c:v>
                </c:pt>
                <c:pt idx="2">
                  <c:v>141.5</c:v>
                </c:pt>
                <c:pt idx="3">
                  <c:v>94.3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1-4A17-8865-CA04A455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Input -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 A-W HP Huge v2'!$E$45:$E$48</c:f>
              <c:numCache>
                <c:formatCode>0.00</c:formatCode>
                <c:ptCount val="4"/>
                <c:pt idx="0">
                  <c:v>160.11560693641619</c:v>
                </c:pt>
                <c:pt idx="1">
                  <c:v>79.124668435013263</c:v>
                </c:pt>
                <c:pt idx="2">
                  <c:v>38.727272727272727</c:v>
                </c:pt>
                <c:pt idx="3">
                  <c:v>19.72067039106145</c:v>
                </c:pt>
              </c:numCache>
            </c:numRef>
          </c:xVal>
          <c:yVal>
            <c:numRef>
              <c:f>'Check A-W HP Huge v2'!$D$45:$D$48</c:f>
              <c:numCache>
                <c:formatCode>0.00</c:formatCode>
                <c:ptCount val="4"/>
                <c:pt idx="0">
                  <c:v>554</c:v>
                </c:pt>
                <c:pt idx="1">
                  <c:v>298.3</c:v>
                </c:pt>
                <c:pt idx="2">
                  <c:v>191.7</c:v>
                </c:pt>
                <c:pt idx="3">
                  <c:v>141.19999999999999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A-4C4A-A06C-078DD46E0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77199"/>
        <c:axId val="398678639"/>
      </c:scatterChart>
      <c:valAx>
        <c:axId val="3986771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[kW_el]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8639"/>
        <c:crosses val="autoZero"/>
        <c:crossBetween val="midCat"/>
      </c:valAx>
      <c:valAx>
        <c:axId val="398678639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Output [kW_th]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7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image" Target="../media/image13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7.png"/><Relationship Id="rId4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4" Type="http://schemas.openxmlformats.org/officeDocument/2006/relationships/chart" Target="../charts/chart3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chart" Target="../charts/chart42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4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chart" Target="../charts/chart43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1043940</xdr:colOff>
      <xdr:row>6</xdr:row>
      <xdr:rowOff>83820</xdr:rowOff>
    </xdr:from>
    <xdr:to>
      <xdr:col>5</xdr:col>
      <xdr:colOff>883920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DE963-4FD8-4D41-AE53-05708EBB8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1242060</xdr:colOff>
      <xdr:row>30</xdr:row>
      <xdr:rowOff>137160</xdr:rowOff>
    </xdr:from>
    <xdr:to>
      <xdr:col>5</xdr:col>
      <xdr:colOff>769620</xdr:colOff>
      <xdr:row>45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E06215-C39E-4936-A344-DDE81CFB3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1242060</xdr:colOff>
      <xdr:row>54</xdr:row>
      <xdr:rowOff>137160</xdr:rowOff>
    </xdr:from>
    <xdr:to>
      <xdr:col>5</xdr:col>
      <xdr:colOff>769620</xdr:colOff>
      <xdr:row>69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863B10-7D12-48E5-A95B-BE5128D16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167640</xdr:colOff>
      <xdr:row>0</xdr:row>
      <xdr:rowOff>167640</xdr:rowOff>
    </xdr:from>
    <xdr:to>
      <xdr:col>17</xdr:col>
      <xdr:colOff>436669</xdr:colOff>
      <xdr:row>21</xdr:row>
      <xdr:rowOff>68580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89A182-812B-4BDB-8C5A-909BAF5AB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02980" y="167640"/>
          <a:ext cx="4536229" cy="3741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1043940</xdr:colOff>
      <xdr:row>6</xdr:row>
      <xdr:rowOff>83820</xdr:rowOff>
    </xdr:from>
    <xdr:to>
      <xdr:col>5</xdr:col>
      <xdr:colOff>883920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01CE15-F84C-4117-B646-738333A67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1242060</xdr:colOff>
      <xdr:row>30</xdr:row>
      <xdr:rowOff>137160</xdr:rowOff>
    </xdr:from>
    <xdr:to>
      <xdr:col>5</xdr:col>
      <xdr:colOff>769620</xdr:colOff>
      <xdr:row>45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7EEE9-2857-40CA-A7AC-3DF4C7594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1242060</xdr:colOff>
      <xdr:row>54</xdr:row>
      <xdr:rowOff>137160</xdr:rowOff>
    </xdr:from>
    <xdr:to>
      <xdr:col>5</xdr:col>
      <xdr:colOff>769620</xdr:colOff>
      <xdr:row>69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2F1D98-0F39-4E23-A295-E7936B916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167640</xdr:colOff>
      <xdr:row>0</xdr:row>
      <xdr:rowOff>167640</xdr:rowOff>
    </xdr:from>
    <xdr:to>
      <xdr:col>17</xdr:col>
      <xdr:colOff>436669</xdr:colOff>
      <xdr:row>21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E4F063-A25A-DDA7-6E50-626D81626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02980" y="167640"/>
          <a:ext cx="4536229" cy="3741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434340</xdr:colOff>
      <xdr:row>70</xdr:row>
      <xdr:rowOff>0</xdr:rowOff>
    </xdr:from>
    <xdr:to>
      <xdr:col>6</xdr:col>
      <xdr:colOff>1189438</xdr:colOff>
      <xdr:row>96</xdr:row>
      <xdr:rowOff>23274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15E96-8B51-8BDC-B0A1-532E9AB9D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" y="12801600"/>
          <a:ext cx="8283658" cy="47781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579120</xdr:colOff>
      <xdr:row>1</xdr:row>
      <xdr:rowOff>45720</xdr:rowOff>
    </xdr:from>
    <xdr:to>
      <xdr:col>24</xdr:col>
      <xdr:colOff>328378</xdr:colOff>
      <xdr:row>27</xdr:row>
      <xdr:rowOff>68994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03C97-D399-498F-B9B0-4B56F8749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9140" y="228600"/>
          <a:ext cx="8283658" cy="4778154"/>
        </a:xfrm>
        <a:prstGeom prst="rect">
          <a:avLst/>
        </a:prstGeom>
      </xdr:spPr>
    </xdr:pic>
    <xdr:clientData/>
  </xdr:twoCellAnchor>
  <xdr:twoCellAnchor>
    <xdr:from>
      <xdr:col>1</xdr:col>
      <xdr:colOff>1043940</xdr:colOff>
      <xdr:row>6</xdr:row>
      <xdr:rowOff>83820</xdr:rowOff>
    </xdr:from>
    <xdr:to>
      <xdr:col>6</xdr:col>
      <xdr:colOff>883920</xdr:colOff>
      <xdr:row>21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DE80A2-3135-38E7-A472-71EB3C4E6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1242060</xdr:colOff>
      <xdr:row>30</xdr:row>
      <xdr:rowOff>137160</xdr:rowOff>
    </xdr:from>
    <xdr:to>
      <xdr:col>6</xdr:col>
      <xdr:colOff>769620</xdr:colOff>
      <xdr:row>45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585F6A-0729-A404-27D6-A3A401146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1242060</xdr:colOff>
      <xdr:row>54</xdr:row>
      <xdr:rowOff>137160</xdr:rowOff>
    </xdr:from>
    <xdr:to>
      <xdr:col>6</xdr:col>
      <xdr:colOff>769620</xdr:colOff>
      <xdr:row>69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90E643-C616-4C20-A063-2D89F38C8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4</xdr:col>
      <xdr:colOff>1135380</xdr:colOff>
      <xdr:row>36</xdr:row>
      <xdr:rowOff>25315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AD989-C175-CCB4-896E-297A55A81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217920"/>
          <a:ext cx="5676900" cy="39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4</xdr:col>
      <xdr:colOff>1173480</xdr:colOff>
      <xdr:row>42</xdr:row>
      <xdr:rowOff>178345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2EA41-66AC-629A-303A-7CE2A3684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766560"/>
          <a:ext cx="5715000" cy="10927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502920</xdr:colOff>
      <xdr:row>0</xdr:row>
      <xdr:rowOff>0</xdr:rowOff>
    </xdr:from>
    <xdr:to>
      <xdr:col>17</xdr:col>
      <xdr:colOff>137709</xdr:colOff>
      <xdr:row>10</xdr:row>
      <xdr:rowOff>160192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0B034-1BB7-AC4D-412B-ABC2BDABB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9540" y="0"/>
          <a:ext cx="6340389" cy="1988992"/>
        </a:xfrm>
        <a:prstGeom prst="rect">
          <a:avLst/>
        </a:prstGeom>
      </xdr:spPr>
    </xdr:pic>
    <xdr:clientData/>
  </xdr:twoCellAnchor>
  <xdr:twoCellAnchor>
    <xdr:from>
      <xdr:col>1</xdr:col>
      <xdr:colOff>175260</xdr:colOff>
      <xdr:row>12</xdr:row>
      <xdr:rowOff>45720</xdr:rowOff>
    </xdr:from>
    <xdr:to>
      <xdr:col>4</xdr:col>
      <xdr:colOff>861060</xdr:colOff>
      <xdr:row>27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8C4E13-A9F2-4C11-8989-D2D4F25A2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34</xdr:row>
      <xdr:rowOff>152400</xdr:rowOff>
    </xdr:from>
    <xdr:to>
      <xdr:col>4</xdr:col>
      <xdr:colOff>693420</xdr:colOff>
      <xdr:row>49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63654F-5B93-4C8C-8BBC-E3928A7E9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617499</xdr:colOff>
      <xdr:row>18</xdr:row>
      <xdr:rowOff>68855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CD65B-7002-9083-22F7-A63CC27EF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3215919" cy="3177815"/>
        </a:xfrm>
        <a:prstGeom prst="rect">
          <a:avLst/>
        </a:prstGeom>
      </xdr:spPr>
    </xdr:pic>
    <xdr:clientData/>
  </xdr:twoCellAnchor>
  <xdr:twoCellAnchor editAs="oneCell">
    <xdr:from>
      <xdr:col>6</xdr:col>
      <xdr:colOff>15239</xdr:colOff>
      <xdr:row>1</xdr:row>
      <xdr:rowOff>7620</xdr:rowOff>
    </xdr:from>
    <xdr:to>
      <xdr:col>11</xdr:col>
      <xdr:colOff>273062</xdr:colOff>
      <xdr:row>18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B15C8-9F6D-A69D-C658-01429E98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2839" y="190500"/>
          <a:ext cx="3305823" cy="3230880"/>
        </a:xfrm>
        <a:prstGeom prst="rect">
          <a:avLst/>
        </a:prstGeom>
      </xdr:spPr>
    </xdr:pic>
    <xdr:clientData/>
  </xdr:twoCellAnchor>
  <xdr:twoCellAnchor editAs="oneCell">
    <xdr:from>
      <xdr:col>11</xdr:col>
      <xdr:colOff>259080</xdr:colOff>
      <xdr:row>21</xdr:row>
      <xdr:rowOff>137160</xdr:rowOff>
    </xdr:from>
    <xdr:to>
      <xdr:col>19</xdr:col>
      <xdr:colOff>533846</xdr:colOff>
      <xdr:row>38</xdr:row>
      <xdr:rowOff>122188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E0FFC4-A660-E579-1BC2-F26BD1F61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7200" y="3977640"/>
          <a:ext cx="5151566" cy="3093988"/>
        </a:xfrm>
        <a:prstGeom prst="rect">
          <a:avLst/>
        </a:prstGeom>
      </xdr:spPr>
    </xdr:pic>
    <xdr:clientData/>
  </xdr:twoCellAnchor>
  <xdr:twoCellAnchor>
    <xdr:from>
      <xdr:col>0</xdr:col>
      <xdr:colOff>586740</xdr:colOff>
      <xdr:row>30</xdr:row>
      <xdr:rowOff>144780</xdr:rowOff>
    </xdr:from>
    <xdr:to>
      <xdr:col>6</xdr:col>
      <xdr:colOff>388620</xdr:colOff>
      <xdr:row>45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D052B7-8131-7A68-D1A4-CA2C05178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586740</xdr:colOff>
      <xdr:row>55</xdr:row>
      <xdr:rowOff>144780</xdr:rowOff>
    </xdr:from>
    <xdr:to>
      <xdr:col>6</xdr:col>
      <xdr:colOff>388620</xdr:colOff>
      <xdr:row>70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B33BAC-64EA-4B18-B587-23BF52A2B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7</xdr:row>
      <xdr:rowOff>60960</xdr:rowOff>
    </xdr:from>
    <xdr:to>
      <xdr:col>6</xdr:col>
      <xdr:colOff>541020</xdr:colOff>
      <xdr:row>22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DC500-45BF-F303-B2BD-3D7E2046D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502920</xdr:colOff>
      <xdr:row>31</xdr:row>
      <xdr:rowOff>60960</xdr:rowOff>
    </xdr:from>
    <xdr:to>
      <xdr:col>6</xdr:col>
      <xdr:colOff>541020</xdr:colOff>
      <xdr:row>46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F58B17-610C-4047-8561-2C547A79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502920</xdr:colOff>
      <xdr:row>55</xdr:row>
      <xdr:rowOff>60960</xdr:rowOff>
    </xdr:from>
    <xdr:to>
      <xdr:col>6</xdr:col>
      <xdr:colOff>541020</xdr:colOff>
      <xdr:row>70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8348DA-6340-4788-B8E2-E20439D1D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502920</xdr:colOff>
      <xdr:row>79</xdr:row>
      <xdr:rowOff>60960</xdr:rowOff>
    </xdr:from>
    <xdr:to>
      <xdr:col>6</xdr:col>
      <xdr:colOff>541020</xdr:colOff>
      <xdr:row>94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DDC849-D285-4DF5-9CD3-B2D31A865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502920</xdr:colOff>
      <xdr:row>103</xdr:row>
      <xdr:rowOff>60960</xdr:rowOff>
    </xdr:from>
    <xdr:to>
      <xdr:col>6</xdr:col>
      <xdr:colOff>541020</xdr:colOff>
      <xdr:row>118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CA87C8-215E-44C9-A9F8-1B298583E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502920</xdr:colOff>
      <xdr:row>126</xdr:row>
      <xdr:rowOff>60960</xdr:rowOff>
    </xdr:from>
    <xdr:to>
      <xdr:col>6</xdr:col>
      <xdr:colOff>541020</xdr:colOff>
      <xdr:row>141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E66240-B899-4EDD-B268-B2A4854AA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502920</xdr:colOff>
      <xdr:row>150</xdr:row>
      <xdr:rowOff>60960</xdr:rowOff>
    </xdr:from>
    <xdr:to>
      <xdr:col>6</xdr:col>
      <xdr:colOff>541020</xdr:colOff>
      <xdr:row>165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03417D-4ADC-4352-9BB6-36EC77607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39</xdr:row>
      <xdr:rowOff>96214</xdr:rowOff>
    </xdr:from>
    <xdr:to>
      <xdr:col>6</xdr:col>
      <xdr:colOff>1347018</xdr:colOff>
      <xdr:row>56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FDD4CA-2942-42CB-BDD0-D1A379C8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" y="5582614"/>
          <a:ext cx="7267758" cy="3066086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57</xdr:row>
      <xdr:rowOff>7620</xdr:rowOff>
    </xdr:from>
    <xdr:to>
      <xdr:col>9</xdr:col>
      <xdr:colOff>991505</xdr:colOff>
      <xdr:row>59</xdr:row>
      <xdr:rowOff>22893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9D9A4C-A2DC-4D57-85E5-14AB2F29B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" y="13174980"/>
          <a:ext cx="10440305" cy="3810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35</xdr:row>
      <xdr:rowOff>96214</xdr:rowOff>
    </xdr:from>
    <xdr:to>
      <xdr:col>6</xdr:col>
      <xdr:colOff>1347018</xdr:colOff>
      <xdr:row>52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9E113-D3E2-4C27-9C8C-F60EDE0F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" y="9971734"/>
          <a:ext cx="7267758" cy="3066086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53</xdr:row>
      <xdr:rowOff>7620</xdr:rowOff>
    </xdr:from>
    <xdr:to>
      <xdr:col>9</xdr:col>
      <xdr:colOff>991505</xdr:colOff>
      <xdr:row>55</xdr:row>
      <xdr:rowOff>22893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B1C6A7-E314-40F6-956E-B89D7342B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" y="13174980"/>
          <a:ext cx="10440305" cy="3810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236220</xdr:colOff>
      <xdr:row>0</xdr:row>
      <xdr:rowOff>0</xdr:rowOff>
    </xdr:from>
    <xdr:to>
      <xdr:col>21</xdr:col>
      <xdr:colOff>92009</xdr:colOff>
      <xdr:row>16</xdr:row>
      <xdr:rowOff>30736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8F944-7346-D66F-9FF7-48BFA145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1420" y="0"/>
          <a:ext cx="6561389" cy="2949196"/>
        </a:xfrm>
        <a:prstGeom prst="rect">
          <a:avLst/>
        </a:prstGeom>
      </xdr:spPr>
    </xdr:pic>
    <xdr:clientData/>
  </xdr:twoCellAnchor>
  <xdr:twoCellAnchor>
    <xdr:from>
      <xdr:col>7</xdr:col>
      <xdr:colOff>182880</xdr:colOff>
      <xdr:row>18</xdr:row>
      <xdr:rowOff>0</xdr:rowOff>
    </xdr:from>
    <xdr:to>
      <xdr:col>14</xdr:col>
      <xdr:colOff>487680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BE1822-D057-B0AE-9C0D-E0BB2D169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35</xdr:row>
      <xdr:rowOff>22861</xdr:rowOff>
    </xdr:from>
    <xdr:to>
      <xdr:col>5</xdr:col>
      <xdr:colOff>624840</xdr:colOff>
      <xdr:row>52</xdr:row>
      <xdr:rowOff>156885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30A63-D33C-40B5-9A24-DBCB569E4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6408421"/>
          <a:ext cx="5059680" cy="324298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586739</xdr:colOff>
      <xdr:row>33</xdr:row>
      <xdr:rowOff>45720</xdr:rowOff>
    </xdr:from>
    <xdr:to>
      <xdr:col>5</xdr:col>
      <xdr:colOff>1194926</xdr:colOff>
      <xdr:row>52</xdr:row>
      <xdr:rowOff>145191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48926-79D1-4879-BFA7-307849740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39" y="6080760"/>
          <a:ext cx="5576427" cy="357419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929640</xdr:colOff>
      <xdr:row>3</xdr:row>
      <xdr:rowOff>106680</xdr:rowOff>
    </xdr:from>
    <xdr:to>
      <xdr:col>20</xdr:col>
      <xdr:colOff>259080</xdr:colOff>
      <xdr:row>19</xdr:row>
      <xdr:rowOff>46131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716DB-04E9-4354-84C8-DC9AD38B6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t="39643" r="-197"/>
        <a:stretch>
          <a:fillRect/>
        </a:stretch>
      </xdr:blipFill>
      <xdr:spPr>
        <a:xfrm>
          <a:off x="6316980" y="655320"/>
          <a:ext cx="7421880" cy="2865531"/>
        </a:xfrm>
        <a:prstGeom prst="rect">
          <a:avLst/>
        </a:prstGeom>
      </xdr:spPr>
    </xdr:pic>
    <xdr:clientData/>
  </xdr:twoCellAnchor>
  <xdr:twoCellAnchor>
    <xdr:from>
      <xdr:col>0</xdr:col>
      <xdr:colOff>441960</xdr:colOff>
      <xdr:row>25</xdr:row>
      <xdr:rowOff>114300</xdr:rowOff>
    </xdr:from>
    <xdr:to>
      <xdr:col>7</xdr:col>
      <xdr:colOff>236220</xdr:colOff>
      <xdr:row>40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B42E6B-15C1-0CEF-2B6E-6202A26D4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27</xdr:row>
      <xdr:rowOff>7620</xdr:rowOff>
    </xdr:from>
    <xdr:to>
      <xdr:col>3</xdr:col>
      <xdr:colOff>922278</xdr:colOff>
      <xdr:row>41</xdr:row>
      <xdr:rowOff>137393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ECD12-EDED-41A2-A3B2-9C7CC1266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4945380"/>
          <a:ext cx="2979678" cy="269009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31</xdr:row>
      <xdr:rowOff>121920</xdr:rowOff>
    </xdr:from>
    <xdr:to>
      <xdr:col>3</xdr:col>
      <xdr:colOff>945138</xdr:colOff>
      <xdr:row>46</xdr:row>
      <xdr:rowOff>68813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A4229-9ABA-45A4-9FFD-54318E8C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5791200"/>
          <a:ext cx="2979678" cy="269009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167640</xdr:rowOff>
    </xdr:from>
    <xdr:to>
      <xdr:col>18</xdr:col>
      <xdr:colOff>282198</xdr:colOff>
      <xdr:row>20</xdr:row>
      <xdr:rowOff>66942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9C8FF-4451-4DD5-B209-029D9F00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167640"/>
          <a:ext cx="3939798" cy="3556902"/>
        </a:xfrm>
        <a:prstGeom prst="rect">
          <a:avLst/>
        </a:prstGeom>
      </xdr:spPr>
    </xdr:pic>
    <xdr:clientData/>
  </xdr:twoCellAnchor>
  <xdr:twoCellAnchor>
    <xdr:from>
      <xdr:col>1</xdr:col>
      <xdr:colOff>586740</xdr:colOff>
      <xdr:row>12</xdr:row>
      <xdr:rowOff>60960</xdr:rowOff>
    </xdr:from>
    <xdr:to>
      <xdr:col>4</xdr:col>
      <xdr:colOff>708660</xdr:colOff>
      <xdr:row>27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BB3EAA-34D5-7F5B-FC95-7C83455CF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0</xdr:row>
      <xdr:rowOff>121920</xdr:rowOff>
    </xdr:from>
    <xdr:to>
      <xdr:col>20</xdr:col>
      <xdr:colOff>392335</xdr:colOff>
      <xdr:row>16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6BC2D-77C8-99AE-6CE5-FEDA5081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7620" y="121920"/>
          <a:ext cx="6374035" cy="2903220"/>
        </a:xfrm>
        <a:prstGeom prst="rect">
          <a:avLst/>
        </a:prstGeom>
      </xdr:spPr>
    </xdr:pic>
    <xdr:clientData/>
  </xdr:twoCellAnchor>
  <xdr:twoCellAnchor editAs="oneCell">
    <xdr:from>
      <xdr:col>13</xdr:col>
      <xdr:colOff>335280</xdr:colOff>
      <xdr:row>17</xdr:row>
      <xdr:rowOff>114300</xdr:rowOff>
    </xdr:from>
    <xdr:to>
      <xdr:col>17</xdr:col>
      <xdr:colOff>548870</xdr:colOff>
      <xdr:row>19</xdr:row>
      <xdr:rowOff>91470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8FD5F-EA2A-A154-B7B6-535BA791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7400" y="3223260"/>
          <a:ext cx="2651990" cy="34293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20</xdr:row>
      <xdr:rowOff>76200</xdr:rowOff>
    </xdr:from>
    <xdr:to>
      <xdr:col>17</xdr:col>
      <xdr:colOff>190678</xdr:colOff>
      <xdr:row>24</xdr:row>
      <xdr:rowOff>76263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A01EA6-5AE2-8731-7B28-257A25F76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3620" y="3733800"/>
          <a:ext cx="2057578" cy="731583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34</xdr:row>
      <xdr:rowOff>0</xdr:rowOff>
    </xdr:from>
    <xdr:to>
      <xdr:col>8</xdr:col>
      <xdr:colOff>46312</xdr:colOff>
      <xdr:row>53</xdr:row>
      <xdr:rowOff>46025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E603C0-4EA1-3DD7-E4D1-8DF559797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" y="6217920"/>
          <a:ext cx="6835732" cy="3520745"/>
        </a:xfrm>
        <a:prstGeom prst="rect">
          <a:avLst/>
        </a:prstGeom>
      </xdr:spPr>
    </xdr:pic>
    <xdr:clientData/>
  </xdr:twoCellAnchor>
  <xdr:twoCellAnchor editAs="oneCell">
    <xdr:from>
      <xdr:col>8</xdr:col>
      <xdr:colOff>160021</xdr:colOff>
      <xdr:row>38</xdr:row>
      <xdr:rowOff>106680</xdr:rowOff>
    </xdr:from>
    <xdr:to>
      <xdr:col>16</xdr:col>
      <xdr:colOff>472441</xdr:colOff>
      <xdr:row>50</xdr:row>
      <xdr:rowOff>80376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6E22EB-619C-562D-B8B1-703A7A52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9461" y="7056120"/>
          <a:ext cx="5303520" cy="216825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579120</xdr:colOff>
      <xdr:row>1</xdr:row>
      <xdr:rowOff>91440</xdr:rowOff>
    </xdr:from>
    <xdr:to>
      <xdr:col>21</xdr:col>
      <xdr:colOff>99652</xdr:colOff>
      <xdr:row>20</xdr:row>
      <xdr:rowOff>137465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76E85-07F1-43B4-BCE0-669F5BB22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5160" y="274320"/>
          <a:ext cx="6835732" cy="3520745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24</xdr:row>
      <xdr:rowOff>0</xdr:rowOff>
    </xdr:from>
    <xdr:to>
      <xdr:col>6</xdr:col>
      <xdr:colOff>952500</xdr:colOff>
      <xdr:row>42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6B6FB9-9D3C-6D6B-487E-9B7B5D902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91440</xdr:colOff>
      <xdr:row>46</xdr:row>
      <xdr:rowOff>53340</xdr:rowOff>
    </xdr:from>
    <xdr:to>
      <xdr:col>17</xdr:col>
      <xdr:colOff>396240</xdr:colOff>
      <xdr:row>61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267D9A-EE4B-4672-9336-CF65C4A03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495300</xdr:colOff>
      <xdr:row>62</xdr:row>
      <xdr:rowOff>152400</xdr:rowOff>
    </xdr:from>
    <xdr:to>
      <xdr:col>6</xdr:col>
      <xdr:colOff>961927</xdr:colOff>
      <xdr:row>85</xdr:row>
      <xdr:rowOff>83820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E29CE0-7F84-4D97-A822-F657D44D1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6187440"/>
          <a:ext cx="5686327" cy="413766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1</xdr:row>
      <xdr:rowOff>0</xdr:rowOff>
    </xdr:from>
    <xdr:to>
      <xdr:col>13</xdr:col>
      <xdr:colOff>327660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492B9-9B57-DE5D-314A-85B17D86B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19</xdr:row>
      <xdr:rowOff>152400</xdr:rowOff>
    </xdr:from>
    <xdr:to>
      <xdr:col>13</xdr:col>
      <xdr:colOff>441960</xdr:colOff>
      <xdr:row>35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177724-F2BE-4074-AFCF-D00C05C0F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13</xdr:col>
      <xdr:colOff>457200</xdr:colOff>
      <xdr:row>54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5D48B3-EE7D-4961-82F4-40F05905D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1</xdr:row>
      <xdr:rowOff>0</xdr:rowOff>
    </xdr:from>
    <xdr:to>
      <xdr:col>13</xdr:col>
      <xdr:colOff>327660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B3622-1F89-4CC5-AE4D-C9729D225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19</xdr:row>
      <xdr:rowOff>152400</xdr:rowOff>
    </xdr:from>
    <xdr:to>
      <xdr:col>13</xdr:col>
      <xdr:colOff>441960</xdr:colOff>
      <xdr:row>35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0EE7D-A0F8-4D21-B6B7-13ABF0063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13</xdr:col>
      <xdr:colOff>457200</xdr:colOff>
      <xdr:row>54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D62C4A-DA61-435C-9482-75075612F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19</xdr:row>
      <xdr:rowOff>0</xdr:rowOff>
    </xdr:from>
    <xdr:to>
      <xdr:col>13</xdr:col>
      <xdr:colOff>327660</xdr:colOff>
      <xdr:row>34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CE5DD-8057-400E-BED1-9325C039E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37</xdr:row>
      <xdr:rowOff>152400</xdr:rowOff>
    </xdr:from>
    <xdr:to>
      <xdr:col>13</xdr:col>
      <xdr:colOff>441960</xdr:colOff>
      <xdr:row>53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897AEE-9137-433C-86F1-4F9A4B2AA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480060</xdr:colOff>
      <xdr:row>1</xdr:row>
      <xdr:rowOff>0</xdr:rowOff>
    </xdr:from>
    <xdr:to>
      <xdr:col>13</xdr:col>
      <xdr:colOff>327660</xdr:colOff>
      <xdr:row>16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E92ADA-DA83-4B68-A593-7CD6029FA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19</xdr:row>
      <xdr:rowOff>0</xdr:rowOff>
    </xdr:from>
    <xdr:to>
      <xdr:col>13</xdr:col>
      <xdr:colOff>327660</xdr:colOff>
      <xdr:row>34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8F34A-C1E0-4E26-B80E-F225A23BA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37</xdr:row>
      <xdr:rowOff>152400</xdr:rowOff>
    </xdr:from>
    <xdr:to>
      <xdr:col>13</xdr:col>
      <xdr:colOff>441960</xdr:colOff>
      <xdr:row>53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EB8470-CD0D-4C87-8D65-E23995353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57</xdr:row>
      <xdr:rowOff>0</xdr:rowOff>
    </xdr:from>
    <xdr:to>
      <xdr:col>13</xdr:col>
      <xdr:colOff>457200</xdr:colOff>
      <xdr:row>72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826FFF-8C3B-4D8C-92EA-731BE9C31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480060</xdr:colOff>
      <xdr:row>1</xdr:row>
      <xdr:rowOff>0</xdr:rowOff>
    </xdr:from>
    <xdr:to>
      <xdr:col>13</xdr:col>
      <xdr:colOff>327660</xdr:colOff>
      <xdr:row>16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351FBE-16B0-4616-A815-E94D1D82C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1</xdr:row>
      <xdr:rowOff>0</xdr:rowOff>
    </xdr:from>
    <xdr:to>
      <xdr:col>13</xdr:col>
      <xdr:colOff>327660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2FF7E-D27F-4C46-92B5-108A0786A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19</xdr:row>
      <xdr:rowOff>152400</xdr:rowOff>
    </xdr:from>
    <xdr:to>
      <xdr:col>13</xdr:col>
      <xdr:colOff>441960</xdr:colOff>
      <xdr:row>35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8F0B12-F557-412A-9E13-1EC3CA661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13</xdr:col>
      <xdr:colOff>457200</xdr:colOff>
      <xdr:row>54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B527F1-747D-4823-945E-07E0CB96C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967740</xdr:colOff>
      <xdr:row>21</xdr:row>
      <xdr:rowOff>91440</xdr:rowOff>
    </xdr:from>
    <xdr:to>
      <xdr:col>13</xdr:col>
      <xdr:colOff>220115</xdr:colOff>
      <xdr:row>29</xdr:row>
      <xdr:rowOff>99059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99B0B-CD5C-4426-B849-AED93E8DA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4120" y="3931920"/>
          <a:ext cx="3694835" cy="1470659"/>
        </a:xfrm>
        <a:prstGeom prst="rect">
          <a:avLst/>
        </a:prstGeom>
      </xdr:spPr>
    </xdr:pic>
    <xdr:clientData/>
  </xdr:twoCellAnchor>
  <xdr:twoCellAnchor editAs="oneCell">
    <xdr:from>
      <xdr:col>7</xdr:col>
      <xdr:colOff>358141</xdr:colOff>
      <xdr:row>30</xdr:row>
      <xdr:rowOff>7620</xdr:rowOff>
    </xdr:from>
    <xdr:to>
      <xdr:col>13</xdr:col>
      <xdr:colOff>510541</xdr:colOff>
      <xdr:row>38</xdr:row>
      <xdr:rowOff>179024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894FE0-50CE-4DD8-AFA1-7160A8F17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4521" y="5494020"/>
          <a:ext cx="4594860" cy="1634444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54</xdr:row>
      <xdr:rowOff>144780</xdr:rowOff>
    </xdr:from>
    <xdr:to>
      <xdr:col>10</xdr:col>
      <xdr:colOff>458222</xdr:colOff>
      <xdr:row>78</xdr:row>
      <xdr:rowOff>114678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DB931E-BD46-4158-A41E-43E983E4D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10020300"/>
          <a:ext cx="11789162" cy="435901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1</xdr:row>
      <xdr:rowOff>22860</xdr:rowOff>
    </xdr:from>
    <xdr:to>
      <xdr:col>17</xdr:col>
      <xdr:colOff>182880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82B4D-BC2C-8A0F-15D1-AADEBDC57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14</xdr:col>
      <xdr:colOff>404882</xdr:colOff>
      <xdr:row>43</xdr:row>
      <xdr:rowOff>152778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39CA2-0F98-4AB4-A16F-A0A83C2B0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389120"/>
          <a:ext cx="11789162" cy="435901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906780</xdr:colOff>
      <xdr:row>19</xdr:row>
      <xdr:rowOff>30480</xdr:rowOff>
    </xdr:from>
    <xdr:to>
      <xdr:col>13</xdr:col>
      <xdr:colOff>159155</xdr:colOff>
      <xdr:row>27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EB060F-F7B9-4DF6-936B-7DEEC89D3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3160" y="3505200"/>
          <a:ext cx="3694835" cy="1470659"/>
        </a:xfrm>
        <a:prstGeom prst="rect">
          <a:avLst/>
        </a:prstGeom>
      </xdr:spPr>
    </xdr:pic>
    <xdr:clientData/>
  </xdr:twoCellAnchor>
  <xdr:twoCellAnchor editAs="oneCell">
    <xdr:from>
      <xdr:col>7</xdr:col>
      <xdr:colOff>258802</xdr:colOff>
      <xdr:row>28</xdr:row>
      <xdr:rowOff>68580</xdr:rowOff>
    </xdr:from>
    <xdr:to>
      <xdr:col>14</xdr:col>
      <xdr:colOff>26661</xdr:colOff>
      <xdr:row>37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3919E-5F71-42D1-87A6-EED29A03C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5182" y="5189220"/>
          <a:ext cx="4819919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396241</xdr:colOff>
      <xdr:row>74</xdr:row>
      <xdr:rowOff>152400</xdr:rowOff>
    </xdr:from>
    <xdr:to>
      <xdr:col>6</xdr:col>
      <xdr:colOff>1034399</xdr:colOff>
      <xdr:row>91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F37E96-990C-450E-E8C3-84ACA225B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41" y="13685520"/>
          <a:ext cx="8197198" cy="301752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49</xdr:row>
      <xdr:rowOff>160020</xdr:rowOff>
    </xdr:from>
    <xdr:to>
      <xdr:col>8</xdr:col>
      <xdr:colOff>436503</xdr:colOff>
      <xdr:row>74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FB2666-7B64-DD65-ACA1-D6CDE865E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" y="9121140"/>
          <a:ext cx="10190103" cy="448818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1</xdr:row>
      <xdr:rowOff>22860</xdr:rowOff>
    </xdr:from>
    <xdr:to>
      <xdr:col>17</xdr:col>
      <xdr:colOff>182880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336BB-8AFF-4D5C-AEDE-C406E4C49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533400</xdr:colOff>
      <xdr:row>26</xdr:row>
      <xdr:rowOff>15240</xdr:rowOff>
    </xdr:from>
    <xdr:to>
      <xdr:col>11</xdr:col>
      <xdr:colOff>558423</xdr:colOff>
      <xdr:row>50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4E84DD-489B-42A8-BA46-74849083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4770120"/>
          <a:ext cx="10190103" cy="448818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3</xdr:row>
      <xdr:rowOff>175260</xdr:rowOff>
    </xdr:from>
    <xdr:to>
      <xdr:col>15</xdr:col>
      <xdr:colOff>15240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90E45-2660-4928-ACC8-F07A7CD73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22</xdr:row>
      <xdr:rowOff>167640</xdr:rowOff>
    </xdr:from>
    <xdr:to>
      <xdr:col>14</xdr:col>
      <xdr:colOff>594360</xdr:colOff>
      <xdr:row>37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BC00B-F94F-4FF1-9CFA-457E1AB85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40</xdr:row>
      <xdr:rowOff>167640</xdr:rowOff>
    </xdr:from>
    <xdr:to>
      <xdr:col>14</xdr:col>
      <xdr:colOff>594360</xdr:colOff>
      <xdr:row>55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BE9ABA-21BF-4584-827F-32F76EAAB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3</xdr:row>
      <xdr:rowOff>175260</xdr:rowOff>
    </xdr:from>
    <xdr:to>
      <xdr:col>15</xdr:col>
      <xdr:colOff>15240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E0E3E-9640-4208-AD30-9424DBB3D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22</xdr:row>
      <xdr:rowOff>167640</xdr:rowOff>
    </xdr:from>
    <xdr:to>
      <xdr:col>14</xdr:col>
      <xdr:colOff>594360</xdr:colOff>
      <xdr:row>37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7BEDB-A9C4-406F-A5FB-C9FC08393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40</xdr:row>
      <xdr:rowOff>167640</xdr:rowOff>
    </xdr:from>
    <xdr:to>
      <xdr:col>14</xdr:col>
      <xdr:colOff>594360</xdr:colOff>
      <xdr:row>55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2654E3-048D-410A-B0F1-5546961BC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16</xdr:row>
      <xdr:rowOff>160020</xdr:rowOff>
    </xdr:from>
    <xdr:to>
      <xdr:col>15</xdr:col>
      <xdr:colOff>30480</xdr:colOff>
      <xdr:row>31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10BDF-7C27-473E-9E63-C38A6C781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36</xdr:row>
      <xdr:rowOff>167640</xdr:rowOff>
    </xdr:from>
    <xdr:to>
      <xdr:col>14</xdr:col>
      <xdr:colOff>594360</xdr:colOff>
      <xdr:row>51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02A43-1353-400A-BD99-AB6E5C449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54</xdr:row>
      <xdr:rowOff>167640</xdr:rowOff>
    </xdr:from>
    <xdr:to>
      <xdr:col>14</xdr:col>
      <xdr:colOff>594360</xdr:colOff>
      <xdr:row>69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B12F37-D792-4FCB-B591-A1F5B2D07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10</xdr:row>
      <xdr:rowOff>175260</xdr:rowOff>
    </xdr:from>
    <xdr:to>
      <xdr:col>15</xdr:col>
      <xdr:colOff>15240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1394D-653E-42B1-B7C3-5D784D971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29</xdr:row>
      <xdr:rowOff>167640</xdr:rowOff>
    </xdr:from>
    <xdr:to>
      <xdr:col>14</xdr:col>
      <xdr:colOff>594360</xdr:colOff>
      <xdr:row>44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84664B-F835-4089-88FB-BA392DBD9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47</xdr:row>
      <xdr:rowOff>167640</xdr:rowOff>
    </xdr:from>
    <xdr:to>
      <xdr:col>14</xdr:col>
      <xdr:colOff>594360</xdr:colOff>
      <xdr:row>62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A11BEE-2E2C-44F1-972D-85FCBD5E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3</xdr:row>
      <xdr:rowOff>175260</xdr:rowOff>
    </xdr:from>
    <xdr:to>
      <xdr:col>15</xdr:col>
      <xdr:colOff>15240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6C936-FC35-4E0F-BC8A-BD91515FB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22</xdr:row>
      <xdr:rowOff>167640</xdr:rowOff>
    </xdr:from>
    <xdr:to>
      <xdr:col>14</xdr:col>
      <xdr:colOff>594360</xdr:colOff>
      <xdr:row>37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2B747E-EDEE-40F6-A761-CB0F73CFC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40</xdr:row>
      <xdr:rowOff>167640</xdr:rowOff>
    </xdr:from>
    <xdr:to>
      <xdr:col>14</xdr:col>
      <xdr:colOff>594360</xdr:colOff>
      <xdr:row>55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F79B5F-E76A-499C-B7E8-2C3257877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10</xdr:row>
      <xdr:rowOff>175260</xdr:rowOff>
    </xdr:from>
    <xdr:to>
      <xdr:col>15</xdr:col>
      <xdr:colOff>15240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32E88-E96E-4769-B424-0446B65CE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29</xdr:row>
      <xdr:rowOff>167640</xdr:rowOff>
    </xdr:from>
    <xdr:to>
      <xdr:col>14</xdr:col>
      <xdr:colOff>594360</xdr:colOff>
      <xdr:row>44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E994FC-5BC6-4F0F-833B-2FE9A26A1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47</xdr:row>
      <xdr:rowOff>167640</xdr:rowOff>
    </xdr:from>
    <xdr:to>
      <xdr:col>14</xdr:col>
      <xdr:colOff>594360</xdr:colOff>
      <xdr:row>62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F5A631-F1EC-4B44-B953-3F5BB1680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3</xdr:row>
      <xdr:rowOff>175260</xdr:rowOff>
    </xdr:from>
    <xdr:to>
      <xdr:col>15</xdr:col>
      <xdr:colOff>15240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25B72-E8BE-4BD1-9430-FA0DF4BA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22</xdr:row>
      <xdr:rowOff>167640</xdr:rowOff>
    </xdr:from>
    <xdr:to>
      <xdr:col>14</xdr:col>
      <xdr:colOff>594360</xdr:colOff>
      <xdr:row>37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997792-5724-4D5A-A7C6-6C286E89B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40</xdr:row>
      <xdr:rowOff>167640</xdr:rowOff>
    </xdr:from>
    <xdr:to>
      <xdr:col>14</xdr:col>
      <xdr:colOff>594360</xdr:colOff>
      <xdr:row>55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2BF86C-0379-4AE3-A829-BE9C37285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3</xdr:row>
      <xdr:rowOff>175260</xdr:rowOff>
    </xdr:from>
    <xdr:to>
      <xdr:col>15</xdr:col>
      <xdr:colOff>15240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22F2C-6E89-4116-B4AD-04FBD088A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22</xdr:row>
      <xdr:rowOff>167640</xdr:rowOff>
    </xdr:from>
    <xdr:to>
      <xdr:col>14</xdr:col>
      <xdr:colOff>594360</xdr:colOff>
      <xdr:row>37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ABDC52-836F-4171-9920-B7797789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40</xdr:row>
      <xdr:rowOff>167640</xdr:rowOff>
    </xdr:from>
    <xdr:to>
      <xdr:col>14</xdr:col>
      <xdr:colOff>594360</xdr:colOff>
      <xdr:row>55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E04957-268C-476D-A203-1288F7F5A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hoval.com/topgas-classic-100-120-exa-en-25-hybris-original.pdf" TargetMode="External"/><Relationship Id="rId1" Type="http://schemas.openxmlformats.org/officeDocument/2006/relationships/hyperlink" Target="https://edergen.be/uploads/downloads/Hoval-UltraGas-15-100-E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ineeringtoolbox.com/fuels-higher-calorific-values-d_169.html" TargetMode="External"/><Relationship Id="rId2" Type="http://schemas.openxmlformats.org/officeDocument/2006/relationships/hyperlink" Target="https://hmg-attachments.s3-eu-west-1.amazonaws.com/U91877_Datasheet.pdf?utm_source=chatgpt.com" TargetMode="External"/><Relationship Id="rId1" Type="http://schemas.openxmlformats.org/officeDocument/2006/relationships/hyperlink" Target="https://www.viessmann-us.com/content/dam/public-brands/ca/pdfs/gas-fired/vitocrossal_200-cm2_lg_gw6b_tdm.pdf/_jcr_content/renditions/original./vitocrossal_200-cm2_lg_gw6b_tdm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ineeringtoolbox.com/fuels-higher-calorific-values-d_169.html" TargetMode="External"/><Relationship Id="rId2" Type="http://schemas.openxmlformats.org/officeDocument/2006/relationships/hyperlink" Target="https://cleaverbrooks.com/Catalog/boilers/firetube/cble" TargetMode="External"/><Relationship Id="rId1" Type="http://schemas.openxmlformats.org/officeDocument/2006/relationships/hyperlink" Target="https://it.scribd.com/document/80458550/CB-7768-Gen-boiler-Efficiency-Tables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wb.net/fileadmin/media/EN/Technik_Planung_Anleitungen_PDF/KWB_T_P_EN_04_2025_Modul_E_Wood_chip_and_pellet_Heatings_system_20-150_kW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riadproducts.co.uk/hubfs/Resource%20centre%20files/Biomass%20products%20-%20Datasheets/Datasheet%20BF%20500-1500kW%20P45S%20v1.0.pdf?hsLang=e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en.kostrzewa.com.pl/products/mini-bio-ne" TargetMode="External"/><Relationship Id="rId1" Type="http://schemas.openxmlformats.org/officeDocument/2006/relationships/hyperlink" Target="https://www.kwb.net/fileadmin/media/EN/Technik_Planung_Anleitungen_PDF/KWB_T_P_EN_04_2025_Modul_E_Wood_chip_and_pellet_Heatings_system_20-150_kW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task32.ieabioenergy.com/wp-content/uploads/sites/2/2017/03/IEA-_Verenum_2006_Efficiency.pdf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tem.energy/totem_gamma/" TargetMode="External"/><Relationship Id="rId1" Type="http://schemas.openxmlformats.org/officeDocument/2006/relationships/hyperlink" Target="https://www.combustion-engines.eu/pdf-142951-74319?filename=The+tests+of+micro_CHP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entongroup.co.uk/tech-info/datasheet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entongroup.co.uk/tech-info/datasheets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iea.blob.core.windows.net/assets/imports/events/122/Alessandro_Foresti_2015_03_23_Kiev.pdf" TargetMode="External"/><Relationship Id="rId2" Type="http://schemas.openxmlformats.org/officeDocument/2006/relationships/hyperlink" Target="https://www.turboden.com/products/2463/orc-system" TargetMode="External"/><Relationship Id="rId1" Type="http://schemas.openxmlformats.org/officeDocument/2006/relationships/hyperlink" Target="https://ee-ip.org/fileadmin/user_upload/DOCUMENTS/Content/15-COM.P-7-rev.7.pdf" TargetMode="External"/><Relationship Id="rId6" Type="http://schemas.openxmlformats.org/officeDocument/2006/relationships/drawing" Target="../drawings/drawing9.xml"/><Relationship Id="rId5" Type="http://schemas.openxmlformats.org/officeDocument/2006/relationships/hyperlink" Target="https://www.turboden.com/references" TargetMode="External"/><Relationship Id="rId4" Type="http://schemas.openxmlformats.org/officeDocument/2006/relationships/hyperlink" Target="https://ee-ip.org/fileadmin/user_upload/DOCUMENTS/Content/15-COM.P-7-rev.7.pdf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iea.blob.core.windows.net/assets/imports/events/122/Alessandro_Foresti_2015_03_23_Kiev.pdf" TargetMode="External"/><Relationship Id="rId2" Type="http://schemas.openxmlformats.org/officeDocument/2006/relationships/hyperlink" Target="https://www.turboden.com/products/2463/orc-system" TargetMode="External"/><Relationship Id="rId1" Type="http://schemas.openxmlformats.org/officeDocument/2006/relationships/hyperlink" Target="https://ee-ip.org/fileadmin/user_upload/DOCUMENTS/Content/15-COM.P-7-rev.7.pdf" TargetMode="External"/><Relationship Id="rId6" Type="http://schemas.openxmlformats.org/officeDocument/2006/relationships/drawing" Target="../drawings/drawing10.xml"/><Relationship Id="rId5" Type="http://schemas.openxmlformats.org/officeDocument/2006/relationships/hyperlink" Target="https://www.turboden.com/references" TargetMode="External"/><Relationship Id="rId4" Type="http://schemas.openxmlformats.org/officeDocument/2006/relationships/hyperlink" Target="https://ee-ip.org/fileadmin/user_upload/DOCUMENTS/Content/15-COM.P-7-rev.7.pdf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newswire.com/news-releases/thermal-electric-cogeneration-efficiency-of-92-55-ranks-first-in-the-world-weichai-releases-the-worlds-first-commercialized-high-power-metal-supported-sofc-product-301762592.html" TargetMode="External"/><Relationship Id="rId3" Type="http://schemas.openxmlformats.org/officeDocument/2006/relationships/hyperlink" Target="https://www.bloomenergy.com/wp-content/uploads/bloom-energy-server-datasheet-2024.pdf" TargetMode="External"/><Relationship Id="rId7" Type="http://schemas.openxmlformats.org/officeDocument/2006/relationships/hyperlink" Target="https://www.nusc.gov.tw/english/About-NSC/Establishment-of-a-High-Efficiency-Electric-Power-System-INER-s-1-kW-Solid-Oxide-Fuel-Cell-Power-System-20080811-195.html" TargetMode="External"/><Relationship Id="rId2" Type="http://schemas.openxmlformats.org/officeDocument/2006/relationships/hyperlink" Target="https://bluegen.eu/wp-content/uploads/2022/09/Brochure_Bluegen_ENG_2022-09_v3_acc.pdf" TargetMode="External"/><Relationship Id="rId1" Type="http://schemas.openxmlformats.org/officeDocument/2006/relationships/hyperlink" Target="https://convion.fi/wp-content/uploads/2023/09/Convion_C60_brochure_2023.pdf" TargetMode="External"/><Relationship Id="rId6" Type="http://schemas.openxmlformats.org/officeDocument/2006/relationships/hyperlink" Target="https://www.researchgate.net/publication/341720840_Efficiency_analysis_of_50_kWe_SOFC_systems_fueled_with_biogas_from_waste_water" TargetMode="External"/><Relationship Id="rId5" Type="http://schemas.openxmlformats.org/officeDocument/2006/relationships/hyperlink" Target="https://www.researchgate.net/publication/341720840_Efficiency_analysis_of_50_kWe_SOFC_systems_fueled_with_biogas_from_waste_water" TargetMode="External"/><Relationship Id="rId4" Type="http://schemas.openxmlformats.org/officeDocument/2006/relationships/hyperlink" Target="https://unige.iris.cineca.it/bitstream/11567/932321/1/1-s2.0-S0360544218323028-main.pdf" TargetMode="External"/><Relationship Id="rId9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newswire.com/news-releases/thermal-electric-cogeneration-efficiency-of-92-55-ranks-first-in-the-world-weichai-releases-the-worlds-first-commercialized-high-power-metal-supported-sofc-product-301762592.html" TargetMode="External"/><Relationship Id="rId3" Type="http://schemas.openxmlformats.org/officeDocument/2006/relationships/hyperlink" Target="https://www.bloomenergy.com/wp-content/uploads/bloom-energy-server-datasheet-2024.pdf" TargetMode="External"/><Relationship Id="rId7" Type="http://schemas.openxmlformats.org/officeDocument/2006/relationships/hyperlink" Target="https://www.nusc.gov.tw/english/About-NSC/Establishment-of-a-High-Efficiency-Electric-Power-System-INER-s-1-kW-Solid-Oxide-Fuel-Cell-Power-System-20080811-195.html" TargetMode="External"/><Relationship Id="rId2" Type="http://schemas.openxmlformats.org/officeDocument/2006/relationships/hyperlink" Target="https://bluegen.eu/wp-content/uploads/2022/09/Brochure_Bluegen_ENG_2022-09_v3_acc.pdf" TargetMode="External"/><Relationship Id="rId1" Type="http://schemas.openxmlformats.org/officeDocument/2006/relationships/hyperlink" Target="https://convion.fi/wp-content/uploads/2023/09/Convion_C60_brochure_2023.pdf" TargetMode="External"/><Relationship Id="rId6" Type="http://schemas.openxmlformats.org/officeDocument/2006/relationships/hyperlink" Target="https://www.researchgate.net/publication/341720840_Efficiency_analysis_of_50_kWe_SOFC_systems_fueled_with_biogas_from_waste_water" TargetMode="External"/><Relationship Id="rId5" Type="http://schemas.openxmlformats.org/officeDocument/2006/relationships/hyperlink" Target="https://www.researchgate.net/publication/341720840_Efficiency_analysis_of_50_kWe_SOFC_systems_fueled_with_biogas_from_waste_water" TargetMode="External"/><Relationship Id="rId4" Type="http://schemas.openxmlformats.org/officeDocument/2006/relationships/hyperlink" Target="https://unige.iris.cineca.it/bitstream/11567/932321/1/1-s2.0-S0360544218323028-main.pdf" TargetMode="External"/><Relationship Id="rId9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hyperlink" Target="https://powercellgroup.com/segments/power-generation/" TargetMode="External"/><Relationship Id="rId1" Type="http://schemas.openxmlformats.org/officeDocument/2006/relationships/hyperlink" Target="https://ecp.ep.liu.se/index.php/sims/article/download/515/475/437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hyperlink" Target="https://powercellgroup.com/segments/power-generation/" TargetMode="External"/><Relationship Id="rId1" Type="http://schemas.openxmlformats.org/officeDocument/2006/relationships/hyperlink" Target="https://ecp.ep.liu.se/index.php/sims/article/download/515/475/437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areddocs.com/hvac/docs/1001/Public/0E/16DNH-Product-data-PD5-20090423.pdf" TargetMode="External"/><Relationship Id="rId2" Type="http://schemas.openxmlformats.org/officeDocument/2006/relationships/hyperlink" Target="https://www.mechanicalresource.com/hubfs/Resource%20Center%20Files/White%20Papers/Riello/RTC%203000-4000-5000-6000%20RTC%208000-10000%20RTC%20USA%20INSTALLATION%2C%20OPERATION%20AND%20SERVICE%20MANUAL.pdf?hsLang=en" TargetMode="External"/><Relationship Id="rId1" Type="http://schemas.openxmlformats.org/officeDocument/2006/relationships/hyperlink" Target="https://www.thermaxglobal.com/wp-content/uploads/2024/09/Direct-Fired-Absorption-Chiller-XP-Brochure.pdf" TargetMode="External"/><Relationship Id="rId4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hareddocs.com/hvac/docs/1001/Public/0E/16DNH-Product-data-PD5-20090423.pdf" TargetMode="External"/><Relationship Id="rId1" Type="http://schemas.openxmlformats.org/officeDocument/2006/relationships/hyperlink" Target="https://www.thermaxglobal.com/wp-content/uploads/2024/09/Direct-Fired-Absorption-Chiller-XP-Brochure.pdf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umentos.mollier.pt/thermax/catalogue2024_tac_l1_eng.pdf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h2.fi/wp-content/uploads/highlights-of-alkaline-electrolyzer-development.pdf" TargetMode="External"/><Relationship Id="rId2" Type="http://schemas.openxmlformats.org/officeDocument/2006/relationships/hyperlink" Target="https://ucpcdn.thyssenkrupp.com/_binary/UCPthyssenkruppBAISUhdeChlorineEngineers/en/products/water-electrolysis-hydrogen-production/alkaline-water-electrolysis/link-thyssenkrupp_Hydrogen_Water_Electrolysis_and_green_chemicals.pdf" TargetMode="External"/><Relationship Id="rId1" Type="http://schemas.openxmlformats.org/officeDocument/2006/relationships/hyperlink" Target="https://cellar-c2.services.clever-cloud.com/com-mcphy/uploads/2020/08/20.05.McPhy_Portfolio_ELY_McLyzer_EN.pdf" TargetMode="External"/><Relationship Id="rId4" Type="http://schemas.openxmlformats.org/officeDocument/2006/relationships/drawing" Target="../drawings/drawing2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hyperlink" Target="https://www.accelerazero.com/sites/default/files/2025-09/HyLYZER-500-spec-sheet-2025.pdf" TargetMode="External"/><Relationship Id="rId1" Type="http://schemas.openxmlformats.org/officeDocument/2006/relationships/hyperlink" Target="https://www.accelerazero.com/sites/default/files/2023-03/Electrolyzer%20Technologies%20-%20Brochure%20-%20Accelera%20by%20Cummins%20-%2003%2003%202023_0.pdf?utm_campaign=newpower-accelera-tradeshows&amp;utm_content=&amp;utm_medium=qr-code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e.eu/uk/equipment/product-details.html?prodId=221" TargetMode="External"/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e.eu/uk/equipment/product-details.html?prodId=221" TargetMode="External"/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e.eu/uk/equipment/product-details.html?prodId=221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e.eu/uk/equipment/product-details.html?prodId=221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hyperlink" Target="https://ecodesign.tranetechnologies.com/ords/r/stsbx/ecodesigndatasheetmgmt/home" TargetMode="External"/><Relationship Id="rId1" Type="http://schemas.openxmlformats.org/officeDocument/2006/relationships/hyperlink" Target="https://trane.eu/uk/equipment/product-details.html?prodId=224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hyperlink" Target="https://ecodesign.tranetechnologies.com/ords/r/stsbx/ecodesigndatasheetmgmt/home" TargetMode="External"/><Relationship Id="rId1" Type="http://schemas.openxmlformats.org/officeDocument/2006/relationships/hyperlink" Target="https://trane.eu/uk/equipment/product-details.html?prodId=224" TargetMode="Externa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e.eu/uk/equipment/product-details.html?prodId=2110" TargetMode="External"/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e.eu/uk/equipment/product-details.html?prodId=2110" TargetMode="External"/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e.eu/uk/equipment/product-details.html?prodId=215" TargetMode="External"/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e.eu/uk/equipment/product-details.html?prodId=215" TargetMode="External"/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e.eu/uk/equipment/product-details.html?prodId=216" TargetMode="External"/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https://ecodesign.tranetechnologies.com/ords/r/stsbx/ecodesigndatasheetmgmt/home" TargetMode="Externa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2E89-B551-4DD7-9D45-56D70C65652A}">
  <sheetPr codeName="Sheet1">
    <tabColor rgb="FF00B050"/>
  </sheetPr>
  <dimension ref="A1:L55"/>
  <sheetViews>
    <sheetView workbookViewId="0">
      <selection activeCell="C50" sqref="C50"/>
    </sheetView>
  </sheetViews>
  <sheetFormatPr defaultRowHeight="14.4" x14ac:dyDescent="0.3"/>
  <cols>
    <col min="2" max="2" width="32.44140625" customWidth="1"/>
    <col min="3" max="3" width="14.88671875" customWidth="1"/>
    <col min="4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12" x14ac:dyDescent="0.3">
      <c r="B1" s="10" t="s">
        <v>3</v>
      </c>
      <c r="C1" s="3" t="s">
        <v>0</v>
      </c>
      <c r="D1" s="2" t="s">
        <v>232</v>
      </c>
      <c r="E1" s="2" t="s">
        <v>233</v>
      </c>
      <c r="F1" s="5" t="s">
        <v>11</v>
      </c>
      <c r="G1" s="2" t="s">
        <v>24</v>
      </c>
    </row>
    <row r="2" spans="2:12" x14ac:dyDescent="0.3">
      <c r="B2" s="1" t="s">
        <v>93</v>
      </c>
      <c r="C2" s="9">
        <v>3</v>
      </c>
      <c r="D2" s="12">
        <v>0.97199999999999998</v>
      </c>
      <c r="E2" s="12">
        <f>$D2*14.5/13.1</f>
        <v>1.0758778625954197</v>
      </c>
      <c r="F2" s="6" t="s">
        <v>2</v>
      </c>
      <c r="G2" s="7">
        <f t="shared" ref="G2:G19" si="0">$C2/$E2</f>
        <v>2.788420604512559</v>
      </c>
      <c r="H2" s="9" t="s">
        <v>15</v>
      </c>
      <c r="I2" s="2" t="s">
        <v>378</v>
      </c>
      <c r="J2" s="2" t="s">
        <v>379</v>
      </c>
      <c r="K2" s="2" t="s">
        <v>380</v>
      </c>
      <c r="L2" s="2" t="s">
        <v>381</v>
      </c>
    </row>
    <row r="3" spans="2:12" x14ac:dyDescent="0.3">
      <c r="B3" s="38" t="s">
        <v>94</v>
      </c>
      <c r="C3" s="26">
        <v>14.3</v>
      </c>
      <c r="D3" s="25">
        <v>0.878</v>
      </c>
      <c r="E3" s="25">
        <f>$D3*14.5/13.1</f>
        <v>0.97183206106870235</v>
      </c>
      <c r="F3" s="19" t="s">
        <v>2</v>
      </c>
      <c r="G3" s="26">
        <f t="shared" si="0"/>
        <v>14.714476474746681</v>
      </c>
      <c r="H3" s="18" t="s">
        <v>16</v>
      </c>
      <c r="I3" s="26">
        <f>J3/E2</f>
        <v>1.949944478680111</v>
      </c>
      <c r="J3" s="26">
        <f>L3*C2/C3</f>
        <v>2.0979020979020979</v>
      </c>
      <c r="K3" s="26">
        <f>L3/E3</f>
        <v>10.289843688634042</v>
      </c>
      <c r="L3" s="26">
        <v>10</v>
      </c>
    </row>
    <row r="4" spans="2:12" x14ac:dyDescent="0.3">
      <c r="B4" s="1" t="s">
        <v>93</v>
      </c>
      <c r="C4" s="9">
        <v>3.8</v>
      </c>
      <c r="D4" s="12">
        <v>0.97299999999999998</v>
      </c>
      <c r="E4" s="12">
        <f t="shared" ref="E4:E19" si="1">$D4*14.5/13.1</f>
        <v>1.0769847328244275</v>
      </c>
      <c r="F4" s="6" t="s">
        <v>2</v>
      </c>
      <c r="G4" s="7">
        <f t="shared" si="0"/>
        <v>3.5283694226884501</v>
      </c>
      <c r="H4" s="9" t="s">
        <v>15</v>
      </c>
      <c r="I4" s="2"/>
      <c r="J4" s="2"/>
      <c r="K4" s="2"/>
      <c r="L4" s="2"/>
    </row>
    <row r="5" spans="2:12" x14ac:dyDescent="0.3">
      <c r="B5" s="38" t="s">
        <v>94</v>
      </c>
      <c r="C5" s="26">
        <v>18.7</v>
      </c>
      <c r="D5" s="25">
        <v>0.88100000000000001</v>
      </c>
      <c r="E5" s="25">
        <f t="shared" si="1"/>
        <v>0.97515267175572518</v>
      </c>
      <c r="F5" s="19" t="s">
        <v>2</v>
      </c>
      <c r="G5" s="26">
        <f t="shared" si="0"/>
        <v>19.176484402520646</v>
      </c>
      <c r="H5" s="18" t="s">
        <v>16</v>
      </c>
      <c r="I5" s="7"/>
      <c r="J5" s="7"/>
      <c r="K5" s="7"/>
      <c r="L5" s="7"/>
    </row>
    <row r="6" spans="2:12" x14ac:dyDescent="0.3">
      <c r="B6" s="1" t="s">
        <v>93</v>
      </c>
      <c r="C6" s="9">
        <v>4.5</v>
      </c>
      <c r="D6" s="12">
        <v>0.97299999999999998</v>
      </c>
      <c r="E6" s="12">
        <f t="shared" si="1"/>
        <v>1.0769847328244275</v>
      </c>
      <c r="F6" s="6" t="s">
        <v>2</v>
      </c>
      <c r="G6" s="7">
        <f t="shared" si="0"/>
        <v>4.1783322110784278</v>
      </c>
      <c r="H6" s="9" t="s">
        <v>15</v>
      </c>
      <c r="I6" s="2" t="s">
        <v>378</v>
      </c>
      <c r="J6" s="2" t="s">
        <v>379</v>
      </c>
      <c r="K6" s="2" t="s">
        <v>380</v>
      </c>
      <c r="L6" s="2" t="s">
        <v>381</v>
      </c>
    </row>
    <row r="7" spans="2:12" x14ac:dyDescent="0.3">
      <c r="B7" s="38" t="s">
        <v>94</v>
      </c>
      <c r="C7" s="26">
        <v>25</v>
      </c>
      <c r="D7" s="25">
        <v>0.88200000000000001</v>
      </c>
      <c r="E7" s="25">
        <f t="shared" si="1"/>
        <v>0.97625954198473286</v>
      </c>
      <c r="F7" s="19" t="s">
        <v>2</v>
      </c>
      <c r="G7" s="26">
        <f t="shared" si="0"/>
        <v>25.607944327156147</v>
      </c>
      <c r="H7" s="18" t="s">
        <v>16</v>
      </c>
      <c r="I7" s="26">
        <f>J7/E6</f>
        <v>3.3426657688627421</v>
      </c>
      <c r="J7" s="26">
        <f>L7*C6/C7</f>
        <v>3.6</v>
      </c>
      <c r="K7" s="26">
        <f>L7/E7</f>
        <v>20.486355461724919</v>
      </c>
      <c r="L7" s="26">
        <v>20</v>
      </c>
    </row>
    <row r="8" spans="2:12" x14ac:dyDescent="0.3">
      <c r="B8" s="1" t="s">
        <v>93</v>
      </c>
      <c r="C8" s="9">
        <v>5.2</v>
      </c>
      <c r="D8" s="12">
        <v>0.97399999999999998</v>
      </c>
      <c r="E8" s="12">
        <f t="shared" si="1"/>
        <v>1.0780916030534351</v>
      </c>
      <c r="F8" s="6" t="s">
        <v>2</v>
      </c>
      <c r="G8" s="7">
        <f t="shared" si="0"/>
        <v>4.8233378177441057</v>
      </c>
      <c r="H8" s="9" t="s">
        <v>15</v>
      </c>
      <c r="I8" s="2" t="s">
        <v>378</v>
      </c>
      <c r="J8" s="2" t="s">
        <v>379</v>
      </c>
      <c r="K8" s="2" t="s">
        <v>380</v>
      </c>
      <c r="L8" s="2" t="s">
        <v>381</v>
      </c>
    </row>
    <row r="9" spans="2:12" x14ac:dyDescent="0.3">
      <c r="B9" s="38" t="s">
        <v>94</v>
      </c>
      <c r="C9" s="26">
        <v>33</v>
      </c>
      <c r="D9" s="25">
        <v>0.88200000000000001</v>
      </c>
      <c r="E9" s="25">
        <f t="shared" si="1"/>
        <v>0.97625954198473286</v>
      </c>
      <c r="F9" s="19" t="s">
        <v>2</v>
      </c>
      <c r="G9" s="26">
        <f t="shared" si="0"/>
        <v>33.802486511846119</v>
      </c>
      <c r="H9" s="18" t="s">
        <v>16</v>
      </c>
      <c r="I9" s="26">
        <f>J9/E8</f>
        <v>4.3848525615855509</v>
      </c>
      <c r="J9" s="26">
        <f>L9*C8/C9</f>
        <v>4.7272727272727275</v>
      </c>
      <c r="K9" s="26">
        <f>L9/E9</f>
        <v>30.729533192587379</v>
      </c>
      <c r="L9" s="26">
        <v>30</v>
      </c>
    </row>
    <row r="10" spans="2:12" x14ac:dyDescent="0.3">
      <c r="B10" s="1" t="s">
        <v>93</v>
      </c>
      <c r="C10" s="9">
        <v>7.5</v>
      </c>
      <c r="D10" s="12">
        <v>0.97399999999999998</v>
      </c>
      <c r="E10" s="12">
        <f t="shared" si="1"/>
        <v>1.0780916030534351</v>
      </c>
      <c r="F10" s="6" t="s">
        <v>2</v>
      </c>
      <c r="G10" s="7">
        <f t="shared" si="0"/>
        <v>6.9567372371309215</v>
      </c>
      <c r="H10" s="9" t="s">
        <v>15</v>
      </c>
      <c r="I10" s="2"/>
      <c r="J10" s="2"/>
      <c r="K10" s="2"/>
      <c r="L10" s="2"/>
    </row>
    <row r="11" spans="2:12" x14ac:dyDescent="0.3">
      <c r="B11" s="38" t="s">
        <v>94</v>
      </c>
      <c r="C11" s="26">
        <v>46</v>
      </c>
      <c r="D11" s="25">
        <v>0.88300000000000001</v>
      </c>
      <c r="E11" s="25">
        <f t="shared" si="1"/>
        <v>0.97736641221374043</v>
      </c>
      <c r="F11" s="19" t="s">
        <v>2</v>
      </c>
      <c r="G11" s="26">
        <f t="shared" si="0"/>
        <v>47.065255594173472</v>
      </c>
      <c r="H11" s="18" t="s">
        <v>16</v>
      </c>
      <c r="I11" s="7"/>
      <c r="J11" s="7"/>
      <c r="K11" s="7"/>
      <c r="L11" s="7"/>
    </row>
    <row r="12" spans="2:12" x14ac:dyDescent="0.3">
      <c r="B12" s="1" t="s">
        <v>93</v>
      </c>
      <c r="C12" s="7">
        <v>12.1</v>
      </c>
      <c r="D12" s="12">
        <v>0.97399999999999998</v>
      </c>
      <c r="E12" s="12">
        <f t="shared" si="1"/>
        <v>1.0780916030534351</v>
      </c>
      <c r="F12" s="6" t="s">
        <v>2</v>
      </c>
      <c r="G12" s="7">
        <f t="shared" si="0"/>
        <v>11.223536075904553</v>
      </c>
      <c r="H12" s="9" t="s">
        <v>15</v>
      </c>
      <c r="I12" s="2" t="s">
        <v>378</v>
      </c>
      <c r="J12" s="2" t="s">
        <v>379</v>
      </c>
      <c r="K12" s="2" t="s">
        <v>380</v>
      </c>
      <c r="L12" s="2" t="s">
        <v>381</v>
      </c>
    </row>
    <row r="13" spans="2:12" x14ac:dyDescent="0.3">
      <c r="B13" s="38" t="s">
        <v>94</v>
      </c>
      <c r="C13" s="26">
        <v>64.5</v>
      </c>
      <c r="D13" s="25">
        <v>0.88300000000000001</v>
      </c>
      <c r="E13" s="25">
        <f t="shared" si="1"/>
        <v>0.97736641221374043</v>
      </c>
      <c r="F13" s="19" t="s">
        <v>2</v>
      </c>
      <c r="G13" s="26">
        <f t="shared" si="0"/>
        <v>65.993673604873663</v>
      </c>
      <c r="H13" s="18" t="s">
        <v>16</v>
      </c>
      <c r="I13" s="26">
        <f>J13/E12</f>
        <v>10.44049867526005</v>
      </c>
      <c r="J13" s="26">
        <f>L13*C12/C13</f>
        <v>11.255813953488373</v>
      </c>
      <c r="K13" s="26">
        <f>L13/E13</f>
        <v>61.389463818487137</v>
      </c>
      <c r="L13" s="26">
        <v>60</v>
      </c>
    </row>
    <row r="14" spans="2:12" x14ac:dyDescent="0.3">
      <c r="B14" s="1" t="s">
        <v>93</v>
      </c>
      <c r="C14" s="7">
        <v>18.600000000000001</v>
      </c>
      <c r="D14" s="12">
        <v>0.97</v>
      </c>
      <c r="E14" s="12">
        <f t="shared" si="1"/>
        <v>1.0736641221374046</v>
      </c>
      <c r="F14" s="6" t="s">
        <v>5</v>
      </c>
      <c r="G14" s="7">
        <f t="shared" si="0"/>
        <v>17.323853537148953</v>
      </c>
      <c r="H14" s="9" t="s">
        <v>15</v>
      </c>
      <c r="I14" s="2"/>
      <c r="J14" s="2"/>
      <c r="K14" s="2"/>
      <c r="L14" s="2"/>
    </row>
    <row r="15" spans="2:12" x14ac:dyDescent="0.3">
      <c r="B15" s="38" t="s">
        <v>94</v>
      </c>
      <c r="C15" s="26">
        <v>91.2</v>
      </c>
      <c r="D15" s="25">
        <v>0.88200000000000001</v>
      </c>
      <c r="E15" s="25">
        <f t="shared" si="1"/>
        <v>0.97625954198473286</v>
      </c>
      <c r="F15" s="19" t="s">
        <v>5</v>
      </c>
      <c r="G15" s="26">
        <f t="shared" si="0"/>
        <v>93.417780905465634</v>
      </c>
      <c r="H15" s="18" t="s">
        <v>16</v>
      </c>
      <c r="I15" s="7"/>
      <c r="J15" s="7"/>
      <c r="K15" s="7"/>
      <c r="L15" s="7"/>
    </row>
    <row r="16" spans="2:12" x14ac:dyDescent="0.3">
      <c r="B16" s="1" t="s">
        <v>93</v>
      </c>
      <c r="C16" s="7">
        <v>19</v>
      </c>
      <c r="D16" s="12">
        <v>0.97399999999999998</v>
      </c>
      <c r="E16" s="12">
        <f t="shared" si="1"/>
        <v>1.0780916030534351</v>
      </c>
      <c r="F16" s="6" t="s">
        <v>2</v>
      </c>
      <c r="G16" s="7">
        <f t="shared" si="0"/>
        <v>17.623734334065002</v>
      </c>
      <c r="H16" s="9" t="s">
        <v>15</v>
      </c>
      <c r="I16" s="2"/>
      <c r="J16" s="2"/>
      <c r="K16" s="2"/>
      <c r="L16" s="2"/>
    </row>
    <row r="17" spans="1:12" x14ac:dyDescent="0.3">
      <c r="B17" s="38" t="s">
        <v>94</v>
      </c>
      <c r="C17" s="26">
        <v>92</v>
      </c>
      <c r="D17" s="25">
        <v>0.879</v>
      </c>
      <c r="E17" s="25">
        <f t="shared" si="1"/>
        <v>0.97293893129770992</v>
      </c>
      <c r="F17" s="19" t="s">
        <v>2</v>
      </c>
      <c r="G17" s="26">
        <f t="shared" si="0"/>
        <v>94.558863912753523</v>
      </c>
      <c r="H17" s="18" t="s">
        <v>16</v>
      </c>
      <c r="I17" s="7"/>
      <c r="J17" s="7"/>
      <c r="K17" s="7"/>
      <c r="L17" s="7"/>
    </row>
    <row r="18" spans="1:12" x14ac:dyDescent="0.3">
      <c r="B18" s="1" t="s">
        <v>93</v>
      </c>
      <c r="C18" s="7">
        <v>20.7</v>
      </c>
      <c r="D18" s="12">
        <v>0.95799999999999996</v>
      </c>
      <c r="E18" s="12">
        <f t="shared" si="1"/>
        <v>1.060381679389313</v>
      </c>
      <c r="F18" s="6" t="s">
        <v>5</v>
      </c>
      <c r="G18" s="7">
        <f t="shared" si="0"/>
        <v>19.521272766539482</v>
      </c>
      <c r="H18" s="9" t="s">
        <v>15</v>
      </c>
      <c r="I18" s="2" t="s">
        <v>378</v>
      </c>
      <c r="J18" s="2" t="s">
        <v>379</v>
      </c>
      <c r="K18" s="2" t="s">
        <v>380</v>
      </c>
      <c r="L18" s="2" t="s">
        <v>381</v>
      </c>
    </row>
    <row r="19" spans="1:12" x14ac:dyDescent="0.3">
      <c r="B19" s="38" t="s">
        <v>94</v>
      </c>
      <c r="C19" s="26">
        <v>109.7</v>
      </c>
      <c r="D19" s="25">
        <v>0.88900000000000001</v>
      </c>
      <c r="E19" s="25">
        <f t="shared" si="1"/>
        <v>0.9840076335877862</v>
      </c>
      <c r="F19" s="19" t="s">
        <v>5</v>
      </c>
      <c r="G19" s="26">
        <f t="shared" si="0"/>
        <v>111.48287498545442</v>
      </c>
      <c r="H19" s="18" t="s">
        <v>16</v>
      </c>
      <c r="I19" s="26">
        <f>J19/E18</f>
        <v>17.795143816353221</v>
      </c>
      <c r="J19" s="26">
        <f>L19*C18/C19</f>
        <v>18.869644484958979</v>
      </c>
      <c r="K19" s="26">
        <f>L19/E19</f>
        <v>101.62522788099764</v>
      </c>
      <c r="L19" s="26">
        <v>100</v>
      </c>
    </row>
    <row r="21" spans="1:12" x14ac:dyDescent="0.3">
      <c r="B21" t="s">
        <v>1</v>
      </c>
      <c r="C21" t="s">
        <v>4</v>
      </c>
    </row>
    <row r="22" spans="1:12" x14ac:dyDescent="0.3">
      <c r="A22" t="s">
        <v>2</v>
      </c>
      <c r="B22" t="s">
        <v>6</v>
      </c>
      <c r="C22" s="4" t="s">
        <v>7</v>
      </c>
      <c r="D22" s="4"/>
      <c r="E22" s="4"/>
    </row>
    <row r="23" spans="1:12" x14ac:dyDescent="0.3">
      <c r="A23" t="s">
        <v>5</v>
      </c>
      <c r="B23" t="s">
        <v>10</v>
      </c>
      <c r="C23" s="4" t="s">
        <v>9</v>
      </c>
      <c r="D23" s="4"/>
      <c r="E23" s="4"/>
    </row>
    <row r="24" spans="1:12" x14ac:dyDescent="0.3">
      <c r="C24" s="40"/>
      <c r="D24" s="4"/>
    </row>
    <row r="25" spans="1:12" x14ac:dyDescent="0.3">
      <c r="E25" s="10" t="s">
        <v>18</v>
      </c>
      <c r="F25" s="10" t="s">
        <v>18</v>
      </c>
      <c r="G25" s="10" t="s">
        <v>18</v>
      </c>
    </row>
    <row r="26" spans="1:12" x14ac:dyDescent="0.3">
      <c r="B26" s="2" t="s">
        <v>13</v>
      </c>
      <c r="C26" s="2" t="s">
        <v>12</v>
      </c>
      <c r="D26" s="2" t="s">
        <v>14</v>
      </c>
      <c r="E26" s="2" t="s">
        <v>17</v>
      </c>
      <c r="F26" s="2" t="s">
        <v>22</v>
      </c>
      <c r="G26" s="2" t="s">
        <v>23</v>
      </c>
    </row>
    <row r="27" spans="1:12" x14ac:dyDescent="0.3">
      <c r="B27" s="9" t="s">
        <v>15</v>
      </c>
      <c r="C27" s="9">
        <f>$C3</f>
        <v>14.3</v>
      </c>
      <c r="D27" s="7">
        <f t="shared" ref="D27:D44" si="2">$G2</f>
        <v>2.788420604512559</v>
      </c>
      <c r="E27" s="7">
        <f t="shared" ref="E27:E44" si="3">$D27*$E2</f>
        <v>3</v>
      </c>
      <c r="F27" s="9">
        <f t="shared" ref="F27:F44" si="4">$B$47*$D27+$C$47*$C27+$D$47</f>
        <v>2.9044686460797977</v>
      </c>
      <c r="G27" s="20">
        <f t="shared" ref="G27:G44" si="5">($E27-$F27)/$E27</f>
        <v>3.184378464006743E-2</v>
      </c>
    </row>
    <row r="28" spans="1:12" x14ac:dyDescent="0.3">
      <c r="B28" s="18" t="s">
        <v>16</v>
      </c>
      <c r="C28" s="18">
        <f>$C3</f>
        <v>14.3</v>
      </c>
      <c r="D28" s="26">
        <f t="shared" si="2"/>
        <v>14.714476474746681</v>
      </c>
      <c r="E28" s="26">
        <f t="shared" si="3"/>
        <v>14.3</v>
      </c>
      <c r="F28" s="18">
        <f t="shared" si="4"/>
        <v>14.330623201259044</v>
      </c>
      <c r="G28" s="20">
        <f t="shared" si="5"/>
        <v>-2.1414826055275171E-3</v>
      </c>
    </row>
    <row r="29" spans="1:12" x14ac:dyDescent="0.3">
      <c r="B29" s="9" t="s">
        <v>15</v>
      </c>
      <c r="C29" s="9">
        <f>$C5</f>
        <v>18.7</v>
      </c>
      <c r="D29" s="7">
        <f t="shared" si="2"/>
        <v>3.5283694226884501</v>
      </c>
      <c r="E29" s="7">
        <f t="shared" si="3"/>
        <v>3.8</v>
      </c>
      <c r="F29" s="9">
        <f t="shared" si="4"/>
        <v>3.7079071617422494</v>
      </c>
      <c r="G29" s="20">
        <f t="shared" si="5"/>
        <v>2.4234957436250103E-2</v>
      </c>
    </row>
    <row r="30" spans="1:12" x14ac:dyDescent="0.3">
      <c r="B30" s="18" t="s">
        <v>16</v>
      </c>
      <c r="C30" s="18">
        <f>$C5</f>
        <v>18.7</v>
      </c>
      <c r="D30" s="26">
        <f t="shared" si="2"/>
        <v>19.176484402520646</v>
      </c>
      <c r="E30" s="26">
        <f t="shared" si="3"/>
        <v>18.7</v>
      </c>
      <c r="F30" s="18">
        <f t="shared" si="4"/>
        <v>18.700104263806328</v>
      </c>
      <c r="G30" s="20">
        <f t="shared" si="5"/>
        <v>-5.5756046164823398E-6</v>
      </c>
    </row>
    <row r="31" spans="1:12" x14ac:dyDescent="0.3">
      <c r="B31" s="9" t="s">
        <v>15</v>
      </c>
      <c r="C31" s="9">
        <f>$C7</f>
        <v>25</v>
      </c>
      <c r="D31" s="7">
        <f t="shared" si="2"/>
        <v>4.1783322110784278</v>
      </c>
      <c r="E31" s="7">
        <f t="shared" si="3"/>
        <v>4.5</v>
      </c>
      <c r="F31" s="9">
        <f t="shared" si="4"/>
        <v>4.4659409493523299</v>
      </c>
      <c r="G31" s="20">
        <f t="shared" si="5"/>
        <v>7.5686779217044708E-3</v>
      </c>
    </row>
    <row r="32" spans="1:12" x14ac:dyDescent="0.3">
      <c r="B32" s="18" t="s">
        <v>16</v>
      </c>
      <c r="C32" s="18">
        <f>$C7</f>
        <v>25</v>
      </c>
      <c r="D32" s="26">
        <f t="shared" si="2"/>
        <v>25.607944327156147</v>
      </c>
      <c r="E32" s="26">
        <f t="shared" si="3"/>
        <v>25</v>
      </c>
      <c r="F32" s="18">
        <f t="shared" si="4"/>
        <v>24.997293708396466</v>
      </c>
      <c r="G32" s="20">
        <f t="shared" si="5"/>
        <v>1.0825166414136334E-4</v>
      </c>
    </row>
    <row r="33" spans="2:7" x14ac:dyDescent="0.3">
      <c r="B33" s="9" t="s">
        <v>15</v>
      </c>
      <c r="C33" s="9">
        <f>$C9</f>
        <v>33</v>
      </c>
      <c r="D33" s="7">
        <f t="shared" si="2"/>
        <v>4.8233378177441057</v>
      </c>
      <c r="E33" s="7">
        <f t="shared" si="3"/>
        <v>5.2</v>
      </c>
      <c r="F33" s="9">
        <f t="shared" si="4"/>
        <v>5.255739001000042</v>
      </c>
      <c r="G33" s="20">
        <f t="shared" si="5"/>
        <v>-1.0719038653854193E-2</v>
      </c>
    </row>
    <row r="34" spans="2:7" x14ac:dyDescent="0.3">
      <c r="B34" s="18" t="s">
        <v>16</v>
      </c>
      <c r="C34" s="18">
        <f>$C9</f>
        <v>33</v>
      </c>
      <c r="D34" s="26">
        <f t="shared" si="2"/>
        <v>33.802486511846119</v>
      </c>
      <c r="E34" s="26">
        <f t="shared" si="3"/>
        <v>33</v>
      </c>
      <c r="F34" s="18">
        <f t="shared" si="4"/>
        <v>33.020176419305564</v>
      </c>
      <c r="G34" s="20">
        <f t="shared" si="5"/>
        <v>-6.1140664562314533E-4</v>
      </c>
    </row>
    <row r="35" spans="2:7" x14ac:dyDescent="0.3">
      <c r="B35" s="9" t="s">
        <v>15</v>
      </c>
      <c r="C35" s="9">
        <f>$C11</f>
        <v>46</v>
      </c>
      <c r="D35" s="7">
        <f t="shared" si="2"/>
        <v>6.9567372371309215</v>
      </c>
      <c r="E35" s="7">
        <f t="shared" si="3"/>
        <v>7.5</v>
      </c>
      <c r="F35" s="9">
        <f t="shared" si="4"/>
        <v>7.5789353659084773</v>
      </c>
      <c r="G35" s="20">
        <f t="shared" si="5"/>
        <v>-1.0524715454463636E-2</v>
      </c>
    </row>
    <row r="36" spans="2:7" x14ac:dyDescent="0.3">
      <c r="B36" s="18" t="s">
        <v>16</v>
      </c>
      <c r="C36" s="18">
        <f>$C11</f>
        <v>46</v>
      </c>
      <c r="D36" s="26">
        <f t="shared" si="2"/>
        <v>47.065255594173472</v>
      </c>
      <c r="E36" s="26">
        <f t="shared" si="3"/>
        <v>46</v>
      </c>
      <c r="F36" s="18">
        <f t="shared" si="4"/>
        <v>46.006235616164268</v>
      </c>
      <c r="G36" s="20">
        <f t="shared" si="5"/>
        <v>-1.3555687313626663E-4</v>
      </c>
    </row>
    <row r="37" spans="2:7" x14ac:dyDescent="0.3">
      <c r="B37" s="9" t="s">
        <v>15</v>
      </c>
      <c r="C37" s="9">
        <f>$C13</f>
        <v>64.5</v>
      </c>
      <c r="D37" s="7">
        <f t="shared" si="2"/>
        <v>11.223536075904553</v>
      </c>
      <c r="E37" s="7">
        <f t="shared" si="3"/>
        <v>12.1</v>
      </c>
      <c r="F37" s="9">
        <f t="shared" si="4"/>
        <v>12.064238432963174</v>
      </c>
      <c r="G37" s="20">
        <f t="shared" si="5"/>
        <v>2.9555014080021014E-3</v>
      </c>
    </row>
    <row r="38" spans="2:7" x14ac:dyDescent="0.3">
      <c r="B38" s="18" t="s">
        <v>16</v>
      </c>
      <c r="C38" s="18">
        <f>$C13</f>
        <v>64.5</v>
      </c>
      <c r="D38" s="26">
        <f t="shared" si="2"/>
        <v>65.993673604873663</v>
      </c>
      <c r="E38" s="26">
        <f t="shared" si="3"/>
        <v>64.5</v>
      </c>
      <c r="F38" s="18">
        <f t="shared" si="4"/>
        <v>64.538590660036789</v>
      </c>
      <c r="G38" s="20">
        <f t="shared" si="5"/>
        <v>-5.9830480677192099E-4</v>
      </c>
    </row>
    <row r="39" spans="2:7" x14ac:dyDescent="0.3">
      <c r="B39" s="9" t="s">
        <v>15</v>
      </c>
      <c r="C39" s="9">
        <f>$C15</f>
        <v>91.2</v>
      </c>
      <c r="D39" s="7">
        <f t="shared" si="2"/>
        <v>17.323853537148953</v>
      </c>
      <c r="E39" s="7">
        <f t="shared" si="3"/>
        <v>18.600000000000001</v>
      </c>
      <c r="F39" s="9">
        <f t="shared" si="4"/>
        <v>18.482329707525835</v>
      </c>
      <c r="G39" s="20">
        <f t="shared" si="5"/>
        <v>6.3263598104390407E-3</v>
      </c>
    </row>
    <row r="40" spans="2:7" x14ac:dyDescent="0.3">
      <c r="B40" s="18" t="s">
        <v>16</v>
      </c>
      <c r="C40" s="18">
        <f>$C15</f>
        <v>91.2</v>
      </c>
      <c r="D40" s="26">
        <f t="shared" si="2"/>
        <v>93.417780905465634</v>
      </c>
      <c r="E40" s="26">
        <f t="shared" si="3"/>
        <v>91.2</v>
      </c>
      <c r="F40" s="18">
        <f t="shared" si="4"/>
        <v>91.386648141169218</v>
      </c>
      <c r="G40" s="20">
        <f t="shared" si="5"/>
        <v>-2.0465804952764792E-3</v>
      </c>
    </row>
    <row r="41" spans="2:7" x14ac:dyDescent="0.3">
      <c r="B41" s="9" t="s">
        <v>15</v>
      </c>
      <c r="C41" s="9">
        <f>$C17</f>
        <v>92</v>
      </c>
      <c r="D41" s="7">
        <f t="shared" si="2"/>
        <v>17.623734334065002</v>
      </c>
      <c r="E41" s="7">
        <f t="shared" si="3"/>
        <v>19</v>
      </c>
      <c r="F41" s="9">
        <f t="shared" si="4"/>
        <v>18.786823378119813</v>
      </c>
      <c r="G41" s="20">
        <f t="shared" si="5"/>
        <v>1.1219822204220376E-2</v>
      </c>
    </row>
    <row r="42" spans="2:7" x14ac:dyDescent="0.3">
      <c r="B42" s="18" t="s">
        <v>16</v>
      </c>
      <c r="C42" s="18">
        <f>$C17</f>
        <v>92</v>
      </c>
      <c r="D42" s="26">
        <f t="shared" si="2"/>
        <v>94.558863912753523</v>
      </c>
      <c r="E42" s="26">
        <f t="shared" si="3"/>
        <v>92</v>
      </c>
      <c r="F42" s="18">
        <f t="shared" si="4"/>
        <v>92.497083572597688</v>
      </c>
      <c r="G42" s="20">
        <f t="shared" si="5"/>
        <v>-5.4030823108444379E-3</v>
      </c>
    </row>
    <row r="43" spans="2:7" x14ac:dyDescent="0.3">
      <c r="B43" s="9" t="s">
        <v>15</v>
      </c>
      <c r="C43" s="9">
        <f>$C19</f>
        <v>109.7</v>
      </c>
      <c r="D43" s="7">
        <f t="shared" si="2"/>
        <v>19.521272766539482</v>
      </c>
      <c r="E43" s="7">
        <f t="shared" si="3"/>
        <v>20.699999999999996</v>
      </c>
      <c r="F43" s="9">
        <f t="shared" si="4"/>
        <v>20.984994800431615</v>
      </c>
      <c r="G43" s="20">
        <f t="shared" si="5"/>
        <v>-1.3767864755150678E-2</v>
      </c>
    </row>
    <row r="44" spans="2:7" x14ac:dyDescent="0.3">
      <c r="B44" s="18" t="s">
        <v>16</v>
      </c>
      <c r="C44" s="18">
        <f>$C19</f>
        <v>109.7</v>
      </c>
      <c r="D44" s="26">
        <f t="shared" si="2"/>
        <v>111.48287498545442</v>
      </c>
      <c r="E44" s="26">
        <f t="shared" si="3"/>
        <v>109.7</v>
      </c>
      <c r="F44" s="18">
        <f t="shared" si="4"/>
        <v>109.09186697414123</v>
      </c>
      <c r="G44" s="20">
        <f t="shared" si="5"/>
        <v>5.5436009649842931E-3</v>
      </c>
    </row>
    <row r="46" spans="2:7" x14ac:dyDescent="0.3">
      <c r="B46" t="s">
        <v>19</v>
      </c>
      <c r="C46" t="s">
        <v>20</v>
      </c>
      <c r="D46" t="s">
        <v>21</v>
      </c>
    </row>
    <row r="47" spans="2:7" x14ac:dyDescent="0.3">
      <c r="B47" cm="1">
        <f t="array" ref="B47:D47">LINEST(E27:E44,C27:D44)</f>
        <v>0.95808326570877789</v>
      </c>
      <c r="C47">
        <v>2.1478621701623436E-2</v>
      </c>
      <c r="D47">
        <v>-7.4214763194454747E-2</v>
      </c>
    </row>
    <row r="49" spans="2:8" x14ac:dyDescent="0.3">
      <c r="B49" s="2" t="s">
        <v>416</v>
      </c>
      <c r="C49" s="57">
        <v>0.2</v>
      </c>
    </row>
    <row r="50" spans="2:8" x14ac:dyDescent="0.3">
      <c r="B50" s="2" t="s">
        <v>415</v>
      </c>
      <c r="C50" s="57">
        <v>1</v>
      </c>
    </row>
    <row r="52" spans="2:8" x14ac:dyDescent="0.3">
      <c r="B52" t="s">
        <v>417</v>
      </c>
    </row>
    <row r="54" spans="2:8" x14ac:dyDescent="0.3">
      <c r="B54" s="2" t="s">
        <v>378</v>
      </c>
      <c r="C54" s="2" t="s">
        <v>379</v>
      </c>
      <c r="F54" s="2" t="s">
        <v>380</v>
      </c>
      <c r="G54" s="2" t="s">
        <v>381</v>
      </c>
    </row>
    <row r="55" spans="2:8" x14ac:dyDescent="0.3">
      <c r="B55">
        <f>C49</f>
        <v>0.2</v>
      </c>
      <c r="C55" s="67">
        <f>B47*C49+C47</f>
        <v>0.21309527484337901</v>
      </c>
      <c r="D55" s="67"/>
      <c r="F55">
        <f>C50</f>
        <v>1</v>
      </c>
      <c r="G55" s="67">
        <f>B47*C50+C47</f>
        <v>0.97956188741040129</v>
      </c>
      <c r="H55" s="67"/>
    </row>
  </sheetData>
  <hyperlinks>
    <hyperlink ref="C22" r:id="rId1" xr:uid="{4E51AB58-49EA-4403-99D5-A8D1D86937C7}"/>
    <hyperlink ref="C23" r:id="rId2" xr:uid="{C435020A-5BF3-4F89-9184-795439B97A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FED1-4819-4472-9381-F7EDEC23AEC2}">
  <sheetPr codeName="Sheet2">
    <tabColor theme="9" tint="0.59999389629810485"/>
  </sheetPr>
  <dimension ref="B1:H53"/>
  <sheetViews>
    <sheetView workbookViewId="0">
      <selection activeCell="H61" sqref="H61"/>
    </sheetView>
  </sheetViews>
  <sheetFormatPr defaultRowHeight="14.4" x14ac:dyDescent="0.3"/>
  <cols>
    <col min="2" max="2" width="25.6640625" customWidth="1"/>
    <col min="3" max="3" width="12.21875" customWidth="1"/>
    <col min="4" max="4" width="11.33203125" customWidth="1"/>
    <col min="5" max="5" width="11.5546875" customWidth="1"/>
    <col min="6" max="6" width="17.77734375" customWidth="1"/>
    <col min="7" max="7" width="8.88671875" customWidth="1"/>
    <col min="9" max="9" width="8.88671875" customWidth="1"/>
  </cols>
  <sheetData>
    <row r="1" spans="2:8" x14ac:dyDescent="0.3">
      <c r="C1" s="3" t="s">
        <v>0</v>
      </c>
      <c r="D1" s="2" t="s">
        <v>232</v>
      </c>
      <c r="E1" s="2" t="s">
        <v>233</v>
      </c>
      <c r="F1" s="5" t="s">
        <v>11</v>
      </c>
      <c r="G1" s="2" t="s">
        <v>24</v>
      </c>
    </row>
    <row r="2" spans="2:8" x14ac:dyDescent="0.3">
      <c r="B2" s="1" t="s">
        <v>83</v>
      </c>
      <c r="C2" s="7">
        <v>3</v>
      </c>
      <c r="D2" s="53">
        <v>0.97199999999999998</v>
      </c>
      <c r="E2" s="53">
        <f>$D2*14.5/13.1</f>
        <v>1.0758778625954197</v>
      </c>
      <c r="F2" t="s">
        <v>92</v>
      </c>
      <c r="G2" s="7">
        <f>$C2/$E2</f>
        <v>2.788420604512559</v>
      </c>
      <c r="H2" s="9" t="s">
        <v>15</v>
      </c>
    </row>
    <row r="3" spans="2:8" x14ac:dyDescent="0.3">
      <c r="B3" s="1" t="s">
        <v>83</v>
      </c>
      <c r="C3" s="7">
        <f>0.5*$C$5</f>
        <v>7.15</v>
      </c>
      <c r="D3" s="53">
        <v>0.96199999999999997</v>
      </c>
      <c r="E3" s="53">
        <f t="shared" ref="E3:E5" si="0">$D3*14.5/13.1</f>
        <v>1.0648091603053436</v>
      </c>
      <c r="F3" t="s">
        <v>92</v>
      </c>
      <c r="G3" s="7">
        <f>$C3/$E3</f>
        <v>6.7148182665424043</v>
      </c>
      <c r="H3" s="9" t="s">
        <v>15</v>
      </c>
    </row>
    <row r="4" spans="2:8" x14ac:dyDescent="0.3">
      <c r="B4" s="1" t="s">
        <v>83</v>
      </c>
      <c r="C4" s="7">
        <f>0.8*$C$5</f>
        <v>11.440000000000001</v>
      </c>
      <c r="D4" s="53">
        <v>0.94399999999999995</v>
      </c>
      <c r="E4" s="53">
        <f t="shared" si="0"/>
        <v>1.0448854961832061</v>
      </c>
      <c r="F4" t="s">
        <v>92</v>
      </c>
      <c r="G4" s="7">
        <f>$C4/$E4</f>
        <v>10.948568088836938</v>
      </c>
      <c r="H4" s="9" t="s">
        <v>15</v>
      </c>
    </row>
    <row r="5" spans="2:8" x14ac:dyDescent="0.3">
      <c r="B5" s="38" t="s">
        <v>84</v>
      </c>
      <c r="C5" s="7">
        <v>14.3</v>
      </c>
      <c r="D5" s="53">
        <v>0.878</v>
      </c>
      <c r="E5" s="53">
        <f t="shared" si="0"/>
        <v>0.97183206106870235</v>
      </c>
      <c r="F5" s="9" t="s">
        <v>92</v>
      </c>
      <c r="G5" s="7">
        <f>$C5/$E5</f>
        <v>14.714476474746681</v>
      </c>
      <c r="H5" s="9" t="s">
        <v>16</v>
      </c>
    </row>
    <row r="7" spans="2:8" x14ac:dyDescent="0.3">
      <c r="C7" s="7"/>
      <c r="D7" s="53"/>
      <c r="F7" s="7"/>
      <c r="G7" s="9"/>
    </row>
    <row r="8" spans="2:8" x14ac:dyDescent="0.3">
      <c r="C8" s="7"/>
      <c r="D8" s="53"/>
      <c r="E8" s="9"/>
      <c r="F8" s="7"/>
      <c r="G8" s="9"/>
    </row>
    <row r="10" spans="2:8" x14ac:dyDescent="0.3">
      <c r="C10" s="7"/>
      <c r="D10" s="53"/>
      <c r="F10" s="7"/>
      <c r="G10" s="9"/>
    </row>
    <row r="11" spans="2:8" x14ac:dyDescent="0.3">
      <c r="C11" s="7"/>
      <c r="D11" s="53"/>
      <c r="E11" s="9"/>
      <c r="F11" s="7"/>
      <c r="G11" s="9"/>
    </row>
    <row r="25" spans="2:8" x14ac:dyDescent="0.3">
      <c r="C25" s="3" t="s">
        <v>0</v>
      </c>
      <c r="D25" s="2" t="s">
        <v>232</v>
      </c>
      <c r="E25" s="2" t="s">
        <v>233</v>
      </c>
      <c r="F25" s="5" t="s">
        <v>11</v>
      </c>
      <c r="G25" s="2" t="s">
        <v>24</v>
      </c>
    </row>
    <row r="26" spans="2:8" x14ac:dyDescent="0.3">
      <c r="B26" s="1" t="s">
        <v>83</v>
      </c>
      <c r="C26" s="7">
        <v>7.5</v>
      </c>
      <c r="D26" s="53">
        <v>0.97399999999999998</v>
      </c>
      <c r="E26" s="53">
        <f>$D26*14.5/13.1</f>
        <v>1.0780916030534351</v>
      </c>
      <c r="F26" t="s">
        <v>92</v>
      </c>
      <c r="G26" s="7">
        <f>$C26/$E26</f>
        <v>6.9567372371309215</v>
      </c>
      <c r="H26" s="9" t="s">
        <v>15</v>
      </c>
    </row>
    <row r="27" spans="2:8" x14ac:dyDescent="0.3">
      <c r="B27" s="1" t="s">
        <v>83</v>
      </c>
      <c r="C27" s="7">
        <f>0.5*$C$29</f>
        <v>23</v>
      </c>
      <c r="D27" s="53">
        <v>0.96399999999999997</v>
      </c>
      <c r="E27" s="53">
        <f>$D27*14.5/13.1</f>
        <v>1.0670229007633587</v>
      </c>
      <c r="F27" t="s">
        <v>92</v>
      </c>
      <c r="G27" s="7">
        <f>$C27/$E27</f>
        <v>21.555301187580486</v>
      </c>
      <c r="H27" s="9" t="s">
        <v>15</v>
      </c>
    </row>
    <row r="28" spans="2:8" x14ac:dyDescent="0.3">
      <c r="B28" s="1" t="s">
        <v>83</v>
      </c>
      <c r="C28" s="7">
        <f>0.8*$C$29</f>
        <v>36.800000000000004</v>
      </c>
      <c r="D28" s="53">
        <v>0.94599999999999995</v>
      </c>
      <c r="E28" s="53">
        <f>$D28*14.5/13.1</f>
        <v>1.0470992366412213</v>
      </c>
      <c r="F28" t="s">
        <v>92</v>
      </c>
      <c r="G28" s="7">
        <f>$C28/$E28</f>
        <v>35.144710942625949</v>
      </c>
      <c r="H28" s="9" t="s">
        <v>15</v>
      </c>
    </row>
    <row r="29" spans="2:8" x14ac:dyDescent="0.3">
      <c r="B29" s="38" t="s">
        <v>84</v>
      </c>
      <c r="C29" s="7">
        <v>46</v>
      </c>
      <c r="D29" s="53">
        <v>0.88300000000000001</v>
      </c>
      <c r="E29" s="53">
        <f>$D29*14.5/13.1</f>
        <v>0.97736641221374043</v>
      </c>
      <c r="F29" s="9" t="s">
        <v>92</v>
      </c>
      <c r="G29" s="7">
        <f>$C29/$E29</f>
        <v>47.065255594173472</v>
      </c>
      <c r="H29" s="9" t="s">
        <v>16</v>
      </c>
    </row>
    <row r="49" spans="2:8" x14ac:dyDescent="0.3">
      <c r="C49" s="3" t="s">
        <v>0</v>
      </c>
      <c r="D49" s="2" t="s">
        <v>232</v>
      </c>
      <c r="E49" s="2" t="s">
        <v>233</v>
      </c>
      <c r="F49" s="5" t="s">
        <v>11</v>
      </c>
      <c r="G49" s="2" t="s">
        <v>24</v>
      </c>
    </row>
    <row r="50" spans="2:8" x14ac:dyDescent="0.3">
      <c r="B50" s="1" t="s">
        <v>83</v>
      </c>
      <c r="C50" s="7">
        <v>20.7</v>
      </c>
      <c r="D50" s="53">
        <v>0.95799999999999996</v>
      </c>
      <c r="E50" s="53">
        <f>$D50*14.5/13.1</f>
        <v>1.060381679389313</v>
      </c>
      <c r="F50" t="s">
        <v>92</v>
      </c>
      <c r="G50" s="7">
        <f>$C50/$E50</f>
        <v>19.521272766539482</v>
      </c>
      <c r="H50" s="9" t="s">
        <v>15</v>
      </c>
    </row>
    <row r="51" spans="2:8" x14ac:dyDescent="0.3">
      <c r="B51" s="1" t="s">
        <v>83</v>
      </c>
      <c r="C51" s="7">
        <f>0.5*$C$53</f>
        <v>54.85</v>
      </c>
      <c r="D51" s="53">
        <v>0.94799999999999995</v>
      </c>
      <c r="E51" s="53">
        <f>$D51*14.5/13.1</f>
        <v>1.0493129770992367</v>
      </c>
      <c r="F51" t="s">
        <v>92</v>
      </c>
      <c r="G51" s="7">
        <f>$C51/$E51</f>
        <v>52.272297395605996</v>
      </c>
      <c r="H51" s="9" t="s">
        <v>15</v>
      </c>
    </row>
    <row r="52" spans="2:8" x14ac:dyDescent="0.3">
      <c r="B52" s="1" t="s">
        <v>83</v>
      </c>
      <c r="C52" s="7">
        <f>0.8*$C$53</f>
        <v>87.76</v>
      </c>
      <c r="D52" s="53">
        <v>0.93100000000000005</v>
      </c>
      <c r="E52" s="53">
        <f>$D52*14.5/13.1</f>
        <v>1.030496183206107</v>
      </c>
      <c r="F52" t="s">
        <v>92</v>
      </c>
      <c r="G52" s="7">
        <f>$C52/$E52</f>
        <v>85.162857883625307</v>
      </c>
      <c r="H52" s="9" t="s">
        <v>15</v>
      </c>
    </row>
    <row r="53" spans="2:8" x14ac:dyDescent="0.3">
      <c r="B53" s="38" t="s">
        <v>84</v>
      </c>
      <c r="C53" s="7">
        <v>109.7</v>
      </c>
      <c r="D53" s="53">
        <v>0.88900000000000001</v>
      </c>
      <c r="E53" s="53">
        <f>$D53*14.5/13.1</f>
        <v>0.9840076335877862</v>
      </c>
      <c r="F53" s="9" t="s">
        <v>92</v>
      </c>
      <c r="G53" s="7">
        <f>$C53/$E53</f>
        <v>111.48287498545442</v>
      </c>
      <c r="H53" s="9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2267-D331-4371-BEC6-E56BF7D8CFDC}">
  <sheetPr codeName="Sheet3">
    <tabColor rgb="FF00B050"/>
  </sheetPr>
  <dimension ref="A1:L52"/>
  <sheetViews>
    <sheetView topLeftCell="A13" workbookViewId="0">
      <selection activeCell="B52" sqref="B52"/>
    </sheetView>
  </sheetViews>
  <sheetFormatPr defaultRowHeight="14.4" x14ac:dyDescent="0.3"/>
  <cols>
    <col min="2" max="2" width="32.44140625" customWidth="1"/>
    <col min="3" max="3" width="14.88671875" customWidth="1"/>
    <col min="4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12" x14ac:dyDescent="0.3">
      <c r="B1" s="10" t="s">
        <v>3</v>
      </c>
      <c r="C1" s="3" t="s">
        <v>0</v>
      </c>
      <c r="D1" s="2" t="s">
        <v>232</v>
      </c>
      <c r="E1" s="2" t="s">
        <v>233</v>
      </c>
      <c r="F1" s="5" t="s">
        <v>11</v>
      </c>
      <c r="G1" s="2" t="s">
        <v>24</v>
      </c>
    </row>
    <row r="2" spans="2:12" x14ac:dyDescent="0.3">
      <c r="B2" s="1" t="s">
        <v>93</v>
      </c>
      <c r="C2" s="9">
        <v>25.7</v>
      </c>
      <c r="D2" s="55">
        <f>$E2*13.1/14.5</f>
        <v>0.97211034482758629</v>
      </c>
      <c r="E2" s="12">
        <v>1.0760000000000001</v>
      </c>
      <c r="F2" s="6" t="s">
        <v>97</v>
      </c>
      <c r="G2" s="7">
        <f t="shared" ref="G2:G17" si="0">$C2/$E2</f>
        <v>23.884758364312265</v>
      </c>
      <c r="H2" s="9" t="s">
        <v>15</v>
      </c>
      <c r="I2" s="2"/>
      <c r="J2" s="2"/>
      <c r="K2" s="2"/>
      <c r="L2" s="2"/>
    </row>
    <row r="3" spans="2:12" x14ac:dyDescent="0.3">
      <c r="B3" s="38" t="s">
        <v>94</v>
      </c>
      <c r="C3" s="26">
        <v>150</v>
      </c>
      <c r="D3" s="56">
        <f>$E3*13.1/14.5</f>
        <v>0.94862068965517243</v>
      </c>
      <c r="E3" s="25">
        <v>1.05</v>
      </c>
      <c r="F3" s="19" t="s">
        <v>97</v>
      </c>
      <c r="G3" s="26">
        <f t="shared" si="0"/>
        <v>142.85714285714286</v>
      </c>
      <c r="H3" s="18" t="s">
        <v>16</v>
      </c>
      <c r="I3" s="26"/>
      <c r="J3" s="26"/>
      <c r="K3" s="26"/>
      <c r="L3" s="26"/>
    </row>
    <row r="4" spans="2:12" x14ac:dyDescent="0.3">
      <c r="B4" s="1" t="s">
        <v>93</v>
      </c>
      <c r="C4" s="9">
        <v>37.299999999999997</v>
      </c>
      <c r="D4" s="55">
        <f t="shared" ref="D4:D9" si="1">$E4*13.1/14.5</f>
        <v>0.97753103448275869</v>
      </c>
      <c r="E4" s="12">
        <v>1.0820000000000001</v>
      </c>
      <c r="F4" s="6" t="s">
        <v>97</v>
      </c>
      <c r="G4" s="7">
        <f t="shared" si="0"/>
        <v>34.473197781885389</v>
      </c>
      <c r="H4" s="9" t="s">
        <v>15</v>
      </c>
      <c r="I4" s="2"/>
      <c r="J4" s="2"/>
      <c r="K4" s="2"/>
      <c r="L4" s="2"/>
    </row>
    <row r="5" spans="2:12" x14ac:dyDescent="0.3">
      <c r="B5" s="38" t="s">
        <v>94</v>
      </c>
      <c r="C5" s="26">
        <v>200</v>
      </c>
      <c r="D5" s="56">
        <f t="shared" si="1"/>
        <v>0.95133103448275846</v>
      </c>
      <c r="E5" s="25">
        <v>1.0529999999999999</v>
      </c>
      <c r="F5" s="19" t="s">
        <v>97</v>
      </c>
      <c r="G5" s="26">
        <f t="shared" si="0"/>
        <v>189.93352326685661</v>
      </c>
      <c r="H5" s="18" t="s">
        <v>16</v>
      </c>
      <c r="I5" s="26"/>
      <c r="J5" s="26"/>
      <c r="K5" s="26"/>
      <c r="L5" s="26"/>
    </row>
    <row r="6" spans="2:12" x14ac:dyDescent="0.3">
      <c r="B6" s="1" t="s">
        <v>93</v>
      </c>
      <c r="C6" s="9">
        <v>42.9</v>
      </c>
      <c r="D6" s="55">
        <f t="shared" si="1"/>
        <v>0.97933793103448274</v>
      </c>
      <c r="E6" s="12">
        <v>1.0840000000000001</v>
      </c>
      <c r="F6" s="6" t="s">
        <v>97</v>
      </c>
      <c r="G6" s="7">
        <f t="shared" si="0"/>
        <v>39.575645756457561</v>
      </c>
      <c r="H6" s="9" t="s">
        <v>15</v>
      </c>
      <c r="I6" s="2"/>
      <c r="J6" s="2"/>
      <c r="K6" s="2"/>
      <c r="L6" s="2"/>
    </row>
    <row r="7" spans="2:12" x14ac:dyDescent="0.3">
      <c r="B7" s="38" t="s">
        <v>94</v>
      </c>
      <c r="C7" s="26">
        <v>250</v>
      </c>
      <c r="D7" s="56">
        <f t="shared" si="1"/>
        <v>0.94952413793103441</v>
      </c>
      <c r="E7" s="25">
        <v>1.0509999999999999</v>
      </c>
      <c r="F7" s="19" t="s">
        <v>97</v>
      </c>
      <c r="G7" s="26">
        <f t="shared" si="0"/>
        <v>237.8686964795433</v>
      </c>
      <c r="H7" s="18" t="s">
        <v>16</v>
      </c>
      <c r="I7" s="26"/>
      <c r="J7" s="26"/>
      <c r="K7" s="26"/>
      <c r="L7" s="26"/>
    </row>
    <row r="8" spans="2:12" x14ac:dyDescent="0.3">
      <c r="B8" s="1" t="s">
        <v>93</v>
      </c>
      <c r="C8" s="9">
        <v>51.4</v>
      </c>
      <c r="D8" s="55">
        <f t="shared" si="1"/>
        <v>0.97572413793103441</v>
      </c>
      <c r="E8" s="12">
        <v>1.08</v>
      </c>
      <c r="F8" s="6" t="s">
        <v>97</v>
      </c>
      <c r="G8" s="7">
        <f t="shared" si="0"/>
        <v>47.592592592592588</v>
      </c>
      <c r="H8" s="9" t="s">
        <v>15</v>
      </c>
      <c r="I8" s="2"/>
      <c r="J8" s="2"/>
      <c r="K8" s="2"/>
      <c r="L8" s="2"/>
    </row>
    <row r="9" spans="2:12" x14ac:dyDescent="0.3">
      <c r="B9" s="38" t="s">
        <v>94</v>
      </c>
      <c r="C9" s="26">
        <v>300</v>
      </c>
      <c r="D9" s="56">
        <f t="shared" si="1"/>
        <v>0.94862068965517243</v>
      </c>
      <c r="E9" s="25">
        <v>1.05</v>
      </c>
      <c r="F9" s="19" t="s">
        <v>97</v>
      </c>
      <c r="G9" s="26">
        <f t="shared" si="0"/>
        <v>285.71428571428572</v>
      </c>
      <c r="H9" s="18" t="s">
        <v>16</v>
      </c>
      <c r="I9" s="26"/>
      <c r="J9" s="26"/>
      <c r="K9" s="26"/>
      <c r="L9" s="26"/>
    </row>
    <row r="10" spans="2:12" x14ac:dyDescent="0.3">
      <c r="B10" s="1" t="s">
        <v>93</v>
      </c>
      <c r="C10" s="7">
        <f>0.3*$C11</f>
        <v>120.6</v>
      </c>
      <c r="D10" s="12">
        <v>0.98399999999999999</v>
      </c>
      <c r="E10" s="12">
        <f t="shared" ref="E10:E17" si="2">$D10*14.5/13.1</f>
        <v>1.0891603053435115</v>
      </c>
      <c r="F10" s="6" t="s">
        <v>98</v>
      </c>
      <c r="G10" s="7">
        <f t="shared" si="0"/>
        <v>110.72750210260722</v>
      </c>
      <c r="H10" s="9" t="s">
        <v>15</v>
      </c>
      <c r="I10" s="2"/>
      <c r="J10" s="2"/>
      <c r="K10" s="2"/>
      <c r="L10" s="2"/>
    </row>
    <row r="11" spans="2:12" x14ac:dyDescent="0.3">
      <c r="B11" s="38" t="s">
        <v>94</v>
      </c>
      <c r="C11" s="26">
        <v>402</v>
      </c>
      <c r="D11" s="25">
        <v>0.95</v>
      </c>
      <c r="E11" s="25">
        <f t="shared" si="2"/>
        <v>1.0515267175572518</v>
      </c>
      <c r="F11" s="19" t="s">
        <v>98</v>
      </c>
      <c r="G11" s="26">
        <f t="shared" si="0"/>
        <v>382.30127041742293</v>
      </c>
      <c r="H11" s="18" t="s">
        <v>16</v>
      </c>
      <c r="I11" s="26"/>
      <c r="J11" s="26"/>
      <c r="K11" s="26"/>
      <c r="L11" s="26"/>
    </row>
    <row r="12" spans="2:12" x14ac:dyDescent="0.3">
      <c r="B12" s="1" t="s">
        <v>93</v>
      </c>
      <c r="C12" s="7">
        <f>0.3*$C13</f>
        <v>150.29999999999998</v>
      </c>
      <c r="D12" s="12">
        <v>0.98399999999999999</v>
      </c>
      <c r="E12" s="12">
        <f t="shared" si="2"/>
        <v>1.0891603053435115</v>
      </c>
      <c r="F12" s="6" t="s">
        <v>98</v>
      </c>
      <c r="G12" s="7">
        <f t="shared" si="0"/>
        <v>137.99621530698064</v>
      </c>
      <c r="H12" s="9" t="s">
        <v>15</v>
      </c>
      <c r="I12" s="2" t="s">
        <v>378</v>
      </c>
      <c r="J12" s="2" t="s">
        <v>379</v>
      </c>
      <c r="K12" s="2" t="s">
        <v>380</v>
      </c>
      <c r="L12" s="2" t="s">
        <v>381</v>
      </c>
    </row>
    <row r="13" spans="2:12" x14ac:dyDescent="0.3">
      <c r="B13" s="38" t="s">
        <v>94</v>
      </c>
      <c r="C13" s="26">
        <v>501</v>
      </c>
      <c r="D13" s="25">
        <v>0.95099999999999996</v>
      </c>
      <c r="E13" s="25">
        <f t="shared" si="2"/>
        <v>1.0526335877862594</v>
      </c>
      <c r="F13" s="19" t="s">
        <v>98</v>
      </c>
      <c r="G13" s="26">
        <f t="shared" si="0"/>
        <v>475.94909170020674</v>
      </c>
      <c r="H13" s="18" t="s">
        <v>16</v>
      </c>
      <c r="I13" s="26">
        <f>J13/E12</f>
        <v>137.72077375946171</v>
      </c>
      <c r="J13" s="26">
        <f>L13*C12/C13</f>
        <v>149.99999999999997</v>
      </c>
      <c r="K13" s="26">
        <f>L13/E13</f>
        <v>474.99909351318041</v>
      </c>
      <c r="L13" s="26">
        <v>500</v>
      </c>
    </row>
    <row r="14" spans="2:12" x14ac:dyDescent="0.3">
      <c r="B14" s="1" t="s">
        <v>93</v>
      </c>
      <c r="C14" s="7">
        <f>0.3*$C15</f>
        <v>166.79999999999998</v>
      </c>
      <c r="D14" s="12">
        <v>0.98399999999999999</v>
      </c>
      <c r="E14" s="12">
        <f t="shared" si="2"/>
        <v>1.0891603053435115</v>
      </c>
      <c r="F14" s="6" t="s">
        <v>98</v>
      </c>
      <c r="G14" s="7">
        <f t="shared" si="0"/>
        <v>153.14550042052142</v>
      </c>
      <c r="H14" s="9" t="s">
        <v>15</v>
      </c>
      <c r="I14" s="2"/>
      <c r="J14" s="2"/>
      <c r="K14" s="2"/>
      <c r="L14" s="2"/>
    </row>
    <row r="15" spans="2:12" x14ac:dyDescent="0.3">
      <c r="B15" s="38" t="s">
        <v>94</v>
      </c>
      <c r="C15" s="26">
        <v>556</v>
      </c>
      <c r="D15" s="25">
        <v>0.95</v>
      </c>
      <c r="E15" s="25">
        <f t="shared" si="2"/>
        <v>1.0515267175572518</v>
      </c>
      <c r="F15" s="19" t="s">
        <v>98</v>
      </c>
      <c r="G15" s="26">
        <f t="shared" si="0"/>
        <v>528.75499092558994</v>
      </c>
      <c r="H15" s="18" t="s">
        <v>16</v>
      </c>
      <c r="I15" s="26"/>
      <c r="J15" s="26"/>
      <c r="K15" s="26"/>
      <c r="L15" s="26"/>
    </row>
    <row r="16" spans="2:12" x14ac:dyDescent="0.3">
      <c r="B16" s="1" t="s">
        <v>93</v>
      </c>
      <c r="C16" s="7">
        <f>0.3*$C17</f>
        <v>187.5</v>
      </c>
      <c r="D16" s="12">
        <v>0.98399999999999999</v>
      </c>
      <c r="E16" s="12">
        <f t="shared" si="2"/>
        <v>1.0891603053435115</v>
      </c>
      <c r="F16" s="6" t="s">
        <v>98</v>
      </c>
      <c r="G16" s="7">
        <f t="shared" si="0"/>
        <v>172.15096719932717</v>
      </c>
      <c r="H16" s="9" t="s">
        <v>15</v>
      </c>
      <c r="I16" s="2"/>
      <c r="J16" s="2"/>
      <c r="K16" s="2"/>
      <c r="L16" s="2"/>
    </row>
    <row r="17" spans="1:12" x14ac:dyDescent="0.3">
      <c r="B17" s="38" t="s">
        <v>94</v>
      </c>
      <c r="C17" s="26">
        <v>625</v>
      </c>
      <c r="D17" s="25">
        <v>0.95</v>
      </c>
      <c r="E17" s="25">
        <f t="shared" si="2"/>
        <v>1.0515267175572518</v>
      </c>
      <c r="F17" s="19" t="s">
        <v>98</v>
      </c>
      <c r="G17" s="26">
        <f t="shared" si="0"/>
        <v>594.37386569872967</v>
      </c>
      <c r="H17" s="18" t="s">
        <v>16</v>
      </c>
      <c r="I17" s="26"/>
      <c r="J17" s="26"/>
      <c r="K17" s="26"/>
      <c r="L17" s="26"/>
    </row>
    <row r="19" spans="1:12" x14ac:dyDescent="0.3">
      <c r="B19" t="s">
        <v>1</v>
      </c>
      <c r="C19" t="s">
        <v>4</v>
      </c>
    </row>
    <row r="20" spans="1:12" x14ac:dyDescent="0.3">
      <c r="A20" t="s">
        <v>97</v>
      </c>
      <c r="B20" t="s">
        <v>96</v>
      </c>
      <c r="C20" s="4" t="s">
        <v>95</v>
      </c>
      <c r="D20" s="4"/>
      <c r="E20" s="4"/>
    </row>
    <row r="21" spans="1:12" x14ac:dyDescent="0.3">
      <c r="A21" t="s">
        <v>98</v>
      </c>
      <c r="B21" t="s">
        <v>99</v>
      </c>
      <c r="C21" s="4" t="s">
        <v>100</v>
      </c>
      <c r="D21" s="4"/>
      <c r="E21" s="4"/>
    </row>
    <row r="22" spans="1:12" x14ac:dyDescent="0.3">
      <c r="A22" t="s">
        <v>229</v>
      </c>
      <c r="B22" t="s">
        <v>230</v>
      </c>
      <c r="C22" s="40" t="s">
        <v>231</v>
      </c>
      <c r="D22" s="4"/>
    </row>
    <row r="23" spans="1:12" x14ac:dyDescent="0.3">
      <c r="C23" s="40"/>
      <c r="D23" s="4"/>
    </row>
    <row r="24" spans="1:12" x14ac:dyDescent="0.3">
      <c r="E24" s="10" t="s">
        <v>18</v>
      </c>
      <c r="F24" s="10" t="s">
        <v>18</v>
      </c>
      <c r="G24" s="10" t="s">
        <v>18</v>
      </c>
    </row>
    <row r="25" spans="1:12" x14ac:dyDescent="0.3">
      <c r="B25" s="2" t="s">
        <v>13</v>
      </c>
      <c r="C25" s="2" t="s">
        <v>12</v>
      </c>
      <c r="D25" s="2" t="s">
        <v>25</v>
      </c>
      <c r="E25" s="2" t="s">
        <v>17</v>
      </c>
      <c r="F25" s="2" t="s">
        <v>22</v>
      </c>
      <c r="G25" s="2" t="s">
        <v>23</v>
      </c>
    </row>
    <row r="26" spans="1:12" x14ac:dyDescent="0.3">
      <c r="B26" s="9" t="s">
        <v>15</v>
      </c>
      <c r="C26" s="9">
        <f>$C3</f>
        <v>150</v>
      </c>
      <c r="D26" s="7">
        <f t="shared" ref="D26:D41" si="3">$G2</f>
        <v>23.884758364312265</v>
      </c>
      <c r="E26" s="7">
        <f t="shared" ref="E26:E41" si="4">$D26*$E2</f>
        <v>25.7</v>
      </c>
      <c r="F26" s="9">
        <f t="shared" ref="F26:F41" si="5">$B$44*$D26+$C$44*$C26+$D$44</f>
        <v>25.886956404093027</v>
      </c>
      <c r="G26" s="20">
        <f t="shared" ref="G26:G41" si="6">($E26-$F26)/$E26</f>
        <v>-7.2745682526469974E-3</v>
      </c>
    </row>
    <row r="27" spans="1:12" x14ac:dyDescent="0.3">
      <c r="B27" s="18" t="s">
        <v>16</v>
      </c>
      <c r="C27" s="18">
        <f>$C3</f>
        <v>150</v>
      </c>
      <c r="D27" s="26">
        <f t="shared" si="3"/>
        <v>142.85714285714286</v>
      </c>
      <c r="E27" s="26">
        <f t="shared" si="4"/>
        <v>150</v>
      </c>
      <c r="F27" s="18">
        <f t="shared" si="5"/>
        <v>149.41665046807003</v>
      </c>
      <c r="G27" s="20">
        <f t="shared" si="6"/>
        <v>3.8889968795331243E-3</v>
      </c>
    </row>
    <row r="28" spans="1:12" x14ac:dyDescent="0.3">
      <c r="B28" s="9" t="s">
        <v>15</v>
      </c>
      <c r="C28" s="9">
        <f>$C5</f>
        <v>200</v>
      </c>
      <c r="D28" s="7">
        <f t="shared" si="3"/>
        <v>34.473197781885389</v>
      </c>
      <c r="E28" s="7">
        <f t="shared" si="4"/>
        <v>37.299999999999997</v>
      </c>
      <c r="F28" s="9">
        <f t="shared" si="5"/>
        <v>37.65929675283811</v>
      </c>
      <c r="G28" s="20">
        <f t="shared" si="6"/>
        <v>-9.6326207195204395E-3</v>
      </c>
    </row>
    <row r="29" spans="1:12" x14ac:dyDescent="0.3">
      <c r="B29" s="18" t="s">
        <v>16</v>
      </c>
      <c r="C29" s="18">
        <f>$C5</f>
        <v>200</v>
      </c>
      <c r="D29" s="26">
        <f t="shared" si="3"/>
        <v>189.93352326685661</v>
      </c>
      <c r="E29" s="26">
        <f t="shared" si="4"/>
        <v>200</v>
      </c>
      <c r="F29" s="18">
        <f t="shared" si="5"/>
        <v>199.07462458803025</v>
      </c>
      <c r="G29" s="20">
        <f t="shared" si="6"/>
        <v>4.6268770598487663E-3</v>
      </c>
    </row>
    <row r="30" spans="1:12" x14ac:dyDescent="0.3">
      <c r="B30" s="9" t="s">
        <v>15</v>
      </c>
      <c r="C30" s="9">
        <f>$C7</f>
        <v>250</v>
      </c>
      <c r="D30" s="7">
        <f t="shared" si="3"/>
        <v>39.575645756457561</v>
      </c>
      <c r="E30" s="7">
        <f t="shared" si="4"/>
        <v>42.9</v>
      </c>
      <c r="F30" s="9">
        <f t="shared" si="5"/>
        <v>43.735501418664761</v>
      </c>
      <c r="G30" s="20">
        <f t="shared" si="6"/>
        <v>-1.9475557544633152E-2</v>
      </c>
    </row>
    <row r="31" spans="1:12" x14ac:dyDescent="0.3">
      <c r="B31" s="18" t="s">
        <v>16</v>
      </c>
      <c r="C31" s="18">
        <f>$C7</f>
        <v>250</v>
      </c>
      <c r="D31" s="26">
        <f t="shared" si="3"/>
        <v>237.8686964795433</v>
      </c>
      <c r="E31" s="26">
        <f t="shared" si="4"/>
        <v>250</v>
      </c>
      <c r="F31" s="18">
        <f t="shared" si="5"/>
        <v>249.62428809177334</v>
      </c>
      <c r="G31" s="20">
        <f t="shared" si="6"/>
        <v>1.5028476329066508E-3</v>
      </c>
    </row>
    <row r="32" spans="1:12" x14ac:dyDescent="0.3">
      <c r="B32" s="9" t="s">
        <v>15</v>
      </c>
      <c r="C32" s="9">
        <f>$C9</f>
        <v>300</v>
      </c>
      <c r="D32" s="7">
        <f t="shared" si="3"/>
        <v>47.592592592592588</v>
      </c>
      <c r="E32" s="7">
        <f t="shared" si="4"/>
        <v>51.4</v>
      </c>
      <c r="F32" s="9">
        <f t="shared" si="5"/>
        <v>52.83784659813611</v>
      </c>
      <c r="G32" s="20">
        <f t="shared" si="6"/>
        <v>-2.7973669224437971E-2</v>
      </c>
    </row>
    <row r="33" spans="2:7" x14ac:dyDescent="0.3">
      <c r="B33" s="18" t="s">
        <v>16</v>
      </c>
      <c r="C33" s="18">
        <f>$C9</f>
        <v>300</v>
      </c>
      <c r="D33" s="26">
        <f t="shared" si="3"/>
        <v>285.71428571428572</v>
      </c>
      <c r="E33" s="26">
        <f t="shared" si="4"/>
        <v>300</v>
      </c>
      <c r="F33" s="18">
        <f t="shared" si="5"/>
        <v>300.08093604879389</v>
      </c>
      <c r="G33" s="20">
        <f t="shared" si="6"/>
        <v>-2.6978682931295831E-4</v>
      </c>
    </row>
    <row r="34" spans="2:7" x14ac:dyDescent="0.3">
      <c r="B34" s="9" t="s">
        <v>15</v>
      </c>
      <c r="C34" s="9">
        <f>$C11</f>
        <v>402</v>
      </c>
      <c r="D34" s="7">
        <f t="shared" si="3"/>
        <v>110.72750210260722</v>
      </c>
      <c r="E34" s="7">
        <f t="shared" si="4"/>
        <v>120.6</v>
      </c>
      <c r="F34" s="9">
        <f t="shared" si="5"/>
        <v>119.97891803557447</v>
      </c>
      <c r="G34" s="20">
        <f t="shared" si="6"/>
        <v>5.1499333700292544E-3</v>
      </c>
    </row>
    <row r="35" spans="2:7" x14ac:dyDescent="0.3">
      <c r="B35" s="18" t="s">
        <v>16</v>
      </c>
      <c r="C35" s="18">
        <f>$C11</f>
        <v>402</v>
      </c>
      <c r="D35" s="26">
        <f t="shared" si="3"/>
        <v>382.30127041742293</v>
      </c>
      <c r="E35" s="26">
        <f t="shared" si="4"/>
        <v>402</v>
      </c>
      <c r="F35" s="18">
        <f t="shared" si="5"/>
        <v>401.95548477196826</v>
      </c>
      <c r="G35" s="20">
        <f t="shared" si="6"/>
        <v>1.1073439808890939E-4</v>
      </c>
    </row>
    <row r="36" spans="2:7" x14ac:dyDescent="0.3">
      <c r="B36" s="9" t="s">
        <v>15</v>
      </c>
      <c r="C36" s="9">
        <f>$C13</f>
        <v>501</v>
      </c>
      <c r="D36" s="7">
        <f t="shared" si="3"/>
        <v>137.99621530698064</v>
      </c>
      <c r="E36" s="7">
        <f t="shared" si="4"/>
        <v>150.29999999999998</v>
      </c>
      <c r="F36" s="9">
        <f t="shared" si="5"/>
        <v>149.83321843775011</v>
      </c>
      <c r="G36" s="20">
        <f t="shared" si="6"/>
        <v>3.1056657501655218E-3</v>
      </c>
    </row>
    <row r="37" spans="2:7" x14ac:dyDescent="0.3">
      <c r="B37" s="18" t="s">
        <v>16</v>
      </c>
      <c r="C37" s="18">
        <f>$C13</f>
        <v>501</v>
      </c>
      <c r="D37" s="26">
        <f t="shared" si="3"/>
        <v>475.94909170020674</v>
      </c>
      <c r="E37" s="26">
        <f t="shared" si="4"/>
        <v>501</v>
      </c>
      <c r="F37" s="18">
        <f t="shared" si="5"/>
        <v>500.7315853727423</v>
      </c>
      <c r="G37" s="20">
        <f t="shared" si="6"/>
        <v>5.3575773903732167E-4</v>
      </c>
    </row>
    <row r="38" spans="2:7" x14ac:dyDescent="0.3">
      <c r="B38" s="9" t="s">
        <v>15</v>
      </c>
      <c r="C38" s="9">
        <f>$C15</f>
        <v>556</v>
      </c>
      <c r="D38" s="7">
        <f t="shared" si="3"/>
        <v>153.14550042052142</v>
      </c>
      <c r="E38" s="7">
        <f t="shared" si="4"/>
        <v>166.79999999999998</v>
      </c>
      <c r="F38" s="9">
        <f t="shared" si="5"/>
        <v>166.4189408834032</v>
      </c>
      <c r="G38" s="20">
        <f t="shared" si="6"/>
        <v>2.2845270779183924E-3</v>
      </c>
    </row>
    <row r="39" spans="2:7" x14ac:dyDescent="0.3">
      <c r="B39" s="18" t="s">
        <v>16</v>
      </c>
      <c r="C39" s="18">
        <f>$C15</f>
        <v>556</v>
      </c>
      <c r="D39" s="26">
        <f t="shared" si="3"/>
        <v>528.75499092558994</v>
      </c>
      <c r="E39" s="26">
        <f t="shared" si="4"/>
        <v>556</v>
      </c>
      <c r="F39" s="18">
        <f t="shared" si="5"/>
        <v>556.41638144418675</v>
      </c>
      <c r="G39" s="20">
        <f t="shared" si="6"/>
        <v>-7.4888748954452227E-4</v>
      </c>
    </row>
    <row r="40" spans="2:7" x14ac:dyDescent="0.3">
      <c r="B40" s="9" t="s">
        <v>15</v>
      </c>
      <c r="C40" s="9">
        <f>$C17</f>
        <v>625</v>
      </c>
      <c r="D40" s="7">
        <f t="shared" si="3"/>
        <v>172.15096719932717</v>
      </c>
      <c r="E40" s="7">
        <f t="shared" si="4"/>
        <v>187.5</v>
      </c>
      <c r="F40" s="9">
        <f t="shared" si="5"/>
        <v>187.2264835879499</v>
      </c>
      <c r="G40" s="20">
        <f t="shared" si="6"/>
        <v>1.4587541976005317E-3</v>
      </c>
    </row>
    <row r="41" spans="2:7" x14ac:dyDescent="0.3">
      <c r="B41" s="18" t="s">
        <v>16</v>
      </c>
      <c r="C41" s="18">
        <f>$C17</f>
        <v>625</v>
      </c>
      <c r="D41" s="26">
        <f t="shared" si="3"/>
        <v>594.37386569872967</v>
      </c>
      <c r="E41" s="26">
        <f t="shared" si="4"/>
        <v>625</v>
      </c>
      <c r="F41" s="18">
        <f t="shared" si="5"/>
        <v>625.62288709602478</v>
      </c>
      <c r="G41" s="20">
        <f t="shared" si="6"/>
        <v>-9.9661935363965317E-4</v>
      </c>
    </row>
    <row r="43" spans="2:7" x14ac:dyDescent="0.3">
      <c r="B43" t="s">
        <v>19</v>
      </c>
      <c r="C43" t="s">
        <v>20</v>
      </c>
      <c r="D43" t="s">
        <v>21</v>
      </c>
    </row>
    <row r="44" spans="2:7" x14ac:dyDescent="0.3">
      <c r="B44" cm="1">
        <f t="array" ref="B44:D44">LINEST(E26:E41,C26:D41)</f>
        <v>1.0383056084029401</v>
      </c>
      <c r="C44">
        <v>1.5566086344882836E-2</v>
      </c>
      <c r="D44">
        <v>-1.2476351126538532</v>
      </c>
    </row>
    <row r="46" spans="2:7" x14ac:dyDescent="0.3">
      <c r="B46" s="2" t="s">
        <v>416</v>
      </c>
      <c r="C46" s="57">
        <v>0.2</v>
      </c>
    </row>
    <row r="47" spans="2:7" x14ac:dyDescent="0.3">
      <c r="B47" s="2" t="s">
        <v>415</v>
      </c>
      <c r="C47" s="57">
        <v>1</v>
      </c>
    </row>
    <row r="49" spans="2:7" x14ac:dyDescent="0.3">
      <c r="B49" t="s">
        <v>417</v>
      </c>
    </row>
    <row r="51" spans="2:7" x14ac:dyDescent="0.3">
      <c r="B51" s="2" t="s">
        <v>378</v>
      </c>
      <c r="C51" s="2" t="s">
        <v>379</v>
      </c>
      <c r="F51" s="2" t="s">
        <v>380</v>
      </c>
      <c r="G51" s="2" t="s">
        <v>381</v>
      </c>
    </row>
    <row r="52" spans="2:7" x14ac:dyDescent="0.3">
      <c r="B52">
        <f>C46</f>
        <v>0.2</v>
      </c>
      <c r="C52" s="67">
        <f>B44*C46+C44</f>
        <v>0.22322720802547086</v>
      </c>
      <c r="D52" s="67"/>
      <c r="F52">
        <f>C47</f>
        <v>1</v>
      </c>
      <c r="G52" s="67">
        <f>B44*C47+C44</f>
        <v>1.0538716947478228</v>
      </c>
    </row>
  </sheetData>
  <hyperlinks>
    <hyperlink ref="C21" r:id="rId1" xr:uid="{1970557F-75C6-4F81-817A-AACA05607524}"/>
    <hyperlink ref="C20" r:id="rId2" xr:uid="{5C33350E-B374-488A-B75E-8AC3C69C0080}"/>
    <hyperlink ref="C22" r:id="rId3" xr:uid="{31E11811-DC71-4AC9-A52C-72E7D62780F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4E88-55E7-462C-BAFB-08A06171410A}">
  <sheetPr codeName="Sheet4">
    <tabColor theme="9" tint="0.59999389629810485"/>
  </sheetPr>
  <dimension ref="B1:H53"/>
  <sheetViews>
    <sheetView workbookViewId="0">
      <selection activeCell="G60" sqref="G60"/>
    </sheetView>
  </sheetViews>
  <sheetFormatPr defaultRowHeight="14.4" x14ac:dyDescent="0.3"/>
  <cols>
    <col min="2" max="2" width="25.6640625" customWidth="1"/>
    <col min="3" max="3" width="12.21875" customWidth="1"/>
    <col min="4" max="4" width="11.33203125" customWidth="1"/>
    <col min="5" max="5" width="11.5546875" customWidth="1"/>
    <col min="6" max="6" width="17.77734375" customWidth="1"/>
    <col min="7" max="7" width="8.88671875" customWidth="1"/>
    <col min="9" max="9" width="8.88671875" customWidth="1"/>
  </cols>
  <sheetData>
    <row r="1" spans="2:8" x14ac:dyDescent="0.3">
      <c r="C1" s="3" t="s">
        <v>0</v>
      </c>
      <c r="D1" s="2" t="s">
        <v>232</v>
      </c>
      <c r="E1" s="2" t="s">
        <v>233</v>
      </c>
      <c r="F1" s="5" t="s">
        <v>11</v>
      </c>
      <c r="G1" s="2" t="s">
        <v>24</v>
      </c>
    </row>
    <row r="2" spans="2:8" x14ac:dyDescent="0.3">
      <c r="B2" s="1" t="s">
        <v>83</v>
      </c>
      <c r="C2" s="7">
        <f>0.3*$C$5</f>
        <v>45</v>
      </c>
      <c r="D2" s="53">
        <v>0.97199999999999998</v>
      </c>
      <c r="E2" s="53">
        <f>$D2*14.5/13.1</f>
        <v>1.0758778625954197</v>
      </c>
      <c r="F2" t="s">
        <v>92</v>
      </c>
      <c r="G2" s="7">
        <f>$C2/$E2</f>
        <v>41.826309067688385</v>
      </c>
      <c r="H2" s="9" t="s">
        <v>15</v>
      </c>
    </row>
    <row r="3" spans="2:8" x14ac:dyDescent="0.3">
      <c r="B3" s="1" t="s">
        <v>83</v>
      </c>
      <c r="C3" s="7">
        <f>0.5*$C$5</f>
        <v>75</v>
      </c>
      <c r="D3" s="53">
        <v>0.96199999999999997</v>
      </c>
      <c r="E3" s="53">
        <f t="shared" ref="E3:E5" si="0">$D3*14.5/13.1</f>
        <v>1.0648091603053436</v>
      </c>
      <c r="F3" t="s">
        <v>92</v>
      </c>
      <c r="G3" s="7">
        <f>$C3/$E3</f>
        <v>70.435156642053187</v>
      </c>
      <c r="H3" s="9" t="s">
        <v>15</v>
      </c>
    </row>
    <row r="4" spans="2:8" x14ac:dyDescent="0.3">
      <c r="B4" s="1" t="s">
        <v>83</v>
      </c>
      <c r="C4" s="7">
        <f>0.8*$C$5</f>
        <v>120</v>
      </c>
      <c r="D4" s="53">
        <v>0.94399999999999995</v>
      </c>
      <c r="E4" s="53">
        <f t="shared" si="0"/>
        <v>1.0448854961832061</v>
      </c>
      <c r="F4" t="s">
        <v>92</v>
      </c>
      <c r="G4" s="7">
        <f>$C4/$E4</f>
        <v>114.84511981297486</v>
      </c>
      <c r="H4" s="9" t="s">
        <v>15</v>
      </c>
    </row>
    <row r="5" spans="2:8" x14ac:dyDescent="0.3">
      <c r="B5" s="38" t="s">
        <v>84</v>
      </c>
      <c r="C5" s="7">
        <v>150</v>
      </c>
      <c r="D5" s="53">
        <v>0.94899999999999995</v>
      </c>
      <c r="E5" s="53">
        <f t="shared" si="0"/>
        <v>1.0504198473282442</v>
      </c>
      <c r="F5" s="9" t="s">
        <v>92</v>
      </c>
      <c r="G5" s="7">
        <f>$C5/$E5</f>
        <v>142.80004360306677</v>
      </c>
      <c r="H5" s="9" t="s">
        <v>16</v>
      </c>
    </row>
    <row r="7" spans="2:8" x14ac:dyDescent="0.3">
      <c r="C7" s="7"/>
      <c r="D7" s="53"/>
      <c r="F7" s="7"/>
      <c r="G7" s="9"/>
    </row>
    <row r="8" spans="2:8" x14ac:dyDescent="0.3">
      <c r="C8" s="7"/>
      <c r="D8" s="53"/>
      <c r="E8" s="9"/>
      <c r="F8" s="7"/>
      <c r="G8" s="9"/>
    </row>
    <row r="10" spans="2:8" x14ac:dyDescent="0.3">
      <c r="C10" s="7"/>
      <c r="D10" s="53"/>
      <c r="F10" s="7"/>
      <c r="G10" s="9"/>
    </row>
    <row r="11" spans="2:8" x14ac:dyDescent="0.3">
      <c r="C11" s="7"/>
      <c r="D11" s="53"/>
      <c r="E11" s="9"/>
      <c r="F11" s="7"/>
      <c r="G11" s="9"/>
    </row>
    <row r="25" spans="2:8" x14ac:dyDescent="0.3">
      <c r="C25" s="3" t="s">
        <v>0</v>
      </c>
      <c r="D25" s="2" t="s">
        <v>232</v>
      </c>
      <c r="E25" s="2" t="s">
        <v>233</v>
      </c>
      <c r="F25" s="5" t="s">
        <v>11</v>
      </c>
      <c r="G25" s="2" t="s">
        <v>24</v>
      </c>
    </row>
    <row r="26" spans="2:8" x14ac:dyDescent="0.3">
      <c r="B26" s="1" t="s">
        <v>83</v>
      </c>
      <c r="C26" s="7">
        <f>0.3*$C$29</f>
        <v>120.6</v>
      </c>
      <c r="D26" s="53">
        <v>0.98399999999999999</v>
      </c>
      <c r="E26" s="53">
        <f>$D26*14.5/13.1</f>
        <v>1.0891603053435115</v>
      </c>
      <c r="F26" t="s">
        <v>92</v>
      </c>
      <c r="G26" s="7">
        <f>$C26/$E26</f>
        <v>110.72750210260722</v>
      </c>
      <c r="H26" s="9" t="s">
        <v>15</v>
      </c>
    </row>
    <row r="27" spans="2:8" x14ac:dyDescent="0.3">
      <c r="B27" s="1" t="s">
        <v>83</v>
      </c>
      <c r="C27" s="7">
        <f>0.5*$C$29</f>
        <v>201</v>
      </c>
      <c r="D27" s="53">
        <v>0.97399999999999998</v>
      </c>
      <c r="E27" s="53">
        <f>$D27*14.5/13.1</f>
        <v>1.0780916030534351</v>
      </c>
      <c r="F27" t="s">
        <v>92</v>
      </c>
      <c r="G27" s="7">
        <f>$C27/$E27</f>
        <v>186.44055795510869</v>
      </c>
      <c r="H27" s="9" t="s">
        <v>15</v>
      </c>
    </row>
    <row r="28" spans="2:8" x14ac:dyDescent="0.3">
      <c r="B28" s="1" t="s">
        <v>83</v>
      </c>
      <c r="C28" s="7">
        <f>0.8*$C$29</f>
        <v>321.60000000000002</v>
      </c>
      <c r="D28" s="53">
        <v>0.95599999999999996</v>
      </c>
      <c r="E28" s="53">
        <f>$D28*14.5/13.1</f>
        <v>1.0581679389312977</v>
      </c>
      <c r="F28" t="s">
        <v>92</v>
      </c>
      <c r="G28" s="7">
        <f>$C28/$E28</f>
        <v>303.92151204732363</v>
      </c>
      <c r="H28" s="9" t="s">
        <v>15</v>
      </c>
    </row>
    <row r="29" spans="2:8" x14ac:dyDescent="0.3">
      <c r="B29" s="38" t="s">
        <v>84</v>
      </c>
      <c r="C29" s="7">
        <v>402</v>
      </c>
      <c r="D29" s="53">
        <v>0.95</v>
      </c>
      <c r="E29" s="53">
        <f>$D29*14.5/13.1</f>
        <v>1.0515267175572518</v>
      </c>
      <c r="F29" s="9" t="s">
        <v>92</v>
      </c>
      <c r="G29" s="7">
        <f>$C29/$E29</f>
        <v>382.30127041742293</v>
      </c>
      <c r="H29" s="9" t="s">
        <v>16</v>
      </c>
    </row>
    <row r="49" spans="2:8" x14ac:dyDescent="0.3">
      <c r="C49" s="3" t="s">
        <v>0</v>
      </c>
      <c r="D49" s="2" t="s">
        <v>232</v>
      </c>
      <c r="E49" s="2" t="s">
        <v>233</v>
      </c>
      <c r="F49" s="5" t="s">
        <v>11</v>
      </c>
      <c r="G49" s="2" t="s">
        <v>24</v>
      </c>
    </row>
    <row r="50" spans="2:8" x14ac:dyDescent="0.3">
      <c r="B50" s="1" t="s">
        <v>83</v>
      </c>
      <c r="C50" s="7">
        <f>0.3*$C$53</f>
        <v>187.5</v>
      </c>
      <c r="D50" s="53">
        <v>0.98399999999999999</v>
      </c>
      <c r="E50" s="53">
        <f>$D50*14.5/13.1</f>
        <v>1.0891603053435115</v>
      </c>
      <c r="F50" t="s">
        <v>92</v>
      </c>
      <c r="G50" s="7">
        <f>$C50/$E50</f>
        <v>172.15096719932717</v>
      </c>
      <c r="H50" s="9" t="s">
        <v>15</v>
      </c>
    </row>
    <row r="51" spans="2:8" x14ac:dyDescent="0.3">
      <c r="B51" s="1" t="s">
        <v>83</v>
      </c>
      <c r="C51" s="7">
        <f>0.5*$C$53</f>
        <v>312.5</v>
      </c>
      <c r="D51" s="53">
        <v>0.97399999999999998</v>
      </c>
      <c r="E51" s="53">
        <f>$D51*14.5/13.1</f>
        <v>1.0780916030534351</v>
      </c>
      <c r="F51" t="s">
        <v>92</v>
      </c>
      <c r="G51" s="7">
        <f>$C51/$E51</f>
        <v>289.86405154712173</v>
      </c>
      <c r="H51" s="9" t="s">
        <v>15</v>
      </c>
    </row>
    <row r="52" spans="2:8" x14ac:dyDescent="0.3">
      <c r="B52" s="1" t="s">
        <v>83</v>
      </c>
      <c r="C52" s="7">
        <f>0.8*$C$53</f>
        <v>500</v>
      </c>
      <c r="D52" s="53">
        <v>0.95599999999999996</v>
      </c>
      <c r="E52" s="53">
        <f>$D52*14.5/13.1</f>
        <v>1.0581679389312977</v>
      </c>
      <c r="F52" t="s">
        <v>92</v>
      </c>
      <c r="G52" s="7">
        <f>$C52/$E52</f>
        <v>472.51478863078921</v>
      </c>
      <c r="H52" s="9" t="s">
        <v>15</v>
      </c>
    </row>
    <row r="53" spans="2:8" x14ac:dyDescent="0.3">
      <c r="B53" s="38" t="s">
        <v>84</v>
      </c>
      <c r="C53" s="7">
        <v>625</v>
      </c>
      <c r="D53" s="53">
        <v>0.95</v>
      </c>
      <c r="E53" s="53">
        <f>$D53*14.5/13.1</f>
        <v>1.0515267175572518</v>
      </c>
      <c r="F53" s="9" t="s">
        <v>92</v>
      </c>
      <c r="G53" s="7">
        <f>$C53/$E53</f>
        <v>594.37386569872967</v>
      </c>
      <c r="H53" s="9" t="s">
        <v>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947C-6405-4044-B2AF-E0AD17362059}">
  <sheetPr codeName="Sheet5">
    <tabColor rgb="FF00B050"/>
  </sheetPr>
  <dimension ref="A1:N123"/>
  <sheetViews>
    <sheetView workbookViewId="0">
      <selection activeCell="J2" sqref="J2"/>
    </sheetView>
  </sheetViews>
  <sheetFormatPr defaultRowHeight="14.4" x14ac:dyDescent="0.3"/>
  <cols>
    <col min="2" max="2" width="32.44140625" customWidth="1"/>
    <col min="3" max="3" width="14.88671875" customWidth="1"/>
    <col min="4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14" x14ac:dyDescent="0.3">
      <c r="B1" s="10" t="s">
        <v>82</v>
      </c>
      <c r="C1" s="3" t="s">
        <v>85</v>
      </c>
      <c r="D1" s="3" t="s">
        <v>0</v>
      </c>
      <c r="E1" s="2" t="s">
        <v>232</v>
      </c>
      <c r="F1" s="2" t="s">
        <v>233</v>
      </c>
      <c r="G1" s="5" t="s">
        <v>11</v>
      </c>
      <c r="H1" s="2" t="s">
        <v>24</v>
      </c>
    </row>
    <row r="2" spans="2:14" x14ac:dyDescent="0.3">
      <c r="B2" s="1" t="s">
        <v>83</v>
      </c>
      <c r="C2" s="9">
        <f>$C3*0.25</f>
        <v>25</v>
      </c>
      <c r="D2" s="7">
        <f>$C2*9.8107</f>
        <v>245.26750000000001</v>
      </c>
      <c r="E2" s="12">
        <v>0.84399999999999997</v>
      </c>
      <c r="F2" s="12">
        <f>$E2*14.5/13.1</f>
        <v>0.93419847328244277</v>
      </c>
      <c r="G2" s="6" t="s">
        <v>92</v>
      </c>
      <c r="H2" s="7">
        <f t="shared" ref="H2:H25" si="0">$D2/$F2</f>
        <v>262.54324644549763</v>
      </c>
      <c r="I2" s="9" t="s">
        <v>15</v>
      </c>
      <c r="J2" s="2"/>
      <c r="K2" s="2"/>
      <c r="L2" s="2"/>
      <c r="M2" s="2"/>
      <c r="N2" t="s">
        <v>382</v>
      </c>
    </row>
    <row r="3" spans="2:14" x14ac:dyDescent="0.3">
      <c r="B3" s="38" t="s">
        <v>84</v>
      </c>
      <c r="C3" s="39">
        <v>100</v>
      </c>
      <c r="D3" s="26">
        <f>$C3*9.8107</f>
        <v>981.07</v>
      </c>
      <c r="E3" s="25">
        <v>0.84399999999999997</v>
      </c>
      <c r="F3" s="25">
        <f>$E3*14.5/13.1</f>
        <v>0.93419847328244277</v>
      </c>
      <c r="G3" s="19" t="s">
        <v>92</v>
      </c>
      <c r="H3" s="26">
        <f t="shared" si="0"/>
        <v>1050.1729857819905</v>
      </c>
      <c r="I3" s="18" t="s">
        <v>16</v>
      </c>
      <c r="J3" s="26"/>
      <c r="K3" s="26"/>
      <c r="L3" s="26"/>
      <c r="M3" s="26"/>
    </row>
    <row r="4" spans="2:14" x14ac:dyDescent="0.3">
      <c r="B4" s="1" t="s">
        <v>83</v>
      </c>
      <c r="C4" s="9">
        <f>$C5*0.25</f>
        <v>31.25</v>
      </c>
      <c r="D4" s="7">
        <f t="shared" ref="D4:D25" si="1">$C4*9.8107</f>
        <v>306.58437500000002</v>
      </c>
      <c r="E4" s="12">
        <v>0.83299999999999996</v>
      </c>
      <c r="F4" s="12">
        <f t="shared" ref="F4:F25" si="2">$E4*14.5/13.1</f>
        <v>0.9220229007633588</v>
      </c>
      <c r="G4" s="6" t="s">
        <v>92</v>
      </c>
      <c r="H4" s="7">
        <f t="shared" si="0"/>
        <v>332.51275510204084</v>
      </c>
      <c r="I4" s="9" t="s">
        <v>15</v>
      </c>
      <c r="J4" s="2"/>
      <c r="K4" s="2"/>
      <c r="L4" s="2"/>
      <c r="M4" s="2"/>
    </row>
    <row r="5" spans="2:14" x14ac:dyDescent="0.3">
      <c r="B5" s="38" t="s">
        <v>84</v>
      </c>
      <c r="C5" s="39">
        <v>125</v>
      </c>
      <c r="D5" s="26">
        <f t="shared" si="1"/>
        <v>1226.3375000000001</v>
      </c>
      <c r="E5" s="25">
        <v>0.83199999999999996</v>
      </c>
      <c r="F5" s="25">
        <f t="shared" si="2"/>
        <v>0.92091603053435123</v>
      </c>
      <c r="G5" s="19" t="s">
        <v>92</v>
      </c>
      <c r="H5" s="26">
        <f t="shared" si="0"/>
        <v>1331.6496394230769</v>
      </c>
      <c r="I5" s="18" t="s">
        <v>16</v>
      </c>
      <c r="J5" s="26"/>
      <c r="K5" s="26"/>
      <c r="L5" s="26"/>
      <c r="M5" s="26"/>
    </row>
    <row r="6" spans="2:14" x14ac:dyDescent="0.3">
      <c r="B6" s="1" t="s">
        <v>83</v>
      </c>
      <c r="C6" s="9">
        <f>$C7*0.25</f>
        <v>37.5</v>
      </c>
      <c r="D6" s="7">
        <f t="shared" si="1"/>
        <v>367.90125</v>
      </c>
      <c r="E6" s="12">
        <v>0.84399999999999997</v>
      </c>
      <c r="F6" s="12">
        <f t="shared" si="2"/>
        <v>0.93419847328244277</v>
      </c>
      <c r="G6" s="6" t="s">
        <v>92</v>
      </c>
      <c r="H6" s="7">
        <f t="shared" si="0"/>
        <v>393.81486966824644</v>
      </c>
      <c r="I6" s="9" t="s">
        <v>15</v>
      </c>
      <c r="J6" s="2"/>
      <c r="K6" s="2"/>
      <c r="L6" s="2"/>
      <c r="M6" s="2"/>
    </row>
    <row r="7" spans="2:14" x14ac:dyDescent="0.3">
      <c r="B7" s="38" t="s">
        <v>84</v>
      </c>
      <c r="C7" s="39">
        <v>150</v>
      </c>
      <c r="D7" s="26">
        <f t="shared" si="1"/>
        <v>1471.605</v>
      </c>
      <c r="E7" s="25">
        <v>0.84299999999999997</v>
      </c>
      <c r="F7" s="25">
        <f t="shared" si="2"/>
        <v>0.93309160305343508</v>
      </c>
      <c r="G7" s="19" t="s">
        <v>92</v>
      </c>
      <c r="H7" s="26">
        <f t="shared" si="0"/>
        <v>1577.1281138790036</v>
      </c>
      <c r="I7" s="18" t="s">
        <v>16</v>
      </c>
      <c r="J7" s="26"/>
      <c r="K7" s="26"/>
      <c r="L7" s="26"/>
      <c r="M7" s="26"/>
    </row>
    <row r="8" spans="2:14" x14ac:dyDescent="0.3">
      <c r="B8" s="1" t="s">
        <v>83</v>
      </c>
      <c r="C8" s="9">
        <f>$C9*0.25</f>
        <v>50</v>
      </c>
      <c r="D8" s="7">
        <f t="shared" si="1"/>
        <v>490.53500000000003</v>
      </c>
      <c r="E8" s="12">
        <v>0.85</v>
      </c>
      <c r="F8" s="12">
        <f t="shared" si="2"/>
        <v>0.94083969465648853</v>
      </c>
      <c r="G8" s="6" t="s">
        <v>92</v>
      </c>
      <c r="H8" s="7">
        <f t="shared" si="0"/>
        <v>521.38</v>
      </c>
      <c r="I8" s="9" t="s">
        <v>15</v>
      </c>
      <c r="J8" s="2"/>
      <c r="K8" s="2"/>
      <c r="L8" s="2"/>
      <c r="M8" s="2"/>
    </row>
    <row r="9" spans="2:14" x14ac:dyDescent="0.3">
      <c r="B9" s="38" t="s">
        <v>84</v>
      </c>
      <c r="C9" s="39">
        <v>200</v>
      </c>
      <c r="D9" s="26">
        <f t="shared" si="1"/>
        <v>1962.14</v>
      </c>
      <c r="E9" s="25">
        <v>0.84899999999999998</v>
      </c>
      <c r="F9" s="25">
        <f t="shared" si="2"/>
        <v>0.93973282442748085</v>
      </c>
      <c r="G9" s="19" t="s">
        <v>92</v>
      </c>
      <c r="H9" s="26">
        <f t="shared" si="0"/>
        <v>2087.9764428739695</v>
      </c>
      <c r="I9" s="18" t="s">
        <v>16</v>
      </c>
      <c r="J9" s="26"/>
      <c r="K9" s="26"/>
      <c r="L9" s="26"/>
      <c r="M9" s="26"/>
    </row>
    <row r="10" spans="2:14" x14ac:dyDescent="0.3">
      <c r="B10" s="1" t="s">
        <v>83</v>
      </c>
      <c r="C10" s="9">
        <f>$C11*0.25</f>
        <v>62.5</v>
      </c>
      <c r="D10" s="7">
        <f t="shared" si="1"/>
        <v>613.16875000000005</v>
      </c>
      <c r="E10" s="12">
        <v>0.85</v>
      </c>
      <c r="F10" s="12">
        <f t="shared" si="2"/>
        <v>0.94083969465648853</v>
      </c>
      <c r="G10" s="6" t="s">
        <v>92</v>
      </c>
      <c r="H10" s="7">
        <f t="shared" si="0"/>
        <v>651.72500000000002</v>
      </c>
      <c r="I10" s="9" t="s">
        <v>15</v>
      </c>
      <c r="J10" s="2"/>
      <c r="K10" s="2"/>
      <c r="L10" s="2"/>
      <c r="M10" s="2"/>
    </row>
    <row r="11" spans="2:14" x14ac:dyDescent="0.3">
      <c r="B11" s="38" t="s">
        <v>84</v>
      </c>
      <c r="C11" s="39">
        <v>250</v>
      </c>
      <c r="D11" s="26">
        <f t="shared" si="1"/>
        <v>2452.6750000000002</v>
      </c>
      <c r="E11" s="25">
        <v>0.83299999999999996</v>
      </c>
      <c r="F11" s="25">
        <f t="shared" si="2"/>
        <v>0.9220229007633588</v>
      </c>
      <c r="G11" s="19" t="s">
        <v>92</v>
      </c>
      <c r="H11" s="26">
        <f t="shared" si="0"/>
        <v>2660.1020408163267</v>
      </c>
      <c r="I11" s="18" t="s">
        <v>16</v>
      </c>
      <c r="J11" s="26"/>
      <c r="K11" s="26"/>
      <c r="L11" s="26"/>
      <c r="M11" s="26"/>
    </row>
    <row r="12" spans="2:14" x14ac:dyDescent="0.3">
      <c r="B12" s="1" t="s">
        <v>83</v>
      </c>
      <c r="C12" s="9">
        <f>$C13*0.25</f>
        <v>75</v>
      </c>
      <c r="D12" s="7">
        <f t="shared" si="1"/>
        <v>735.80250000000001</v>
      </c>
      <c r="E12" s="12">
        <v>0.85299999999999998</v>
      </c>
      <c r="F12" s="12">
        <f t="shared" si="2"/>
        <v>0.94416030534351136</v>
      </c>
      <c r="G12" s="6" t="s">
        <v>92</v>
      </c>
      <c r="H12" s="7">
        <f t="shared" si="0"/>
        <v>779.3194607268465</v>
      </c>
      <c r="I12" s="9" t="s">
        <v>15</v>
      </c>
      <c r="J12" s="2"/>
      <c r="K12" s="2"/>
      <c r="L12" s="2"/>
      <c r="M12" s="2"/>
    </row>
    <row r="13" spans="2:14" x14ac:dyDescent="0.3">
      <c r="B13" s="38" t="s">
        <v>84</v>
      </c>
      <c r="C13" s="39">
        <v>300</v>
      </c>
      <c r="D13" s="26">
        <f t="shared" si="1"/>
        <v>2943.21</v>
      </c>
      <c r="E13" s="25">
        <v>0.83899999999999997</v>
      </c>
      <c r="F13" s="25">
        <f t="shared" si="2"/>
        <v>0.92866412213740457</v>
      </c>
      <c r="G13" s="19" t="s">
        <v>92</v>
      </c>
      <c r="H13" s="26">
        <f t="shared" si="0"/>
        <v>3169.2943980929681</v>
      </c>
      <c r="I13" s="18" t="s">
        <v>16</v>
      </c>
      <c r="J13" s="26"/>
      <c r="K13" s="26"/>
      <c r="L13" s="26"/>
      <c r="M13" s="26"/>
    </row>
    <row r="14" spans="2:14" x14ac:dyDescent="0.3">
      <c r="B14" s="1" t="s">
        <v>83</v>
      </c>
      <c r="C14" s="9">
        <f>$C15*0.25</f>
        <v>87.5</v>
      </c>
      <c r="D14" s="7">
        <f t="shared" si="1"/>
        <v>858.43625000000009</v>
      </c>
      <c r="E14" s="12">
        <v>0.85299999999999998</v>
      </c>
      <c r="F14" s="12">
        <f t="shared" si="2"/>
        <v>0.94416030534351136</v>
      </c>
      <c r="G14" s="6" t="s">
        <v>92</v>
      </c>
      <c r="H14" s="7">
        <f t="shared" si="0"/>
        <v>909.20603751465433</v>
      </c>
      <c r="I14" s="9" t="s">
        <v>15</v>
      </c>
      <c r="J14" s="2"/>
      <c r="K14" s="2"/>
      <c r="L14" s="2"/>
      <c r="M14" s="2"/>
    </row>
    <row r="15" spans="2:14" x14ac:dyDescent="0.3">
      <c r="B15" s="38" t="s">
        <v>84</v>
      </c>
      <c r="C15" s="39">
        <v>350</v>
      </c>
      <c r="D15" s="26">
        <f t="shared" si="1"/>
        <v>3433.7450000000003</v>
      </c>
      <c r="E15" s="25">
        <v>0.84499999999999997</v>
      </c>
      <c r="F15" s="25">
        <f t="shared" si="2"/>
        <v>0.93530534351145034</v>
      </c>
      <c r="G15" s="19" t="s">
        <v>92</v>
      </c>
      <c r="H15" s="26">
        <f t="shared" si="0"/>
        <v>3671.2556213017756</v>
      </c>
      <c r="I15" s="18" t="s">
        <v>16</v>
      </c>
      <c r="J15" s="26"/>
      <c r="K15" s="26"/>
      <c r="L15" s="26"/>
      <c r="M15" s="26"/>
    </row>
    <row r="16" spans="2:14" x14ac:dyDescent="0.3">
      <c r="B16" s="1" t="s">
        <v>83</v>
      </c>
      <c r="C16" s="9">
        <f>$C17*0.25</f>
        <v>100</v>
      </c>
      <c r="D16" s="7">
        <f t="shared" si="1"/>
        <v>981.07</v>
      </c>
      <c r="E16" s="12">
        <v>0.84499999999999997</v>
      </c>
      <c r="F16" s="12">
        <f t="shared" si="2"/>
        <v>0.93530534351145034</v>
      </c>
      <c r="G16" s="6" t="s">
        <v>92</v>
      </c>
      <c r="H16" s="7">
        <f t="shared" si="0"/>
        <v>1048.9301775147931</v>
      </c>
      <c r="I16" s="9" t="s">
        <v>15</v>
      </c>
      <c r="J16" s="2"/>
      <c r="K16" s="2"/>
      <c r="L16" s="2"/>
      <c r="M16" s="2"/>
    </row>
    <row r="17" spans="1:13" x14ac:dyDescent="0.3">
      <c r="B17" s="38" t="s">
        <v>84</v>
      </c>
      <c r="C17" s="39">
        <v>400</v>
      </c>
      <c r="D17" s="26">
        <f t="shared" si="1"/>
        <v>3924.28</v>
      </c>
      <c r="E17" s="25">
        <v>0.84399999999999997</v>
      </c>
      <c r="F17" s="25">
        <f t="shared" si="2"/>
        <v>0.93419847328244277</v>
      </c>
      <c r="G17" s="19" t="s">
        <v>92</v>
      </c>
      <c r="H17" s="26">
        <f t="shared" si="0"/>
        <v>4200.6919431279621</v>
      </c>
      <c r="I17" s="18" t="s">
        <v>16</v>
      </c>
      <c r="J17" s="26"/>
      <c r="K17" s="26"/>
      <c r="L17" s="26"/>
      <c r="M17" s="26"/>
    </row>
    <row r="18" spans="1:13" x14ac:dyDescent="0.3">
      <c r="B18" s="1" t="s">
        <v>83</v>
      </c>
      <c r="C18" s="9">
        <f>$C19*0.25</f>
        <v>125</v>
      </c>
      <c r="D18" s="7">
        <f t="shared" si="1"/>
        <v>1226.3375000000001</v>
      </c>
      <c r="E18" s="12">
        <v>0.85499999999999998</v>
      </c>
      <c r="F18" s="12">
        <f t="shared" si="2"/>
        <v>0.94637404580152662</v>
      </c>
      <c r="G18" s="6" t="s">
        <v>92</v>
      </c>
      <c r="H18" s="7">
        <f t="shared" si="0"/>
        <v>1295.8274853801172</v>
      </c>
      <c r="I18" s="9" t="s">
        <v>15</v>
      </c>
      <c r="J18" s="2"/>
      <c r="K18" s="2"/>
      <c r="L18" s="2"/>
      <c r="M18" s="2"/>
    </row>
    <row r="19" spans="1:13" x14ac:dyDescent="0.3">
      <c r="B19" s="38" t="s">
        <v>84</v>
      </c>
      <c r="C19" s="39">
        <v>500</v>
      </c>
      <c r="D19" s="26">
        <f t="shared" si="1"/>
        <v>4905.3500000000004</v>
      </c>
      <c r="E19" s="25">
        <v>0.85199999999999998</v>
      </c>
      <c r="F19" s="25">
        <f t="shared" si="2"/>
        <v>0.94305343511450379</v>
      </c>
      <c r="G19" s="19" t="s">
        <v>92</v>
      </c>
      <c r="H19" s="26">
        <f t="shared" si="0"/>
        <v>5201.5610328638504</v>
      </c>
      <c r="I19" s="18" t="s">
        <v>16</v>
      </c>
      <c r="J19" s="26"/>
      <c r="K19" s="26"/>
      <c r="L19" s="26"/>
      <c r="M19" s="26"/>
    </row>
    <row r="20" spans="1:13" x14ac:dyDescent="0.3">
      <c r="B20" s="1" t="s">
        <v>83</v>
      </c>
      <c r="C20" s="9">
        <f>$C21*0.25</f>
        <v>150</v>
      </c>
      <c r="D20" s="7">
        <f t="shared" si="1"/>
        <v>1471.605</v>
      </c>
      <c r="E20" s="12">
        <v>0.85699999999999998</v>
      </c>
      <c r="F20" s="12">
        <f t="shared" si="2"/>
        <v>0.94858778625954199</v>
      </c>
      <c r="G20" s="6" t="s">
        <v>92</v>
      </c>
      <c r="H20" s="7">
        <f t="shared" si="0"/>
        <v>1551.3640606767794</v>
      </c>
      <c r="I20" s="9" t="s">
        <v>15</v>
      </c>
      <c r="J20" s="2"/>
      <c r="K20" s="2"/>
      <c r="L20" s="2"/>
      <c r="M20" s="2"/>
    </row>
    <row r="21" spans="1:13" x14ac:dyDescent="0.3">
      <c r="B21" s="38" t="s">
        <v>84</v>
      </c>
      <c r="C21" s="39">
        <v>600</v>
      </c>
      <c r="D21" s="26">
        <f t="shared" si="1"/>
        <v>5886.42</v>
      </c>
      <c r="E21" s="25">
        <v>0.85599999999999998</v>
      </c>
      <c r="F21" s="25">
        <f t="shared" si="2"/>
        <v>0.9474809160305343</v>
      </c>
      <c r="G21" s="19" t="s">
        <v>92</v>
      </c>
      <c r="H21" s="26">
        <f t="shared" si="0"/>
        <v>6212.705607476636</v>
      </c>
      <c r="I21" s="18" t="s">
        <v>16</v>
      </c>
      <c r="J21" s="26"/>
      <c r="K21" s="26"/>
      <c r="L21" s="26"/>
      <c r="M21" s="26"/>
    </row>
    <row r="22" spans="1:13" x14ac:dyDescent="0.3">
      <c r="B22" s="1" t="s">
        <v>83</v>
      </c>
      <c r="C22" s="9">
        <f>$C23*0.25</f>
        <v>175</v>
      </c>
      <c r="D22" s="7">
        <f t="shared" si="1"/>
        <v>1716.8725000000002</v>
      </c>
      <c r="E22" s="12">
        <v>0.85699999999999998</v>
      </c>
      <c r="F22" s="12">
        <f t="shared" si="2"/>
        <v>0.94858778625954199</v>
      </c>
      <c r="G22" s="6" t="s">
        <v>92</v>
      </c>
      <c r="H22" s="7">
        <f t="shared" si="0"/>
        <v>1809.9247374562428</v>
      </c>
      <c r="I22" s="9" t="s">
        <v>15</v>
      </c>
      <c r="J22" s="2"/>
      <c r="K22" s="2"/>
      <c r="L22" s="2"/>
      <c r="M22" s="2"/>
    </row>
    <row r="23" spans="1:13" x14ac:dyDescent="0.3">
      <c r="B23" s="38" t="s">
        <v>84</v>
      </c>
      <c r="C23" s="39">
        <v>700</v>
      </c>
      <c r="D23" s="26">
        <f t="shared" si="1"/>
        <v>6867.4900000000007</v>
      </c>
      <c r="E23" s="25">
        <v>0.85699999999999998</v>
      </c>
      <c r="F23" s="25">
        <f t="shared" si="2"/>
        <v>0.94858778625954199</v>
      </c>
      <c r="G23" s="19" t="s">
        <v>92</v>
      </c>
      <c r="H23" s="26">
        <f t="shared" si="0"/>
        <v>7239.6989498249714</v>
      </c>
      <c r="I23" s="18" t="s">
        <v>16</v>
      </c>
      <c r="J23" s="26"/>
      <c r="K23" s="26"/>
      <c r="L23" s="26"/>
      <c r="M23" s="26"/>
    </row>
    <row r="24" spans="1:13" x14ac:dyDescent="0.3">
      <c r="B24" s="1" t="s">
        <v>83</v>
      </c>
      <c r="C24" s="9">
        <f>$C25*0.25</f>
        <v>200</v>
      </c>
      <c r="D24" s="7">
        <f t="shared" si="1"/>
        <v>1962.14</v>
      </c>
      <c r="E24" s="12">
        <v>0.85799999999999998</v>
      </c>
      <c r="F24" s="12">
        <f t="shared" si="2"/>
        <v>0.94969465648854956</v>
      </c>
      <c r="G24" s="6" t="s">
        <v>92</v>
      </c>
      <c r="H24" s="7">
        <f t="shared" si="0"/>
        <v>2066.0745920745921</v>
      </c>
      <c r="I24" s="9" t="s">
        <v>15</v>
      </c>
      <c r="J24" s="2" t="s">
        <v>378</v>
      </c>
      <c r="K24" s="2" t="s">
        <v>379</v>
      </c>
      <c r="L24" s="2" t="s">
        <v>380</v>
      </c>
      <c r="M24" s="2" t="s">
        <v>381</v>
      </c>
    </row>
    <row r="25" spans="1:13" x14ac:dyDescent="0.3">
      <c r="B25" s="38" t="s">
        <v>84</v>
      </c>
      <c r="C25" s="39">
        <v>800</v>
      </c>
      <c r="D25" s="26">
        <f t="shared" si="1"/>
        <v>7848.56</v>
      </c>
      <c r="E25" s="25">
        <v>0.85599999999999998</v>
      </c>
      <c r="F25" s="25">
        <f t="shared" si="2"/>
        <v>0.9474809160305343</v>
      </c>
      <c r="G25" s="19" t="s">
        <v>92</v>
      </c>
      <c r="H25" s="26">
        <f t="shared" si="0"/>
        <v>8283.6074766355141</v>
      </c>
      <c r="I25" s="18" t="s">
        <v>16</v>
      </c>
      <c r="J25" s="26">
        <f>K25/F24</f>
        <v>7897.2751386544496</v>
      </c>
      <c r="K25" s="26">
        <f>M25*D24/D25</f>
        <v>7500</v>
      </c>
      <c r="L25" s="26">
        <f>M25/F25</f>
        <v>31662.90686432485</v>
      </c>
      <c r="M25" s="26">
        <v>30000</v>
      </c>
    </row>
    <row r="26" spans="1:13" x14ac:dyDescent="0.3">
      <c r="F26" s="53"/>
    </row>
    <row r="27" spans="1:13" x14ac:dyDescent="0.3">
      <c r="B27" t="s">
        <v>1</v>
      </c>
      <c r="C27" t="s">
        <v>4</v>
      </c>
    </row>
    <row r="28" spans="1:13" x14ac:dyDescent="0.3">
      <c r="A28" t="s">
        <v>86</v>
      </c>
      <c r="B28" t="s">
        <v>88</v>
      </c>
      <c r="C28" s="4" t="s">
        <v>87</v>
      </c>
      <c r="D28" s="4"/>
      <c r="E28" s="4"/>
      <c r="G28" t="s">
        <v>91</v>
      </c>
    </row>
    <row r="29" spans="1:13" x14ac:dyDescent="0.3">
      <c r="A29" t="s">
        <v>89</v>
      </c>
      <c r="B29" t="s">
        <v>88</v>
      </c>
      <c r="C29" s="40" t="s">
        <v>90</v>
      </c>
      <c r="D29" s="4"/>
    </row>
    <row r="30" spans="1:13" x14ac:dyDescent="0.3">
      <c r="A30" t="s">
        <v>229</v>
      </c>
      <c r="B30" t="s">
        <v>230</v>
      </c>
      <c r="C30" s="40" t="s">
        <v>231</v>
      </c>
      <c r="D30" s="4"/>
    </row>
    <row r="31" spans="1:13" x14ac:dyDescent="0.3">
      <c r="C31" s="40"/>
      <c r="D31" s="4"/>
    </row>
    <row r="32" spans="1:13" x14ac:dyDescent="0.3">
      <c r="E32" s="10" t="s">
        <v>18</v>
      </c>
      <c r="F32" s="10" t="s">
        <v>18</v>
      </c>
      <c r="G32" s="10" t="s">
        <v>18</v>
      </c>
    </row>
    <row r="33" spans="2:7" x14ac:dyDescent="0.3">
      <c r="B33" s="2" t="s">
        <v>13</v>
      </c>
      <c r="C33" s="2" t="s">
        <v>12</v>
      </c>
      <c r="D33" s="2" t="s">
        <v>25</v>
      </c>
      <c r="E33" s="2" t="s">
        <v>17</v>
      </c>
      <c r="F33" s="2" t="s">
        <v>22</v>
      </c>
      <c r="G33" s="2" t="s">
        <v>23</v>
      </c>
    </row>
    <row r="34" spans="2:7" x14ac:dyDescent="0.3">
      <c r="B34" s="9" t="s">
        <v>15</v>
      </c>
      <c r="C34" s="9">
        <f>$D3</f>
        <v>981.07</v>
      </c>
      <c r="D34" s="7">
        <f t="shared" ref="D34:D57" si="3">$H2</f>
        <v>262.54324644549763</v>
      </c>
      <c r="E34" s="7">
        <f t="shared" ref="E34:E57" si="4">$D34*$F2</f>
        <v>245.26750000000001</v>
      </c>
      <c r="F34" s="9">
        <f>$B$60*$D34+$C$60*$C34+$D$60</f>
        <v>226.2050007804215</v>
      </c>
      <c r="G34" s="20">
        <f t="shared" ref="G34:G57" si="5">($E34-$F34)/$E34</f>
        <v>7.7721260336483688E-2</v>
      </c>
    </row>
    <row r="35" spans="2:7" x14ac:dyDescent="0.3">
      <c r="B35" s="18" t="s">
        <v>16</v>
      </c>
      <c r="C35" s="18">
        <f>$D3</f>
        <v>981.07</v>
      </c>
      <c r="D35" s="26">
        <f t="shared" si="3"/>
        <v>1050.1729857819905</v>
      </c>
      <c r="E35" s="26">
        <f t="shared" si="4"/>
        <v>981.07</v>
      </c>
      <c r="F35" s="18">
        <f>$B$60*$D35+$C$60*$C35+$D$60</f>
        <v>968.55847397532318</v>
      </c>
      <c r="G35" s="20">
        <f t="shared" si="5"/>
        <v>1.2752939163033085E-2</v>
      </c>
    </row>
    <row r="36" spans="2:7" x14ac:dyDescent="0.3">
      <c r="B36" s="9" t="s">
        <v>15</v>
      </c>
      <c r="C36" s="9">
        <f>$D5</f>
        <v>1226.3375000000001</v>
      </c>
      <c r="D36" s="7">
        <f t="shared" si="3"/>
        <v>332.51275510204084</v>
      </c>
      <c r="E36" s="7">
        <f t="shared" si="4"/>
        <v>306.58437500000002</v>
      </c>
      <c r="F36" s="9">
        <f t="shared" ref="F36:F57" si="6">$B$60*$D36+$C$60*$C36+$D$60</f>
        <v>293.80068809937853</v>
      </c>
      <c r="G36" s="20">
        <f t="shared" si="5"/>
        <v>4.1697124651644393E-2</v>
      </c>
    </row>
    <row r="37" spans="2:7" x14ac:dyDescent="0.3">
      <c r="B37" s="18" t="s">
        <v>16</v>
      </c>
      <c r="C37" s="18">
        <f>$D5</f>
        <v>1226.3375000000001</v>
      </c>
      <c r="D37" s="26">
        <f t="shared" si="3"/>
        <v>1331.6496394230769</v>
      </c>
      <c r="E37" s="26">
        <f t="shared" si="4"/>
        <v>1226.3375000000001</v>
      </c>
      <c r="F37" s="18">
        <f t="shared" si="6"/>
        <v>1235.5029870725991</v>
      </c>
      <c r="G37" s="20">
        <f t="shared" si="5"/>
        <v>-7.4738700175107052E-3</v>
      </c>
    </row>
    <row r="38" spans="2:7" x14ac:dyDescent="0.3">
      <c r="B38" s="9" t="s">
        <v>15</v>
      </c>
      <c r="C38" s="9">
        <f>$D7</f>
        <v>1471.605</v>
      </c>
      <c r="D38" s="7">
        <f t="shared" si="3"/>
        <v>393.81486966824644</v>
      </c>
      <c r="E38" s="7">
        <f t="shared" si="4"/>
        <v>367.90125</v>
      </c>
      <c r="F38" s="9">
        <f t="shared" si="6"/>
        <v>353.22721955084455</v>
      </c>
      <c r="G38" s="20">
        <f t="shared" si="5"/>
        <v>3.9885785789408032E-2</v>
      </c>
    </row>
    <row r="39" spans="2:7" x14ac:dyDescent="0.3">
      <c r="B39" s="18" t="s">
        <v>16</v>
      </c>
      <c r="C39" s="18">
        <f>$D7</f>
        <v>1471.605</v>
      </c>
      <c r="D39" s="26">
        <f t="shared" si="3"/>
        <v>1577.1281138790036</v>
      </c>
      <c r="E39" s="26">
        <f t="shared" si="4"/>
        <v>1471.605</v>
      </c>
      <c r="F39" s="18">
        <f t="shared" si="6"/>
        <v>1468.5186475476928</v>
      </c>
      <c r="G39" s="20">
        <f t="shared" si="5"/>
        <v>2.097269615356845E-3</v>
      </c>
    </row>
    <row r="40" spans="2:7" x14ac:dyDescent="0.3">
      <c r="B40" s="9" t="s">
        <v>15</v>
      </c>
      <c r="C40" s="9">
        <f>$D9</f>
        <v>1962.14</v>
      </c>
      <c r="D40" s="7">
        <f t="shared" si="3"/>
        <v>521.38</v>
      </c>
      <c r="E40" s="7">
        <f t="shared" si="4"/>
        <v>490.53499999999997</v>
      </c>
      <c r="F40" s="9">
        <f t="shared" si="6"/>
        <v>476.75601021211514</v>
      </c>
      <c r="G40" s="20">
        <f t="shared" si="5"/>
        <v>2.8089717936303885E-2</v>
      </c>
    </row>
    <row r="41" spans="2:7" x14ac:dyDescent="0.3">
      <c r="B41" s="18" t="s">
        <v>16</v>
      </c>
      <c r="C41" s="18">
        <f>$D9</f>
        <v>1962.14</v>
      </c>
      <c r="D41" s="26">
        <f t="shared" si="3"/>
        <v>2087.9764428739695</v>
      </c>
      <c r="E41" s="26">
        <f t="shared" si="4"/>
        <v>1962.14</v>
      </c>
      <c r="F41" s="18">
        <f t="shared" si="6"/>
        <v>1953.2979084928552</v>
      </c>
      <c r="G41" s="20">
        <f t="shared" si="5"/>
        <v>4.5063509775780091E-3</v>
      </c>
    </row>
    <row r="42" spans="2:7" x14ac:dyDescent="0.3">
      <c r="B42" s="9" t="s">
        <v>15</v>
      </c>
      <c r="C42" s="9">
        <f>$D11</f>
        <v>2452.6750000000002</v>
      </c>
      <c r="D42" s="7">
        <f t="shared" si="3"/>
        <v>651.72500000000002</v>
      </c>
      <c r="E42" s="7">
        <f t="shared" si="4"/>
        <v>613.16875000000005</v>
      </c>
      <c r="F42" s="9">
        <f t="shared" si="6"/>
        <v>602.90487195525009</v>
      </c>
      <c r="G42" s="20">
        <f t="shared" si="5"/>
        <v>1.6739075572181326E-2</v>
      </c>
    </row>
    <row r="43" spans="2:7" x14ac:dyDescent="0.3">
      <c r="B43" s="18" t="s">
        <v>16</v>
      </c>
      <c r="C43" s="18">
        <f>$D11</f>
        <v>2452.6750000000002</v>
      </c>
      <c r="D43" s="26">
        <f t="shared" si="3"/>
        <v>2660.1020408163267</v>
      </c>
      <c r="E43" s="26">
        <f t="shared" si="4"/>
        <v>2452.6750000000002</v>
      </c>
      <c r="F43" s="18">
        <f t="shared" si="6"/>
        <v>2495.8319635489088</v>
      </c>
      <c r="G43" s="20">
        <f t="shared" si="5"/>
        <v>-1.7595875339744809E-2</v>
      </c>
    </row>
    <row r="44" spans="2:7" x14ac:dyDescent="0.3">
      <c r="B44" s="9" t="s">
        <v>15</v>
      </c>
      <c r="C44" s="9">
        <f>$D13</f>
        <v>2943.21</v>
      </c>
      <c r="D44" s="7">
        <f t="shared" si="3"/>
        <v>779.3194607268465</v>
      </c>
      <c r="E44" s="7">
        <f t="shared" si="4"/>
        <v>735.80250000000001</v>
      </c>
      <c r="F44" s="9">
        <f t="shared" si="6"/>
        <v>726.46130697729063</v>
      </c>
      <c r="G44" s="20">
        <f t="shared" si="5"/>
        <v>1.2695245018478974E-2</v>
      </c>
    </row>
    <row r="45" spans="2:7" x14ac:dyDescent="0.3">
      <c r="B45" s="18" t="s">
        <v>16</v>
      </c>
      <c r="C45" s="18">
        <f>$D13</f>
        <v>2943.21</v>
      </c>
      <c r="D45" s="26">
        <f t="shared" si="3"/>
        <v>3169.2943980929681</v>
      </c>
      <c r="E45" s="26">
        <f t="shared" si="4"/>
        <v>2943.21</v>
      </c>
      <c r="F45" s="18">
        <f t="shared" si="6"/>
        <v>2979.0504449866262</v>
      </c>
      <c r="G45" s="20">
        <f t="shared" si="5"/>
        <v>-1.21773318881854E-2</v>
      </c>
    </row>
    <row r="46" spans="2:7" x14ac:dyDescent="0.3">
      <c r="B46" s="9" t="s">
        <v>15</v>
      </c>
      <c r="C46" s="9">
        <f>$D15</f>
        <v>3433.7450000000003</v>
      </c>
      <c r="D46" s="7">
        <f t="shared" si="3"/>
        <v>909.20603751465433</v>
      </c>
      <c r="E46" s="7">
        <f t="shared" si="4"/>
        <v>858.43625000000009</v>
      </c>
      <c r="F46" s="9">
        <f t="shared" si="6"/>
        <v>852.1780976002434</v>
      </c>
      <c r="G46" s="20">
        <f t="shared" si="5"/>
        <v>7.2901772260394191E-3</v>
      </c>
    </row>
    <row r="47" spans="2:7" x14ac:dyDescent="0.3">
      <c r="B47" s="18" t="s">
        <v>16</v>
      </c>
      <c r="C47" s="18">
        <f>$D15</f>
        <v>3433.7450000000003</v>
      </c>
      <c r="D47" s="26">
        <f t="shared" si="3"/>
        <v>3671.2556213017756</v>
      </c>
      <c r="E47" s="26">
        <f t="shared" si="4"/>
        <v>3433.7450000000003</v>
      </c>
      <c r="F47" s="18">
        <f t="shared" si="6"/>
        <v>3455.4534683197307</v>
      </c>
      <c r="G47" s="20">
        <f t="shared" si="5"/>
        <v>-6.3220968125852085E-3</v>
      </c>
    </row>
    <row r="48" spans="2:7" x14ac:dyDescent="0.3">
      <c r="B48" s="9" t="s">
        <v>15</v>
      </c>
      <c r="C48" s="9">
        <f>$D17</f>
        <v>3924.28</v>
      </c>
      <c r="D48" s="7">
        <f t="shared" si="3"/>
        <v>1048.9301775147931</v>
      </c>
      <c r="E48" s="7">
        <f t="shared" si="4"/>
        <v>981.07</v>
      </c>
      <c r="F48" s="9">
        <f t="shared" si="6"/>
        <v>987.16694697582807</v>
      </c>
      <c r="G48" s="20">
        <f t="shared" si="5"/>
        <v>-6.2145891484073693E-3</v>
      </c>
    </row>
    <row r="49" spans="2:7" x14ac:dyDescent="0.3">
      <c r="B49" s="18" t="s">
        <v>16</v>
      </c>
      <c r="C49" s="18">
        <f>$D17</f>
        <v>3924.28</v>
      </c>
      <c r="D49" s="26">
        <f t="shared" si="3"/>
        <v>4200.6919431279621</v>
      </c>
      <c r="E49" s="26">
        <f t="shared" si="4"/>
        <v>3924.28</v>
      </c>
      <c r="F49" s="18">
        <f t="shared" si="6"/>
        <v>3957.7522061825666</v>
      </c>
      <c r="G49" s="20">
        <f t="shared" si="5"/>
        <v>-8.5295152696969693E-3</v>
      </c>
    </row>
    <row r="50" spans="2:7" x14ac:dyDescent="0.3">
      <c r="B50" s="9" t="s">
        <v>15</v>
      </c>
      <c r="C50" s="9">
        <f>$D19</f>
        <v>4905.3500000000004</v>
      </c>
      <c r="D50" s="7">
        <f t="shared" si="3"/>
        <v>1295.8274853801172</v>
      </c>
      <c r="E50" s="7">
        <f t="shared" si="4"/>
        <v>1226.3375000000001</v>
      </c>
      <c r="F50" s="9">
        <f t="shared" si="6"/>
        <v>1226.4648402125315</v>
      </c>
      <c r="G50" s="20">
        <f t="shared" si="5"/>
        <v>-1.0383781995691056E-4</v>
      </c>
    </row>
    <row r="51" spans="2:7" x14ac:dyDescent="0.3">
      <c r="B51" s="18" t="s">
        <v>16</v>
      </c>
      <c r="C51" s="18">
        <f>$D19</f>
        <v>4905.3500000000004</v>
      </c>
      <c r="D51" s="26">
        <f t="shared" si="3"/>
        <v>5201.5610328638504</v>
      </c>
      <c r="E51" s="26">
        <f t="shared" si="4"/>
        <v>4905.3500000000004</v>
      </c>
      <c r="F51" s="18">
        <f t="shared" si="6"/>
        <v>4907.6804159358489</v>
      </c>
      <c r="G51" s="20">
        <f t="shared" si="5"/>
        <v>-4.7507638310183319E-4</v>
      </c>
    </row>
    <row r="52" spans="2:7" x14ac:dyDescent="0.3">
      <c r="B52" s="9" t="s">
        <v>15</v>
      </c>
      <c r="C52" s="9">
        <f>$D21</f>
        <v>5886.42</v>
      </c>
      <c r="D52" s="7">
        <f t="shared" si="3"/>
        <v>1551.3640606767794</v>
      </c>
      <c r="E52" s="7">
        <f t="shared" si="4"/>
        <v>1471.605</v>
      </c>
      <c r="F52" s="9">
        <f t="shared" si="6"/>
        <v>1473.9053794962419</v>
      </c>
      <c r="G52" s="20">
        <f t="shared" si="5"/>
        <v>-1.5631772766754193E-3</v>
      </c>
    </row>
    <row r="53" spans="2:7" x14ac:dyDescent="0.3">
      <c r="B53" s="18" t="s">
        <v>16</v>
      </c>
      <c r="C53" s="18">
        <f>$D21</f>
        <v>5886.42</v>
      </c>
      <c r="D53" s="26">
        <f t="shared" si="3"/>
        <v>6212.705607476636</v>
      </c>
      <c r="E53" s="26">
        <f t="shared" si="4"/>
        <v>5886.42</v>
      </c>
      <c r="F53" s="18">
        <f t="shared" si="6"/>
        <v>5867.2934325294009</v>
      </c>
      <c r="G53" s="20">
        <f t="shared" si="5"/>
        <v>3.2492699247758713E-3</v>
      </c>
    </row>
    <row r="54" spans="2:7" x14ac:dyDescent="0.3">
      <c r="B54" s="9" t="s">
        <v>15</v>
      </c>
      <c r="C54" s="9">
        <f>$D23</f>
        <v>6867.4900000000007</v>
      </c>
      <c r="D54" s="7">
        <f t="shared" si="3"/>
        <v>1809.9247374562428</v>
      </c>
      <c r="E54" s="7">
        <f t="shared" si="4"/>
        <v>1716.8725000000002</v>
      </c>
      <c r="F54" s="9">
        <f t="shared" si="6"/>
        <v>1724.1961822056867</v>
      </c>
      <c r="G54" s="20">
        <f t="shared" si="5"/>
        <v>-4.2657111728951966E-3</v>
      </c>
    </row>
    <row r="55" spans="2:7" x14ac:dyDescent="0.3">
      <c r="B55" s="18" t="s">
        <v>16</v>
      </c>
      <c r="C55" s="18">
        <f>$D23</f>
        <v>6867.4900000000007</v>
      </c>
      <c r="D55" s="26">
        <f t="shared" si="3"/>
        <v>7239.6989498249714</v>
      </c>
      <c r="E55" s="26">
        <f t="shared" si="4"/>
        <v>6867.4900000000007</v>
      </c>
      <c r="F55" s="18">
        <f t="shared" si="6"/>
        <v>6841.8441631105634</v>
      </c>
      <c r="G55" s="20">
        <f t="shared" si="5"/>
        <v>3.7343828515858492E-3</v>
      </c>
    </row>
    <row r="56" spans="2:7" x14ac:dyDescent="0.3">
      <c r="B56" s="9" t="s">
        <v>15</v>
      </c>
      <c r="C56" s="9">
        <f>$D25</f>
        <v>7848.56</v>
      </c>
      <c r="D56" s="7">
        <f t="shared" si="3"/>
        <v>2066.0745920745921</v>
      </c>
      <c r="E56" s="7">
        <f t="shared" si="4"/>
        <v>1962.1399999999999</v>
      </c>
      <c r="F56" s="9">
        <f t="shared" si="6"/>
        <v>1972.2147469393713</v>
      </c>
      <c r="G56" s="20">
        <f t="shared" si="5"/>
        <v>-5.1345708967613837E-3</v>
      </c>
    </row>
    <row r="57" spans="2:7" x14ac:dyDescent="0.3">
      <c r="B57" s="18" t="s">
        <v>16</v>
      </c>
      <c r="C57" s="18">
        <f>$D25</f>
        <v>7848.56</v>
      </c>
      <c r="D57" s="26">
        <f t="shared" si="3"/>
        <v>8283.6074766355141</v>
      </c>
      <c r="E57" s="26">
        <f t="shared" si="4"/>
        <v>7848.5599999999995</v>
      </c>
      <c r="F57" s="18">
        <f t="shared" si="6"/>
        <v>7832.3377222926756</v>
      </c>
      <c r="G57" s="20">
        <f t="shared" si="5"/>
        <v>2.0669113451797379E-3</v>
      </c>
    </row>
    <row r="59" spans="2:7" x14ac:dyDescent="0.3">
      <c r="B59" t="s">
        <v>19</v>
      </c>
      <c r="C59" t="s">
        <v>20</v>
      </c>
      <c r="D59" t="s">
        <v>21</v>
      </c>
    </row>
    <row r="60" spans="2:7" x14ac:dyDescent="0.3">
      <c r="B60" cm="1">
        <f t="array" ref="B60:D60">LINEST(E34:E57,C34:D57)</f>
        <v>0.94251579913712702</v>
      </c>
      <c r="C60">
        <v>6.7204988524898869E-3</v>
      </c>
      <c r="D60">
        <v>-27.839436760424633</v>
      </c>
    </row>
    <row r="62" spans="2:7" x14ac:dyDescent="0.3">
      <c r="B62" s="2" t="s">
        <v>416</v>
      </c>
      <c r="C62" s="57">
        <v>0.25</v>
      </c>
    </row>
    <row r="63" spans="2:7" x14ac:dyDescent="0.3">
      <c r="B63" s="2" t="s">
        <v>415</v>
      </c>
      <c r="C63" s="57">
        <v>1</v>
      </c>
    </row>
    <row r="65" spans="2:7" x14ac:dyDescent="0.3">
      <c r="B65" t="s">
        <v>417</v>
      </c>
    </row>
    <row r="67" spans="2:7" x14ac:dyDescent="0.3">
      <c r="B67" s="2" t="s">
        <v>378</v>
      </c>
      <c r="C67" s="2" t="s">
        <v>379</v>
      </c>
      <c r="F67" s="2" t="s">
        <v>380</v>
      </c>
      <c r="G67" s="2" t="s">
        <v>381</v>
      </c>
    </row>
    <row r="68" spans="2:7" x14ac:dyDescent="0.3">
      <c r="B68">
        <f>C62</f>
        <v>0.25</v>
      </c>
      <c r="C68" s="67">
        <f>B60*C62+C60</f>
        <v>0.24234944863677163</v>
      </c>
      <c r="D68" s="67"/>
      <c r="F68">
        <f>C63</f>
        <v>1</v>
      </c>
      <c r="G68" s="67">
        <f>B60*C63+C60</f>
        <v>0.94923629798961695</v>
      </c>
    </row>
    <row r="98" spans="1:7" x14ac:dyDescent="0.3">
      <c r="F98" s="10" t="s">
        <v>18</v>
      </c>
      <c r="G98" s="10" t="s">
        <v>18</v>
      </c>
    </row>
    <row r="99" spans="1:7" x14ac:dyDescent="0.3">
      <c r="B99" s="10" t="s">
        <v>82</v>
      </c>
      <c r="C99" s="3" t="s">
        <v>0</v>
      </c>
      <c r="D99" s="2" t="s">
        <v>233</v>
      </c>
      <c r="E99" s="2" t="s">
        <v>24</v>
      </c>
      <c r="F99" s="2" t="s">
        <v>22</v>
      </c>
      <c r="G99" s="2" t="s">
        <v>23</v>
      </c>
    </row>
    <row r="100" spans="1:7" x14ac:dyDescent="0.3">
      <c r="A100" s="69" t="s">
        <v>421</v>
      </c>
      <c r="B100" s="1" t="s">
        <v>15</v>
      </c>
      <c r="C100" s="7">
        <v>245.26750000000001</v>
      </c>
      <c r="D100" s="12">
        <v>0.93419847328244277</v>
      </c>
      <c r="E100" s="7">
        <v>262.54324644549763</v>
      </c>
      <c r="F100" s="9">
        <v>226.2050007804215</v>
      </c>
      <c r="G100" s="20">
        <v>7.7721260336483688E-2</v>
      </c>
    </row>
    <row r="101" spans="1:7" x14ac:dyDescent="0.3">
      <c r="A101" s="70"/>
      <c r="B101" s="38" t="s">
        <v>420</v>
      </c>
      <c r="C101" s="26">
        <v>981.07</v>
      </c>
      <c r="D101" s="25">
        <v>0.93419847328244277</v>
      </c>
      <c r="E101" s="26">
        <v>1050.1729857819905</v>
      </c>
      <c r="F101" s="18">
        <v>968.55847397532318</v>
      </c>
      <c r="G101" s="20">
        <v>1.2752939163033085E-2</v>
      </c>
    </row>
    <row r="102" spans="1:7" x14ac:dyDescent="0.3">
      <c r="A102" s="69" t="s">
        <v>421</v>
      </c>
      <c r="B102" s="1" t="s">
        <v>15</v>
      </c>
      <c r="C102" s="7">
        <v>306.58437500000002</v>
      </c>
      <c r="D102" s="12">
        <v>0.9220229007633588</v>
      </c>
      <c r="E102" s="7">
        <v>332.51275510204084</v>
      </c>
      <c r="F102" s="9">
        <v>293.80068809937853</v>
      </c>
      <c r="G102" s="20">
        <v>4.1697124651644393E-2</v>
      </c>
    </row>
    <row r="103" spans="1:7" x14ac:dyDescent="0.3">
      <c r="A103" s="70"/>
      <c r="B103" s="38" t="s">
        <v>420</v>
      </c>
      <c r="C103" s="26">
        <v>1226.3375000000001</v>
      </c>
      <c r="D103" s="25">
        <v>0.92091603053435123</v>
      </c>
      <c r="E103" s="26">
        <v>1331.6496394230769</v>
      </c>
      <c r="F103" s="18">
        <v>1235.5029870725991</v>
      </c>
      <c r="G103" s="20">
        <v>-7.4738700175107052E-3</v>
      </c>
    </row>
    <row r="104" spans="1:7" x14ac:dyDescent="0.3">
      <c r="A104" s="69" t="s">
        <v>421</v>
      </c>
      <c r="B104" s="1" t="s">
        <v>15</v>
      </c>
      <c r="C104" s="7">
        <v>367.90125</v>
      </c>
      <c r="D104" s="12">
        <v>0.93419847328244277</v>
      </c>
      <c r="E104" s="7">
        <v>393.81486966824644</v>
      </c>
      <c r="F104" s="9">
        <v>353.22721955084455</v>
      </c>
      <c r="G104" s="20">
        <v>3.9885785789408032E-2</v>
      </c>
    </row>
    <row r="105" spans="1:7" x14ac:dyDescent="0.3">
      <c r="A105" s="70"/>
      <c r="B105" s="38" t="s">
        <v>420</v>
      </c>
      <c r="C105" s="26">
        <v>1471.605</v>
      </c>
      <c r="D105" s="25">
        <v>0.93309160305343508</v>
      </c>
      <c r="E105" s="26">
        <v>1577.1281138790036</v>
      </c>
      <c r="F105" s="18">
        <v>1468.5186475476928</v>
      </c>
      <c r="G105" s="20">
        <v>2.097269615356845E-3</v>
      </c>
    </row>
    <row r="106" spans="1:7" x14ac:dyDescent="0.3">
      <c r="A106" s="69" t="s">
        <v>421</v>
      </c>
      <c r="B106" s="1" t="s">
        <v>15</v>
      </c>
      <c r="C106" s="7">
        <v>490.53500000000003</v>
      </c>
      <c r="D106" s="12">
        <v>0.94083969465648853</v>
      </c>
      <c r="E106" s="7">
        <v>521.38</v>
      </c>
      <c r="F106" s="9">
        <v>476.75601021211514</v>
      </c>
      <c r="G106" s="20">
        <v>2.8089717936303885E-2</v>
      </c>
    </row>
    <row r="107" spans="1:7" x14ac:dyDescent="0.3">
      <c r="A107" s="70"/>
      <c r="B107" s="38" t="s">
        <v>420</v>
      </c>
      <c r="C107" s="26">
        <v>1962.14</v>
      </c>
      <c r="D107" s="25">
        <v>0.93973282442748085</v>
      </c>
      <c r="E107" s="26">
        <v>2087.9764428739695</v>
      </c>
      <c r="F107" s="18">
        <v>1953.2979084928552</v>
      </c>
      <c r="G107" s="20">
        <v>4.5063509775780091E-3</v>
      </c>
    </row>
    <row r="108" spans="1:7" x14ac:dyDescent="0.3">
      <c r="A108" s="69" t="s">
        <v>421</v>
      </c>
      <c r="B108" s="1" t="s">
        <v>15</v>
      </c>
      <c r="C108" s="7">
        <v>613.16875000000005</v>
      </c>
      <c r="D108" s="12">
        <v>0.94083969465648853</v>
      </c>
      <c r="E108" s="7">
        <v>651.72500000000002</v>
      </c>
      <c r="F108" s="9">
        <v>602.90487195525009</v>
      </c>
      <c r="G108" s="20">
        <v>1.6739075572181326E-2</v>
      </c>
    </row>
    <row r="109" spans="1:7" x14ac:dyDescent="0.3">
      <c r="A109" s="70"/>
      <c r="B109" s="38" t="s">
        <v>420</v>
      </c>
      <c r="C109" s="26">
        <v>2452.6750000000002</v>
      </c>
      <c r="D109" s="25">
        <v>0.9220229007633588</v>
      </c>
      <c r="E109" s="26">
        <v>2660.1020408163267</v>
      </c>
      <c r="F109" s="18">
        <v>2495.8319635489088</v>
      </c>
      <c r="G109" s="20">
        <v>-1.7595875339744809E-2</v>
      </c>
    </row>
    <row r="110" spans="1:7" x14ac:dyDescent="0.3">
      <c r="A110" s="69" t="s">
        <v>421</v>
      </c>
      <c r="B110" s="1" t="s">
        <v>15</v>
      </c>
      <c r="C110" s="7">
        <v>735.80250000000001</v>
      </c>
      <c r="D110" s="12">
        <v>0.94416030534351136</v>
      </c>
      <c r="E110" s="7">
        <v>779.3194607268465</v>
      </c>
      <c r="F110" s="9">
        <v>726.46130697729063</v>
      </c>
      <c r="G110" s="20">
        <v>1.2695245018478974E-2</v>
      </c>
    </row>
    <row r="111" spans="1:7" x14ac:dyDescent="0.3">
      <c r="A111" s="70"/>
      <c r="B111" s="38" t="s">
        <v>420</v>
      </c>
      <c r="C111" s="26">
        <v>2943.21</v>
      </c>
      <c r="D111" s="25">
        <v>0.92866412213740457</v>
      </c>
      <c r="E111" s="26">
        <v>3169.2943980929681</v>
      </c>
      <c r="F111" s="18">
        <v>2979.0504449866262</v>
      </c>
      <c r="G111" s="20">
        <v>-1.21773318881854E-2</v>
      </c>
    </row>
    <row r="112" spans="1:7" x14ac:dyDescent="0.3">
      <c r="A112" s="69" t="s">
        <v>421</v>
      </c>
      <c r="B112" s="1" t="s">
        <v>15</v>
      </c>
      <c r="C112" s="7">
        <v>858.43625000000009</v>
      </c>
      <c r="D112" s="12">
        <v>0.94416030534351136</v>
      </c>
      <c r="E112" s="7">
        <v>909.20603751465433</v>
      </c>
      <c r="F112" s="9">
        <v>852.1780976002434</v>
      </c>
      <c r="G112" s="20">
        <v>7.2901772260394191E-3</v>
      </c>
    </row>
    <row r="113" spans="1:7" x14ac:dyDescent="0.3">
      <c r="A113" s="70"/>
      <c r="B113" s="38" t="s">
        <v>420</v>
      </c>
      <c r="C113" s="26">
        <v>3433.7450000000003</v>
      </c>
      <c r="D113" s="25">
        <v>0.93530534351145034</v>
      </c>
      <c r="E113" s="26">
        <v>3671.2556213017756</v>
      </c>
      <c r="F113" s="18">
        <v>3455.4534683197307</v>
      </c>
      <c r="G113" s="20">
        <v>-6.3220968125852085E-3</v>
      </c>
    </row>
    <row r="114" spans="1:7" x14ac:dyDescent="0.3">
      <c r="A114" s="69" t="s">
        <v>421</v>
      </c>
      <c r="B114" s="1" t="s">
        <v>15</v>
      </c>
      <c r="C114" s="7">
        <v>981.07</v>
      </c>
      <c r="D114" s="12">
        <v>0.93530534351145034</v>
      </c>
      <c r="E114" s="7">
        <v>1048.9301775147931</v>
      </c>
      <c r="F114" s="9">
        <v>987.16694697582807</v>
      </c>
      <c r="G114" s="20">
        <v>-6.2145891484073693E-3</v>
      </c>
    </row>
    <row r="115" spans="1:7" x14ac:dyDescent="0.3">
      <c r="A115" s="70"/>
      <c r="B115" s="38" t="s">
        <v>420</v>
      </c>
      <c r="C115" s="26">
        <v>3924.28</v>
      </c>
      <c r="D115" s="25">
        <v>0.93419847328244277</v>
      </c>
      <c r="E115" s="26">
        <v>4200.6919431279621</v>
      </c>
      <c r="F115" s="18">
        <v>3957.7522061825666</v>
      </c>
      <c r="G115" s="20">
        <v>-8.5295152696969693E-3</v>
      </c>
    </row>
    <row r="116" spans="1:7" x14ac:dyDescent="0.3">
      <c r="A116" s="69" t="s">
        <v>421</v>
      </c>
      <c r="B116" s="1" t="s">
        <v>15</v>
      </c>
      <c r="C116" s="7">
        <v>1226.3375000000001</v>
      </c>
      <c r="D116" s="12">
        <v>0.94637404580152662</v>
      </c>
      <c r="E116" s="7">
        <v>1295.8274853801172</v>
      </c>
      <c r="F116" s="9">
        <v>1226.4648402125315</v>
      </c>
      <c r="G116" s="20">
        <v>-1.0383781995691056E-4</v>
      </c>
    </row>
    <row r="117" spans="1:7" x14ac:dyDescent="0.3">
      <c r="A117" s="70"/>
      <c r="B117" s="38" t="s">
        <v>420</v>
      </c>
      <c r="C117" s="26">
        <v>4905.3500000000004</v>
      </c>
      <c r="D117" s="25">
        <v>0.94305343511450379</v>
      </c>
      <c r="E117" s="26">
        <v>5201.5610328638504</v>
      </c>
      <c r="F117" s="18">
        <v>4907.6804159358489</v>
      </c>
      <c r="G117" s="20">
        <v>-4.7507638310183319E-4</v>
      </c>
    </row>
    <row r="118" spans="1:7" x14ac:dyDescent="0.3">
      <c r="A118" s="69" t="s">
        <v>421</v>
      </c>
      <c r="B118" s="1" t="s">
        <v>15</v>
      </c>
      <c r="C118" s="7">
        <v>1471.605</v>
      </c>
      <c r="D118" s="12">
        <v>0.94858778625954199</v>
      </c>
      <c r="E118" s="7">
        <v>1551.3640606767794</v>
      </c>
      <c r="F118" s="9">
        <v>1473.9053794962419</v>
      </c>
      <c r="G118" s="20">
        <v>-1.5631772766754193E-3</v>
      </c>
    </row>
    <row r="119" spans="1:7" x14ac:dyDescent="0.3">
      <c r="A119" s="70"/>
      <c r="B119" s="38" t="s">
        <v>420</v>
      </c>
      <c r="C119" s="26">
        <v>5886.42</v>
      </c>
      <c r="D119" s="25">
        <v>0.9474809160305343</v>
      </c>
      <c r="E119" s="26">
        <v>6212.705607476636</v>
      </c>
      <c r="F119" s="18">
        <v>5867.2934325294009</v>
      </c>
      <c r="G119" s="20">
        <v>3.2492699247758713E-3</v>
      </c>
    </row>
    <row r="120" spans="1:7" x14ac:dyDescent="0.3">
      <c r="A120" s="69" t="s">
        <v>421</v>
      </c>
      <c r="B120" s="1" t="s">
        <v>15</v>
      </c>
      <c r="C120" s="7">
        <v>1716.8725000000002</v>
      </c>
      <c r="D120" s="12">
        <v>0.94858778625954199</v>
      </c>
      <c r="E120" s="7">
        <v>1809.9247374562428</v>
      </c>
      <c r="F120" s="9">
        <v>1724.1961822056867</v>
      </c>
      <c r="G120" s="20">
        <v>-4.2657111728951966E-3</v>
      </c>
    </row>
    <row r="121" spans="1:7" x14ac:dyDescent="0.3">
      <c r="A121" s="70"/>
      <c r="B121" s="38" t="s">
        <v>420</v>
      </c>
      <c r="C121" s="26">
        <v>6867.4900000000007</v>
      </c>
      <c r="D121" s="25">
        <v>0.94858778625954199</v>
      </c>
      <c r="E121" s="26">
        <v>7239.6989498249714</v>
      </c>
      <c r="F121" s="18">
        <v>6841.8441631105634</v>
      </c>
      <c r="G121" s="20">
        <v>3.7343828515858492E-3</v>
      </c>
    </row>
    <row r="122" spans="1:7" x14ac:dyDescent="0.3">
      <c r="A122" s="69" t="s">
        <v>421</v>
      </c>
      <c r="B122" s="1" t="s">
        <v>15</v>
      </c>
      <c r="C122" s="7">
        <v>1962.14</v>
      </c>
      <c r="D122" s="12">
        <v>0.94969465648854956</v>
      </c>
      <c r="E122" s="7">
        <v>2066.0745920745921</v>
      </c>
      <c r="F122" s="9">
        <v>1972.2147469393713</v>
      </c>
      <c r="G122" s="20">
        <v>-5.1345708967613837E-3</v>
      </c>
    </row>
    <row r="123" spans="1:7" x14ac:dyDescent="0.3">
      <c r="A123" s="70"/>
      <c r="B123" s="38" t="s">
        <v>420</v>
      </c>
      <c r="C123" s="26">
        <v>7848.56</v>
      </c>
      <c r="D123" s="25">
        <v>0.9474809160305343</v>
      </c>
      <c r="E123" s="26">
        <v>8283.6074766355141</v>
      </c>
      <c r="F123" s="18">
        <v>7832.3377222926756</v>
      </c>
      <c r="G123" s="20">
        <v>2.0669113451797379E-3</v>
      </c>
    </row>
  </sheetData>
  <mergeCells count="12">
    <mergeCell ref="A122:A123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</mergeCells>
  <hyperlinks>
    <hyperlink ref="C28" r:id="rId1" xr:uid="{312778EB-A891-497F-9439-1F6FAF4A5814}"/>
    <hyperlink ref="C29" r:id="rId2" xr:uid="{ED0EBAD7-52F2-4E4E-A241-3E71E264DAAD}"/>
    <hyperlink ref="C30" r:id="rId3" xr:uid="{339B25FB-B064-473E-8973-BC8C880E86CA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3BC0-4CF9-4F12-87C0-174CD74061D2}">
  <sheetPr codeName="Sheet6">
    <tabColor theme="9" tint="0.59999389629810485"/>
  </sheetPr>
  <dimension ref="B1:I53"/>
  <sheetViews>
    <sheetView workbookViewId="0">
      <selection activeCell="C53" sqref="C53"/>
    </sheetView>
  </sheetViews>
  <sheetFormatPr defaultRowHeight="14.4" x14ac:dyDescent="0.3"/>
  <cols>
    <col min="2" max="2" width="25.6640625" customWidth="1"/>
    <col min="3" max="3" width="12.77734375" customWidth="1"/>
    <col min="4" max="4" width="12.21875" customWidth="1"/>
    <col min="5" max="5" width="11.33203125" customWidth="1"/>
    <col min="6" max="6" width="11.5546875" customWidth="1"/>
    <col min="7" max="7" width="17.77734375" customWidth="1"/>
    <col min="8" max="8" width="8.88671875" customWidth="1"/>
    <col min="10" max="10" width="8.88671875" customWidth="1"/>
  </cols>
  <sheetData>
    <row r="1" spans="2:9" x14ac:dyDescent="0.3">
      <c r="C1" s="3" t="s">
        <v>85</v>
      </c>
      <c r="D1" s="3" t="s">
        <v>0</v>
      </c>
      <c r="E1" s="2" t="s">
        <v>232</v>
      </c>
      <c r="F1" s="2" t="s">
        <v>233</v>
      </c>
      <c r="G1" s="5" t="s">
        <v>11</v>
      </c>
      <c r="H1" s="2" t="s">
        <v>24</v>
      </c>
    </row>
    <row r="2" spans="2:9" x14ac:dyDescent="0.3">
      <c r="B2" s="1" t="s">
        <v>83</v>
      </c>
      <c r="C2" s="9">
        <v>25</v>
      </c>
      <c r="D2" s="7">
        <f>$C2*9.8107</f>
        <v>245.26750000000001</v>
      </c>
      <c r="E2" s="53">
        <v>0.84399999999999997</v>
      </c>
      <c r="F2" s="53">
        <f>$E2*14.5/13.1</f>
        <v>0.93419847328244277</v>
      </c>
      <c r="G2" t="s">
        <v>92</v>
      </c>
      <c r="H2" s="7">
        <f>$D2/$F2</f>
        <v>262.54324644549763</v>
      </c>
      <c r="I2" s="9" t="s">
        <v>15</v>
      </c>
    </row>
    <row r="3" spans="2:9" x14ac:dyDescent="0.3">
      <c r="B3" s="1" t="s">
        <v>83</v>
      </c>
      <c r="C3" s="9">
        <v>50</v>
      </c>
      <c r="D3" s="7">
        <f t="shared" ref="D3:D5" si="0">$C3*9.8107</f>
        <v>490.53500000000003</v>
      </c>
      <c r="E3" s="53">
        <v>0.85</v>
      </c>
      <c r="F3" s="53">
        <f t="shared" ref="F3:F5" si="1">$E3*14.5/13.1</f>
        <v>0.94083969465648853</v>
      </c>
      <c r="G3" t="s">
        <v>92</v>
      </c>
      <c r="H3" s="7">
        <f>$D3/$F3</f>
        <v>521.38</v>
      </c>
      <c r="I3" s="9" t="s">
        <v>15</v>
      </c>
    </row>
    <row r="4" spans="2:9" x14ac:dyDescent="0.3">
      <c r="B4" s="1" t="s">
        <v>83</v>
      </c>
      <c r="C4" s="9">
        <v>75</v>
      </c>
      <c r="D4" s="7">
        <f t="shared" si="0"/>
        <v>735.80250000000001</v>
      </c>
      <c r="E4" s="53">
        <v>0.84799999999999998</v>
      </c>
      <c r="F4" s="53">
        <f t="shared" si="1"/>
        <v>0.93862595419847328</v>
      </c>
      <c r="G4" t="s">
        <v>92</v>
      </c>
      <c r="H4" s="7">
        <f>$D4/$F4</f>
        <v>783.91450471698113</v>
      </c>
      <c r="I4" s="9" t="s">
        <v>15</v>
      </c>
    </row>
    <row r="5" spans="2:9" x14ac:dyDescent="0.3">
      <c r="B5" s="38" t="s">
        <v>84</v>
      </c>
      <c r="C5" s="54">
        <v>100</v>
      </c>
      <c r="D5" s="7">
        <f t="shared" si="0"/>
        <v>981.07</v>
      </c>
      <c r="E5" s="53">
        <v>0.84399999999999997</v>
      </c>
      <c r="F5" s="53">
        <f t="shared" si="1"/>
        <v>0.93419847328244277</v>
      </c>
      <c r="G5" s="9" t="s">
        <v>92</v>
      </c>
      <c r="H5" s="7">
        <f>$D5/$F5</f>
        <v>1050.1729857819905</v>
      </c>
      <c r="I5" s="9" t="s">
        <v>16</v>
      </c>
    </row>
    <row r="7" spans="2:9" x14ac:dyDescent="0.3">
      <c r="C7" s="9"/>
      <c r="D7" s="7"/>
      <c r="E7" s="53"/>
      <c r="G7" s="7"/>
      <c r="H7" s="9"/>
    </row>
    <row r="8" spans="2:9" x14ac:dyDescent="0.3">
      <c r="C8" s="54"/>
      <c r="D8" s="7"/>
      <c r="E8" s="53"/>
      <c r="F8" s="9"/>
      <c r="G8" s="7"/>
      <c r="H8" s="9"/>
    </row>
    <row r="10" spans="2:9" x14ac:dyDescent="0.3">
      <c r="C10" s="9"/>
      <c r="D10" s="7"/>
      <c r="E10" s="53"/>
      <c r="G10" s="7"/>
      <c r="H10" s="9"/>
    </row>
    <row r="11" spans="2:9" x14ac:dyDescent="0.3">
      <c r="C11" s="54"/>
      <c r="D11" s="7"/>
      <c r="E11" s="53"/>
      <c r="F11" s="9"/>
      <c r="G11" s="7"/>
      <c r="H11" s="9"/>
    </row>
    <row r="25" spans="2:9" x14ac:dyDescent="0.3">
      <c r="C25" s="3" t="s">
        <v>85</v>
      </c>
      <c r="D25" s="3" t="s">
        <v>0</v>
      </c>
      <c r="E25" s="2" t="s">
        <v>232</v>
      </c>
      <c r="F25" s="2" t="s">
        <v>233</v>
      </c>
      <c r="G25" s="5" t="s">
        <v>11</v>
      </c>
      <c r="H25" s="2" t="s">
        <v>24</v>
      </c>
    </row>
    <row r="26" spans="2:9" x14ac:dyDescent="0.3">
      <c r="B26" s="1" t="s">
        <v>83</v>
      </c>
      <c r="C26" s="9">
        <f>0.25*$C$29</f>
        <v>200</v>
      </c>
      <c r="D26" s="7">
        <f>$C26*9.8107</f>
        <v>1962.14</v>
      </c>
      <c r="E26" s="53">
        <v>0.85799999999999998</v>
      </c>
      <c r="F26" s="53">
        <f>$E26*14.5/13.1</f>
        <v>0.94969465648854956</v>
      </c>
      <c r="G26" t="s">
        <v>92</v>
      </c>
      <c r="H26" s="7">
        <f>$D26/$F26</f>
        <v>2066.0745920745921</v>
      </c>
      <c r="I26" s="9" t="s">
        <v>15</v>
      </c>
    </row>
    <row r="27" spans="2:9" x14ac:dyDescent="0.3">
      <c r="B27" s="1" t="s">
        <v>83</v>
      </c>
      <c r="C27" s="9">
        <f>0.5*$C$29</f>
        <v>400</v>
      </c>
      <c r="D27" s="7">
        <f>$C27*9.8107</f>
        <v>3924.28</v>
      </c>
      <c r="E27" s="53">
        <v>0.86099999999999999</v>
      </c>
      <c r="F27" s="53">
        <f>$E27*14.5/13.1</f>
        <v>0.95301526717557261</v>
      </c>
      <c r="G27" t="s">
        <v>92</v>
      </c>
      <c r="H27" s="7">
        <f>$D27/$F27</f>
        <v>4117.7514518002317</v>
      </c>
      <c r="I27" s="9" t="s">
        <v>15</v>
      </c>
    </row>
    <row r="28" spans="2:9" x14ac:dyDescent="0.3">
      <c r="B28" s="1" t="s">
        <v>83</v>
      </c>
      <c r="C28" s="9">
        <f>0.75*$C$29</f>
        <v>600</v>
      </c>
      <c r="D28" s="7">
        <f>$C28*9.8107</f>
        <v>5886.42</v>
      </c>
      <c r="E28" s="53">
        <v>0.85899999999999999</v>
      </c>
      <c r="F28" s="53">
        <f>$E28*14.5/13.1</f>
        <v>0.95080152671755735</v>
      </c>
      <c r="G28" t="s">
        <v>92</v>
      </c>
      <c r="H28" s="7">
        <f>$D28/$F28</f>
        <v>6191.0081490104767</v>
      </c>
      <c r="I28" s="9" t="s">
        <v>15</v>
      </c>
    </row>
    <row r="29" spans="2:9" x14ac:dyDescent="0.3">
      <c r="B29" s="38" t="s">
        <v>84</v>
      </c>
      <c r="C29" s="54">
        <v>800</v>
      </c>
      <c r="D29" s="7">
        <f>$C29*9.8107</f>
        <v>7848.56</v>
      </c>
      <c r="E29" s="53">
        <v>0.85599999999999998</v>
      </c>
      <c r="F29" s="53">
        <f>$E29*14.5/13.1</f>
        <v>0.9474809160305343</v>
      </c>
      <c r="G29" s="9" t="s">
        <v>92</v>
      </c>
      <c r="H29" s="7">
        <f>$D29/$F29</f>
        <v>8283.6074766355141</v>
      </c>
      <c r="I29" s="9" t="s">
        <v>16</v>
      </c>
    </row>
    <row r="49" spans="2:9" x14ac:dyDescent="0.3">
      <c r="C49" s="3" t="s">
        <v>85</v>
      </c>
      <c r="D49" s="3" t="s">
        <v>0</v>
      </c>
      <c r="E49" s="2" t="s">
        <v>232</v>
      </c>
      <c r="F49" s="2" t="s">
        <v>233</v>
      </c>
      <c r="G49" s="5" t="s">
        <v>11</v>
      </c>
      <c r="H49" s="2" t="s">
        <v>24</v>
      </c>
    </row>
    <row r="50" spans="2:9" x14ac:dyDescent="0.3">
      <c r="B50" s="1" t="s">
        <v>83</v>
      </c>
      <c r="C50" s="9">
        <f>0.25*$C$53</f>
        <v>100</v>
      </c>
      <c r="D50" s="7">
        <f>$C50*9.8107</f>
        <v>981.07</v>
      </c>
      <c r="E50" s="53">
        <v>0.84499999999999997</v>
      </c>
      <c r="F50" s="53">
        <f>$E50*14.5/13.1</f>
        <v>0.93530534351145034</v>
      </c>
      <c r="G50" t="s">
        <v>92</v>
      </c>
      <c r="H50" s="7">
        <f>$D50/$F50</f>
        <v>1048.9301775147931</v>
      </c>
      <c r="I50" s="9" t="s">
        <v>15</v>
      </c>
    </row>
    <row r="51" spans="2:9" x14ac:dyDescent="0.3">
      <c r="B51" s="1" t="s">
        <v>83</v>
      </c>
      <c r="C51" s="9">
        <f>0.5*$C$53</f>
        <v>200</v>
      </c>
      <c r="D51" s="7">
        <f>$C51*9.8107</f>
        <v>1962.14</v>
      </c>
      <c r="E51" s="53">
        <v>0.84699999999999998</v>
      </c>
      <c r="F51" s="53">
        <f>$E51*14.5/13.1</f>
        <v>0.93751908396946559</v>
      </c>
      <c r="G51" t="s">
        <v>92</v>
      </c>
      <c r="H51" s="7">
        <f>$D51/$F51</f>
        <v>2092.9067296340027</v>
      </c>
      <c r="I51" s="9" t="s">
        <v>15</v>
      </c>
    </row>
    <row r="52" spans="2:9" x14ac:dyDescent="0.3">
      <c r="B52" s="1" t="s">
        <v>83</v>
      </c>
      <c r="C52" s="9">
        <f>0.75*$C$53</f>
        <v>300</v>
      </c>
      <c r="D52" s="7">
        <f>$C52*9.8107</f>
        <v>2943.21</v>
      </c>
      <c r="E52" s="53">
        <v>0.84599999999999997</v>
      </c>
      <c r="F52" s="53">
        <f>$E52*14.5/13.1</f>
        <v>0.93641221374045802</v>
      </c>
      <c r="G52" t="s">
        <v>92</v>
      </c>
      <c r="H52" s="7">
        <f>$D52/$F52</f>
        <v>3143.0709219858154</v>
      </c>
      <c r="I52" s="9" t="s">
        <v>15</v>
      </c>
    </row>
    <row r="53" spans="2:9" x14ac:dyDescent="0.3">
      <c r="B53" s="38" t="s">
        <v>84</v>
      </c>
      <c r="C53" s="54">
        <v>400</v>
      </c>
      <c r="D53" s="7">
        <f>$C53*9.8107</f>
        <v>3924.28</v>
      </c>
      <c r="E53" s="53">
        <v>0.84399999999999997</v>
      </c>
      <c r="F53" s="53">
        <f>$E53*14.5/13.1</f>
        <v>0.93419847328244277</v>
      </c>
      <c r="G53" s="9" t="s">
        <v>92</v>
      </c>
      <c r="H53" s="7">
        <f>$D53/$F53</f>
        <v>4200.6919431279621</v>
      </c>
      <c r="I53" s="9" t="s">
        <v>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8BC7-C07E-45F9-AA9D-95C3DBC74F26}">
  <sheetPr codeName="Sheet7">
    <tabColor rgb="FF00B050"/>
  </sheetPr>
  <dimension ref="A1:K70"/>
  <sheetViews>
    <sheetView topLeftCell="A52" zoomScaleNormal="100" workbookViewId="0">
      <selection activeCell="E81" sqref="E81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216</v>
      </c>
      <c r="C1" s="3" t="s">
        <v>0</v>
      </c>
      <c r="D1" s="2" t="s">
        <v>153</v>
      </c>
      <c r="E1" s="5" t="s">
        <v>11</v>
      </c>
      <c r="F1" s="2" t="s">
        <v>24</v>
      </c>
    </row>
    <row r="2" spans="2:11" x14ac:dyDescent="0.3">
      <c r="B2" s="13" t="s">
        <v>211</v>
      </c>
      <c r="C2" s="9">
        <v>6</v>
      </c>
      <c r="D2" s="12">
        <v>0.92400000000000004</v>
      </c>
      <c r="E2" s="15" t="s">
        <v>8</v>
      </c>
      <c r="F2" s="9">
        <f t="shared" ref="F2:F27" si="0">$C2/$D2</f>
        <v>6.4935064935064934</v>
      </c>
      <c r="G2" s="9" t="s">
        <v>15</v>
      </c>
      <c r="H2" s="2" t="s">
        <v>393</v>
      </c>
      <c r="I2" s="2" t="s">
        <v>379</v>
      </c>
      <c r="J2" s="2" t="s">
        <v>392</v>
      </c>
      <c r="K2" s="2" t="s">
        <v>381</v>
      </c>
    </row>
    <row r="3" spans="2:11" x14ac:dyDescent="0.3">
      <c r="B3" s="52" t="s">
        <v>212</v>
      </c>
      <c r="C3" s="18">
        <v>20</v>
      </c>
      <c r="D3" s="25">
        <v>0.94799999999999995</v>
      </c>
      <c r="E3" s="19" t="s">
        <v>8</v>
      </c>
      <c r="F3" s="18">
        <f t="shared" si="0"/>
        <v>21.09704641350211</v>
      </c>
      <c r="G3" s="18" t="s">
        <v>16</v>
      </c>
      <c r="H3" s="26">
        <f>I3/D2</f>
        <v>6.4935064935064934</v>
      </c>
      <c r="I3" s="26">
        <f>K3*C2/C3</f>
        <v>6</v>
      </c>
      <c r="J3" s="26">
        <f>K3/D3</f>
        <v>21.09704641350211</v>
      </c>
      <c r="K3" s="26">
        <v>20</v>
      </c>
    </row>
    <row r="4" spans="2:11" x14ac:dyDescent="0.3">
      <c r="B4" s="13" t="s">
        <v>211</v>
      </c>
      <c r="C4" s="9">
        <v>9</v>
      </c>
      <c r="D4" s="12">
        <v>0.93500000000000005</v>
      </c>
      <c r="E4" s="15" t="s">
        <v>8</v>
      </c>
      <c r="F4" s="9">
        <f t="shared" si="0"/>
        <v>9.6256684491978604</v>
      </c>
      <c r="G4" s="9" t="s">
        <v>15</v>
      </c>
    </row>
    <row r="5" spans="2:11" x14ac:dyDescent="0.3">
      <c r="B5" s="52" t="s">
        <v>212</v>
      </c>
      <c r="C5" s="18">
        <v>30</v>
      </c>
      <c r="D5" s="25">
        <v>0.95099999999999996</v>
      </c>
      <c r="E5" s="19" t="s">
        <v>8</v>
      </c>
      <c r="F5" s="18">
        <f t="shared" si="0"/>
        <v>31.545741324921138</v>
      </c>
      <c r="G5" s="18" t="s">
        <v>16</v>
      </c>
    </row>
    <row r="6" spans="2:11" x14ac:dyDescent="0.3">
      <c r="B6" s="13" t="s">
        <v>211</v>
      </c>
      <c r="C6" s="9">
        <v>9.8000000000000007</v>
      </c>
      <c r="D6" s="12">
        <v>0.93799999999999994</v>
      </c>
      <c r="E6" s="15" t="s">
        <v>8</v>
      </c>
      <c r="F6" s="9">
        <f t="shared" si="0"/>
        <v>10.447761194029852</v>
      </c>
      <c r="G6" s="9" t="s">
        <v>15</v>
      </c>
      <c r="H6" s="2" t="s">
        <v>393</v>
      </c>
      <c r="I6" s="2" t="s">
        <v>379</v>
      </c>
      <c r="J6" s="2" t="s">
        <v>392</v>
      </c>
      <c r="K6" s="2" t="s">
        <v>381</v>
      </c>
    </row>
    <row r="7" spans="2:11" x14ac:dyDescent="0.3">
      <c r="B7" s="52" t="s">
        <v>212</v>
      </c>
      <c r="C7" s="18">
        <v>33</v>
      </c>
      <c r="D7" s="25">
        <v>0.95199999999999996</v>
      </c>
      <c r="E7" s="19" t="s">
        <v>8</v>
      </c>
      <c r="F7" s="18">
        <f t="shared" si="0"/>
        <v>34.663865546218489</v>
      </c>
      <c r="G7" s="18" t="s">
        <v>16</v>
      </c>
      <c r="H7" s="26">
        <f>I7/D6</f>
        <v>11.080958842152873</v>
      </c>
      <c r="I7" s="26">
        <f>K7*C6/C7</f>
        <v>10.393939393939394</v>
      </c>
      <c r="J7" s="26">
        <f>K7/D7</f>
        <v>36.764705882352942</v>
      </c>
      <c r="K7" s="26">
        <v>35</v>
      </c>
    </row>
    <row r="8" spans="2:11" x14ac:dyDescent="0.3">
      <c r="B8" s="13" t="s">
        <v>211</v>
      </c>
      <c r="C8" s="9">
        <v>12</v>
      </c>
      <c r="D8" s="12">
        <v>0.94599999999999995</v>
      </c>
      <c r="E8" s="15" t="s">
        <v>8</v>
      </c>
      <c r="F8" s="9">
        <f t="shared" si="0"/>
        <v>12.684989429175475</v>
      </c>
      <c r="G8" s="9" t="s">
        <v>15</v>
      </c>
    </row>
    <row r="9" spans="2:11" x14ac:dyDescent="0.3">
      <c r="B9" s="52" t="s">
        <v>212</v>
      </c>
      <c r="C9" s="18">
        <v>40</v>
      </c>
      <c r="D9" s="25">
        <v>0.95399999999999996</v>
      </c>
      <c r="E9" s="19" t="s">
        <v>8</v>
      </c>
      <c r="F9" s="18">
        <f t="shared" si="0"/>
        <v>41.928721174004195</v>
      </c>
      <c r="G9" s="18" t="s">
        <v>16</v>
      </c>
    </row>
    <row r="10" spans="2:11" x14ac:dyDescent="0.3">
      <c r="B10" s="13" t="s">
        <v>211</v>
      </c>
      <c r="C10" s="9">
        <v>13.5</v>
      </c>
      <c r="D10" s="12">
        <v>0.94599999999999995</v>
      </c>
      <c r="E10" s="15" t="s">
        <v>8</v>
      </c>
      <c r="F10" s="9">
        <f t="shared" si="0"/>
        <v>14.270613107822411</v>
      </c>
      <c r="G10" s="9" t="s">
        <v>15</v>
      </c>
      <c r="H10" s="2" t="s">
        <v>393</v>
      </c>
      <c r="I10" s="2" t="s">
        <v>379</v>
      </c>
      <c r="J10" s="2" t="s">
        <v>392</v>
      </c>
      <c r="K10" s="2" t="s">
        <v>381</v>
      </c>
    </row>
    <row r="11" spans="2:11" x14ac:dyDescent="0.3">
      <c r="B11" s="52" t="s">
        <v>212</v>
      </c>
      <c r="C11" s="18">
        <v>45</v>
      </c>
      <c r="D11" s="25">
        <v>0.95299999999999996</v>
      </c>
      <c r="E11" s="19" t="s">
        <v>8</v>
      </c>
      <c r="F11" s="18">
        <f t="shared" si="0"/>
        <v>47.219307450157402</v>
      </c>
      <c r="G11" s="18" t="s">
        <v>16</v>
      </c>
      <c r="H11" s="26">
        <f>I11/D10</f>
        <v>14.270613107822411</v>
      </c>
      <c r="I11" s="26">
        <f>K11*C10/C11</f>
        <v>13.5</v>
      </c>
      <c r="J11" s="26">
        <f>K11/D11</f>
        <v>47.219307450157402</v>
      </c>
      <c r="K11" s="26">
        <v>45</v>
      </c>
    </row>
    <row r="12" spans="2:11" x14ac:dyDescent="0.3">
      <c r="B12" s="13" t="s">
        <v>211</v>
      </c>
      <c r="C12" s="9">
        <v>14.9</v>
      </c>
      <c r="D12" s="12">
        <v>0.94499999999999995</v>
      </c>
      <c r="E12" s="15" t="s">
        <v>8</v>
      </c>
      <c r="F12" s="9">
        <f t="shared" si="0"/>
        <v>15.767195767195769</v>
      </c>
      <c r="G12" s="9" t="s">
        <v>15</v>
      </c>
    </row>
    <row r="13" spans="2:11" x14ac:dyDescent="0.3">
      <c r="B13" s="52" t="s">
        <v>212</v>
      </c>
      <c r="C13" s="18">
        <v>50</v>
      </c>
      <c r="D13" s="25">
        <v>0.95299999999999996</v>
      </c>
      <c r="E13" s="19" t="s">
        <v>8</v>
      </c>
      <c r="F13" s="18">
        <f t="shared" si="0"/>
        <v>52.465897166841557</v>
      </c>
      <c r="G13" s="18" t="s">
        <v>16</v>
      </c>
    </row>
    <row r="14" spans="2:11" x14ac:dyDescent="0.3">
      <c r="B14" s="13" t="s">
        <v>211</v>
      </c>
      <c r="C14" s="9">
        <v>18</v>
      </c>
      <c r="D14" s="12">
        <v>0.94499999999999995</v>
      </c>
      <c r="E14" s="15" t="s">
        <v>8</v>
      </c>
      <c r="F14" s="9">
        <f t="shared" si="0"/>
        <v>19.047619047619047</v>
      </c>
      <c r="G14" s="9" t="s">
        <v>15</v>
      </c>
      <c r="H14" s="2" t="s">
        <v>393</v>
      </c>
      <c r="I14" s="2" t="s">
        <v>379</v>
      </c>
      <c r="J14" s="2" t="s">
        <v>392</v>
      </c>
      <c r="K14" s="2" t="s">
        <v>381</v>
      </c>
    </row>
    <row r="15" spans="2:11" x14ac:dyDescent="0.3">
      <c r="B15" s="52" t="s">
        <v>212</v>
      </c>
      <c r="C15" s="18">
        <v>60</v>
      </c>
      <c r="D15" s="25">
        <v>0.95199999999999996</v>
      </c>
      <c r="E15" s="19" t="s">
        <v>8</v>
      </c>
      <c r="F15" s="18">
        <f t="shared" si="0"/>
        <v>63.025210084033617</v>
      </c>
      <c r="G15" s="18" t="s">
        <v>16</v>
      </c>
      <c r="H15" s="26">
        <f>I15/D14</f>
        <v>19.047619047619047</v>
      </c>
      <c r="I15" s="26">
        <f>K15*C14/C15</f>
        <v>18</v>
      </c>
      <c r="J15" s="26">
        <f>K15/D15</f>
        <v>63.025210084033617</v>
      </c>
      <c r="K15" s="26">
        <v>60</v>
      </c>
    </row>
    <row r="16" spans="2:11" x14ac:dyDescent="0.3">
      <c r="B16" s="13" t="s">
        <v>211</v>
      </c>
      <c r="C16" s="9">
        <v>19.5</v>
      </c>
      <c r="D16" s="12">
        <v>0.94399999999999995</v>
      </c>
      <c r="E16" s="15" t="s">
        <v>8</v>
      </c>
      <c r="F16" s="9">
        <f t="shared" si="0"/>
        <v>20.656779661016952</v>
      </c>
      <c r="G16" s="9" t="s">
        <v>15</v>
      </c>
    </row>
    <row r="17" spans="1:11" x14ac:dyDescent="0.3">
      <c r="B17" s="52" t="s">
        <v>212</v>
      </c>
      <c r="C17" s="18">
        <v>65</v>
      </c>
      <c r="D17" s="25">
        <v>0.95099999999999996</v>
      </c>
      <c r="E17" s="19" t="s">
        <v>8</v>
      </c>
      <c r="F17" s="18">
        <f t="shared" si="0"/>
        <v>68.349106203995802</v>
      </c>
      <c r="G17" s="18" t="s">
        <v>16</v>
      </c>
    </row>
    <row r="18" spans="1:11" x14ac:dyDescent="0.3">
      <c r="B18" s="13" t="s">
        <v>211</v>
      </c>
      <c r="C18" s="9">
        <v>20.9</v>
      </c>
      <c r="D18" s="12">
        <v>0.94399999999999995</v>
      </c>
      <c r="E18" s="15" t="s">
        <v>8</v>
      </c>
      <c r="F18" s="9">
        <f t="shared" si="0"/>
        <v>22.139830508474574</v>
      </c>
      <c r="G18" s="9" t="s">
        <v>15</v>
      </c>
    </row>
    <row r="19" spans="1:11" x14ac:dyDescent="0.3">
      <c r="B19" s="52" t="s">
        <v>212</v>
      </c>
      <c r="C19" s="18">
        <v>70</v>
      </c>
      <c r="D19" s="25">
        <v>0.95</v>
      </c>
      <c r="E19" s="19" t="s">
        <v>8</v>
      </c>
      <c r="F19" s="18">
        <f t="shared" si="0"/>
        <v>73.684210526315795</v>
      </c>
      <c r="G19" s="18" t="s">
        <v>16</v>
      </c>
    </row>
    <row r="20" spans="1:11" x14ac:dyDescent="0.3">
      <c r="B20" s="13" t="s">
        <v>211</v>
      </c>
      <c r="C20" s="9">
        <v>24</v>
      </c>
      <c r="D20" s="12">
        <v>0.94299999999999995</v>
      </c>
      <c r="E20" s="15" t="s">
        <v>8</v>
      </c>
      <c r="F20" s="9">
        <f t="shared" si="0"/>
        <v>25.450689289501593</v>
      </c>
      <c r="G20" s="9" t="s">
        <v>15</v>
      </c>
      <c r="H20" s="2" t="s">
        <v>393</v>
      </c>
      <c r="I20" s="2" t="s">
        <v>379</v>
      </c>
      <c r="J20" s="2" t="s">
        <v>392</v>
      </c>
      <c r="K20" s="2" t="s">
        <v>381</v>
      </c>
    </row>
    <row r="21" spans="1:11" x14ac:dyDescent="0.3">
      <c r="B21" s="52" t="s">
        <v>212</v>
      </c>
      <c r="C21" s="18">
        <v>80</v>
      </c>
      <c r="D21" s="25">
        <v>0.94899999999999995</v>
      </c>
      <c r="E21" s="19" t="s">
        <v>8</v>
      </c>
      <c r="F21" s="18">
        <f t="shared" si="0"/>
        <v>84.29926238145417</v>
      </c>
      <c r="G21" s="18" t="s">
        <v>16</v>
      </c>
      <c r="H21" s="26">
        <f>I21/D20</f>
        <v>25.450689289501593</v>
      </c>
      <c r="I21" s="26">
        <f>K21*C20/C21</f>
        <v>24</v>
      </c>
      <c r="J21" s="26">
        <f>K21/D21</f>
        <v>84.29926238145417</v>
      </c>
      <c r="K21" s="26">
        <v>80</v>
      </c>
    </row>
    <row r="22" spans="1:11" x14ac:dyDescent="0.3">
      <c r="B22" s="13" t="s">
        <v>211</v>
      </c>
      <c r="C22" s="9">
        <v>30</v>
      </c>
      <c r="D22" s="12">
        <v>0.95</v>
      </c>
      <c r="E22" s="15" t="s">
        <v>8</v>
      </c>
      <c r="F22" s="9">
        <f t="shared" si="0"/>
        <v>31.578947368421055</v>
      </c>
      <c r="G22" s="9" t="s">
        <v>15</v>
      </c>
      <c r="H22" s="2" t="s">
        <v>393</v>
      </c>
      <c r="I22" s="2" t="s">
        <v>379</v>
      </c>
      <c r="J22" s="2" t="s">
        <v>392</v>
      </c>
      <c r="K22" s="2" t="s">
        <v>381</v>
      </c>
    </row>
    <row r="23" spans="1:11" x14ac:dyDescent="0.3">
      <c r="B23" s="52" t="s">
        <v>212</v>
      </c>
      <c r="C23" s="18">
        <v>100</v>
      </c>
      <c r="D23" s="25">
        <v>0.95299999999999996</v>
      </c>
      <c r="E23" s="19" t="s">
        <v>8</v>
      </c>
      <c r="F23" s="18">
        <f t="shared" si="0"/>
        <v>104.93179433368311</v>
      </c>
      <c r="G23" s="18" t="s">
        <v>16</v>
      </c>
      <c r="H23" s="26">
        <f>I23/D22</f>
        <v>31.263157894736842</v>
      </c>
      <c r="I23" s="26">
        <f>K23*C22/C23</f>
        <v>29.7</v>
      </c>
      <c r="J23" s="26">
        <f>K23/D23</f>
        <v>103.88247639034628</v>
      </c>
      <c r="K23" s="26">
        <v>99</v>
      </c>
    </row>
    <row r="24" spans="1:11" x14ac:dyDescent="0.3">
      <c r="B24" s="13" t="s">
        <v>211</v>
      </c>
      <c r="C24" s="9">
        <v>32.4</v>
      </c>
      <c r="D24" s="12">
        <v>0.95199999999999996</v>
      </c>
      <c r="E24" s="15" t="s">
        <v>8</v>
      </c>
      <c r="F24" s="9">
        <f t="shared" si="0"/>
        <v>34.033613445378151</v>
      </c>
      <c r="G24" s="9" t="s">
        <v>15</v>
      </c>
    </row>
    <row r="25" spans="1:11" x14ac:dyDescent="0.3">
      <c r="B25" s="52" t="s">
        <v>212</v>
      </c>
      <c r="C25" s="18">
        <v>108</v>
      </c>
      <c r="D25" s="25">
        <v>0.95499999999999996</v>
      </c>
      <c r="E25" s="19" t="s">
        <v>8</v>
      </c>
      <c r="F25" s="18">
        <f t="shared" si="0"/>
        <v>113.0890052356021</v>
      </c>
      <c r="G25" s="18" t="s">
        <v>16</v>
      </c>
    </row>
    <row r="26" spans="1:11" x14ac:dyDescent="0.3">
      <c r="B26" s="13" t="s">
        <v>211</v>
      </c>
      <c r="C26" s="9">
        <v>36</v>
      </c>
      <c r="D26" s="12">
        <v>0.95599999999999996</v>
      </c>
      <c r="E26" s="15" t="s">
        <v>8</v>
      </c>
      <c r="F26" s="9">
        <f t="shared" si="0"/>
        <v>37.65690376569038</v>
      </c>
      <c r="G26" s="9" t="s">
        <v>15</v>
      </c>
      <c r="H26" s="2" t="s">
        <v>393</v>
      </c>
      <c r="I26" s="2" t="s">
        <v>379</v>
      </c>
      <c r="J26" s="2" t="s">
        <v>392</v>
      </c>
      <c r="K26" s="2" t="s">
        <v>381</v>
      </c>
    </row>
    <row r="27" spans="1:11" x14ac:dyDescent="0.3">
      <c r="B27" s="52" t="s">
        <v>212</v>
      </c>
      <c r="C27" s="18">
        <v>120</v>
      </c>
      <c r="D27" s="25">
        <v>0.95699999999999996</v>
      </c>
      <c r="E27" s="19" t="s">
        <v>8</v>
      </c>
      <c r="F27" s="18">
        <f t="shared" si="0"/>
        <v>125.39184952978057</v>
      </c>
      <c r="G27" s="18" t="s">
        <v>16</v>
      </c>
      <c r="H27" s="26">
        <f>I27/D26</f>
        <v>37.65690376569038</v>
      </c>
      <c r="I27" s="26">
        <f>K27*C26/C27</f>
        <v>36</v>
      </c>
      <c r="J27" s="26">
        <f>K27/D27</f>
        <v>125.39184952978057</v>
      </c>
      <c r="K27" s="26">
        <v>120</v>
      </c>
    </row>
    <row r="29" spans="1:11" x14ac:dyDescent="0.3">
      <c r="B29" t="s">
        <v>1</v>
      </c>
      <c r="C29" t="s">
        <v>4</v>
      </c>
    </row>
    <row r="30" spans="1:11" x14ac:dyDescent="0.3">
      <c r="A30" t="s">
        <v>8</v>
      </c>
      <c r="B30" t="s">
        <v>28</v>
      </c>
      <c r="C30" s="4" t="s">
        <v>27</v>
      </c>
      <c r="D30" s="4"/>
    </row>
    <row r="31" spans="1:11" x14ac:dyDescent="0.3">
      <c r="C31" s="4"/>
      <c r="D31" s="4"/>
    </row>
    <row r="32" spans="1:11" x14ac:dyDescent="0.3">
      <c r="E32" s="10" t="s">
        <v>18</v>
      </c>
      <c r="F32" s="10" t="s">
        <v>18</v>
      </c>
      <c r="G32" s="10" t="s">
        <v>18</v>
      </c>
    </row>
    <row r="33" spans="2:7" x14ac:dyDescent="0.3">
      <c r="B33" s="2" t="s">
        <v>13</v>
      </c>
      <c r="C33" s="2" t="s">
        <v>12</v>
      </c>
      <c r="D33" s="2" t="s">
        <v>25</v>
      </c>
      <c r="E33" s="2" t="s">
        <v>17</v>
      </c>
      <c r="F33" s="2" t="s">
        <v>22</v>
      </c>
      <c r="G33" s="2" t="s">
        <v>23</v>
      </c>
    </row>
    <row r="34" spans="2:7" x14ac:dyDescent="0.3">
      <c r="B34" s="9" t="s">
        <v>15</v>
      </c>
      <c r="C34" s="9">
        <f>$C3</f>
        <v>20</v>
      </c>
      <c r="D34" s="9">
        <f t="shared" ref="D34:D59" si="1">$F2</f>
        <v>6.4935064935064934</v>
      </c>
      <c r="E34" s="9">
        <f t="shared" ref="E34:E59" si="2">$D34*$D2</f>
        <v>6</v>
      </c>
      <c r="F34" s="9">
        <f t="shared" ref="F34:F59" si="3">$B$62*$D34+$C$62*$C34+$D$62</f>
        <v>5.9950216148280058</v>
      </c>
      <c r="G34" s="20">
        <f t="shared" ref="G34:G59" si="4">($E34-$F34)/$E34</f>
        <v>8.2973086199903767E-4</v>
      </c>
    </row>
    <row r="35" spans="2:7" x14ac:dyDescent="0.3">
      <c r="B35" s="18" t="s">
        <v>16</v>
      </c>
      <c r="C35" s="18">
        <f>$C3</f>
        <v>20</v>
      </c>
      <c r="D35" s="18">
        <f t="shared" si="1"/>
        <v>21.09704641350211</v>
      </c>
      <c r="E35" s="18">
        <f t="shared" si="2"/>
        <v>20</v>
      </c>
      <c r="F35" s="18">
        <f t="shared" si="3"/>
        <v>19.946090257074836</v>
      </c>
      <c r="G35" s="20">
        <f t="shared" si="4"/>
        <v>2.695487146258202E-3</v>
      </c>
    </row>
    <row r="36" spans="2:7" x14ac:dyDescent="0.3">
      <c r="B36" s="9" t="s">
        <v>15</v>
      </c>
      <c r="C36" s="9">
        <f>$C5</f>
        <v>30</v>
      </c>
      <c r="D36" s="9">
        <f t="shared" si="1"/>
        <v>9.6256684491978604</v>
      </c>
      <c r="E36" s="9">
        <f t="shared" si="2"/>
        <v>9</v>
      </c>
      <c r="F36" s="9">
        <f t="shared" si="3"/>
        <v>8.9959918634802172</v>
      </c>
      <c r="G36" s="20">
        <f t="shared" si="4"/>
        <v>4.4534850219809147E-4</v>
      </c>
    </row>
    <row r="37" spans="2:7" x14ac:dyDescent="0.3">
      <c r="B37" s="18" t="s">
        <v>16</v>
      </c>
      <c r="C37" s="18">
        <f>$C5</f>
        <v>30</v>
      </c>
      <c r="D37" s="18">
        <f t="shared" si="1"/>
        <v>31.545741324921138</v>
      </c>
      <c r="E37" s="18">
        <f t="shared" si="2"/>
        <v>30</v>
      </c>
      <c r="F37" s="18">
        <f t="shared" si="3"/>
        <v>29.936698226979519</v>
      </c>
      <c r="G37" s="20">
        <f t="shared" si="4"/>
        <v>2.1100591006826858E-3</v>
      </c>
    </row>
    <row r="38" spans="2:7" x14ac:dyDescent="0.3">
      <c r="B38" s="9" t="s">
        <v>15</v>
      </c>
      <c r="C38" s="9">
        <f>$C7</f>
        <v>33</v>
      </c>
      <c r="D38" s="9">
        <f t="shared" si="1"/>
        <v>10.447761194029852</v>
      </c>
      <c r="E38" s="9">
        <f t="shared" si="2"/>
        <v>9.8000000000000007</v>
      </c>
      <c r="F38" s="9">
        <f t="shared" si="3"/>
        <v>9.7839793713868559</v>
      </c>
      <c r="G38" s="20">
        <f t="shared" si="4"/>
        <v>1.6347580217494686E-3</v>
      </c>
    </row>
    <row r="39" spans="2:7" x14ac:dyDescent="0.3">
      <c r="B39" s="18" t="s">
        <v>16</v>
      </c>
      <c r="C39" s="18">
        <f>$C7</f>
        <v>33</v>
      </c>
      <c r="D39" s="18">
        <f t="shared" si="1"/>
        <v>34.663865546218489</v>
      </c>
      <c r="E39" s="18">
        <f t="shared" si="2"/>
        <v>33</v>
      </c>
      <c r="F39" s="18">
        <f t="shared" si="3"/>
        <v>32.918132865404708</v>
      </c>
      <c r="G39" s="20">
        <f t="shared" si="4"/>
        <v>2.4808222604633988E-3</v>
      </c>
    </row>
    <row r="40" spans="2:7" x14ac:dyDescent="0.3">
      <c r="B40" s="9" t="s">
        <v>15</v>
      </c>
      <c r="C40" s="9">
        <f>$C9</f>
        <v>40</v>
      </c>
      <c r="D40" s="9">
        <f t="shared" si="1"/>
        <v>12.684989429175475</v>
      </c>
      <c r="E40" s="9">
        <f t="shared" si="2"/>
        <v>12</v>
      </c>
      <c r="F40" s="9">
        <f t="shared" si="3"/>
        <v>11.927375596964325</v>
      </c>
      <c r="G40" s="20">
        <f t="shared" si="4"/>
        <v>6.0520335863062753E-3</v>
      </c>
    </row>
    <row r="41" spans="2:7" x14ac:dyDescent="0.3">
      <c r="B41" s="18" t="s">
        <v>16</v>
      </c>
      <c r="C41" s="18">
        <f>$C9</f>
        <v>40</v>
      </c>
      <c r="D41" s="18">
        <f t="shared" si="1"/>
        <v>41.928721174004195</v>
      </c>
      <c r="E41" s="18">
        <f t="shared" si="2"/>
        <v>40</v>
      </c>
      <c r="F41" s="18">
        <f t="shared" si="3"/>
        <v>39.864527216547842</v>
      </c>
      <c r="G41" s="20">
        <f t="shared" si="4"/>
        <v>3.3868195863039573E-3</v>
      </c>
    </row>
    <row r="42" spans="2:7" x14ac:dyDescent="0.3">
      <c r="B42" s="9" t="s">
        <v>15</v>
      </c>
      <c r="C42" s="9">
        <f>$C11</f>
        <v>45</v>
      </c>
      <c r="D42" s="9">
        <f t="shared" si="1"/>
        <v>14.270613107822411</v>
      </c>
      <c r="E42" s="9">
        <f t="shared" si="2"/>
        <v>13.5</v>
      </c>
      <c r="F42" s="9">
        <f t="shared" si="3"/>
        <v>13.446530274140411</v>
      </c>
      <c r="G42" s="20">
        <f t="shared" si="4"/>
        <v>3.9607204340436361E-3</v>
      </c>
    </row>
    <row r="43" spans="2:7" x14ac:dyDescent="0.3">
      <c r="B43" s="18" t="s">
        <v>16</v>
      </c>
      <c r="C43" s="18">
        <f>$C11</f>
        <v>45</v>
      </c>
      <c r="D43" s="18">
        <f t="shared" si="1"/>
        <v>47.219307450157402</v>
      </c>
      <c r="E43" s="18">
        <f t="shared" si="2"/>
        <v>45</v>
      </c>
      <c r="F43" s="18">
        <f t="shared" si="3"/>
        <v>44.923110538965894</v>
      </c>
      <c r="G43" s="20">
        <f t="shared" si="4"/>
        <v>1.7086546896468097E-3</v>
      </c>
    </row>
    <row r="44" spans="2:7" x14ac:dyDescent="0.3">
      <c r="B44" s="9" t="s">
        <v>15</v>
      </c>
      <c r="C44" s="9">
        <f>$C13</f>
        <v>50</v>
      </c>
      <c r="D44" s="9">
        <f t="shared" si="1"/>
        <v>15.767195767195769</v>
      </c>
      <c r="E44" s="9">
        <f t="shared" si="2"/>
        <v>14.9</v>
      </c>
      <c r="F44" s="9">
        <f t="shared" si="3"/>
        <v>14.880622194021575</v>
      </c>
      <c r="G44" s="20">
        <f t="shared" si="4"/>
        <v>1.3005238911695137E-3</v>
      </c>
    </row>
    <row r="45" spans="2:7" x14ac:dyDescent="0.3">
      <c r="B45" s="18" t="s">
        <v>16</v>
      </c>
      <c r="C45" s="18">
        <f>$C13</f>
        <v>50</v>
      </c>
      <c r="D45" s="18">
        <f t="shared" si="1"/>
        <v>52.465897166841557</v>
      </c>
      <c r="E45" s="18">
        <f t="shared" si="2"/>
        <v>50</v>
      </c>
      <c r="F45" s="18">
        <f t="shared" si="3"/>
        <v>49.939663023344814</v>
      </c>
      <c r="G45" s="20">
        <f t="shared" si="4"/>
        <v>1.206739533103729E-3</v>
      </c>
    </row>
    <row r="46" spans="2:7" x14ac:dyDescent="0.3">
      <c r="B46" s="9" t="s">
        <v>15</v>
      </c>
      <c r="C46" s="9">
        <f>$C15</f>
        <v>60</v>
      </c>
      <c r="D46" s="9">
        <f t="shared" si="1"/>
        <v>19.047619047619047</v>
      </c>
      <c r="E46" s="9">
        <f t="shared" si="2"/>
        <v>18</v>
      </c>
      <c r="F46" s="9">
        <f t="shared" si="3"/>
        <v>18.023229602544401</v>
      </c>
      <c r="G46" s="20">
        <f t="shared" si="4"/>
        <v>-1.2905334746889313E-3</v>
      </c>
    </row>
    <row r="47" spans="2:7" x14ac:dyDescent="0.3">
      <c r="B47" s="18" t="s">
        <v>16</v>
      </c>
      <c r="C47" s="18">
        <f>$C15</f>
        <v>60</v>
      </c>
      <c r="D47" s="18">
        <f t="shared" si="1"/>
        <v>63.025210084033617</v>
      </c>
      <c r="E47" s="18">
        <f t="shared" si="2"/>
        <v>60</v>
      </c>
      <c r="F47" s="18">
        <f t="shared" si="3"/>
        <v>60.035946699281226</v>
      </c>
      <c r="G47" s="20">
        <f t="shared" si="4"/>
        <v>-5.9911165468709744E-4</v>
      </c>
    </row>
    <row r="48" spans="2:7" x14ac:dyDescent="0.3">
      <c r="B48" s="9" t="s">
        <v>15</v>
      </c>
      <c r="C48" s="9">
        <f>$C17</f>
        <v>65</v>
      </c>
      <c r="D48" s="9">
        <f t="shared" si="1"/>
        <v>20.656779661016952</v>
      </c>
      <c r="E48" s="9">
        <f t="shared" si="2"/>
        <v>19.5</v>
      </c>
      <c r="F48" s="9">
        <f t="shared" si="3"/>
        <v>19.564869608218771</v>
      </c>
      <c r="G48" s="20">
        <f t="shared" si="4"/>
        <v>-3.3266465753215993E-3</v>
      </c>
    </row>
    <row r="49" spans="2:7" x14ac:dyDescent="0.3">
      <c r="B49" s="18" t="s">
        <v>16</v>
      </c>
      <c r="C49" s="18">
        <f>$C17</f>
        <v>65</v>
      </c>
      <c r="D49" s="18">
        <f t="shared" si="1"/>
        <v>68.349106203995802</v>
      </c>
      <c r="E49" s="18">
        <f t="shared" si="2"/>
        <v>65</v>
      </c>
      <c r="F49" s="18">
        <f t="shared" si="3"/>
        <v>65.126351615640715</v>
      </c>
      <c r="G49" s="20">
        <f t="shared" si="4"/>
        <v>-1.9438710098571531E-3</v>
      </c>
    </row>
    <row r="50" spans="2:7" x14ac:dyDescent="0.3">
      <c r="B50" s="9" t="s">
        <v>15</v>
      </c>
      <c r="C50" s="9">
        <f>$C19</f>
        <v>70</v>
      </c>
      <c r="D50" s="9">
        <f t="shared" si="1"/>
        <v>22.139830508474574</v>
      </c>
      <c r="E50" s="9">
        <f t="shared" si="2"/>
        <v>20.9</v>
      </c>
      <c r="F50" s="9">
        <f t="shared" si="3"/>
        <v>20.986034303747164</v>
      </c>
      <c r="G50" s="20">
        <f t="shared" si="4"/>
        <v>-4.1164738635007568E-3</v>
      </c>
    </row>
    <row r="51" spans="2:7" x14ac:dyDescent="0.3">
      <c r="B51" s="18" t="s">
        <v>16</v>
      </c>
      <c r="C51" s="18">
        <f>$C19</f>
        <v>70</v>
      </c>
      <c r="D51" s="18">
        <f t="shared" si="1"/>
        <v>73.684210526315795</v>
      </c>
      <c r="E51" s="18">
        <f t="shared" si="2"/>
        <v>70</v>
      </c>
      <c r="F51" s="18">
        <f t="shared" si="3"/>
        <v>70.227463963301545</v>
      </c>
      <c r="G51" s="20">
        <f t="shared" si="4"/>
        <v>-3.2494851900220769E-3</v>
      </c>
    </row>
    <row r="52" spans="2:7" x14ac:dyDescent="0.3">
      <c r="B52" s="9" t="s">
        <v>15</v>
      </c>
      <c r="C52" s="9">
        <f>$C21</f>
        <v>80</v>
      </c>
      <c r="D52" s="9">
        <f t="shared" si="1"/>
        <v>25.450689289501593</v>
      </c>
      <c r="E52" s="9">
        <f t="shared" si="2"/>
        <v>24</v>
      </c>
      <c r="F52" s="9">
        <f t="shared" si="3"/>
        <v>24.157717385730681</v>
      </c>
      <c r="G52" s="20">
        <f t="shared" si="4"/>
        <v>-6.5715577387783775E-3</v>
      </c>
    </row>
    <row r="53" spans="2:7" x14ac:dyDescent="0.3">
      <c r="B53" s="18" t="s">
        <v>16</v>
      </c>
      <c r="C53" s="18">
        <f>$C21</f>
        <v>80</v>
      </c>
      <c r="D53" s="18">
        <f t="shared" si="1"/>
        <v>84.29926238145417</v>
      </c>
      <c r="E53" s="18">
        <f t="shared" si="2"/>
        <v>80</v>
      </c>
      <c r="F53" s="18">
        <f t="shared" si="3"/>
        <v>80.376996218253396</v>
      </c>
      <c r="G53" s="20">
        <f t="shared" si="4"/>
        <v>-4.7124527281674489E-3</v>
      </c>
    </row>
    <row r="54" spans="2:7" x14ac:dyDescent="0.3">
      <c r="B54" s="9" t="s">
        <v>15</v>
      </c>
      <c r="C54" s="9">
        <f>$C23</f>
        <v>100</v>
      </c>
      <c r="D54" s="9">
        <f t="shared" si="1"/>
        <v>31.578947368421055</v>
      </c>
      <c r="E54" s="9">
        <f t="shared" si="2"/>
        <v>30</v>
      </c>
      <c r="F54" s="9">
        <f t="shared" si="3"/>
        <v>30.029671333269839</v>
      </c>
      <c r="G54" s="20">
        <f t="shared" si="4"/>
        <v>-9.8904444232796127E-4</v>
      </c>
    </row>
    <row r="55" spans="2:7" x14ac:dyDescent="0.3">
      <c r="B55" s="18" t="s">
        <v>16</v>
      </c>
      <c r="C55" s="18">
        <f>$C23</f>
        <v>100</v>
      </c>
      <c r="D55" s="18">
        <f t="shared" si="1"/>
        <v>104.93179433368311</v>
      </c>
      <c r="E55" s="18">
        <f t="shared" si="2"/>
        <v>100</v>
      </c>
      <c r="F55" s="18">
        <f t="shared" si="3"/>
        <v>100.10518786713399</v>
      </c>
      <c r="G55" s="20">
        <f t="shared" si="4"/>
        <v>-1.051878671339921E-3</v>
      </c>
    </row>
    <row r="56" spans="2:7" x14ac:dyDescent="0.3">
      <c r="B56" s="9" t="s">
        <v>15</v>
      </c>
      <c r="C56" s="9">
        <f>$C25</f>
        <v>108</v>
      </c>
      <c r="D56" s="9">
        <f t="shared" si="1"/>
        <v>34.033613445378151</v>
      </c>
      <c r="E56" s="9">
        <f t="shared" si="2"/>
        <v>32.4</v>
      </c>
      <c r="F56" s="9">
        <f t="shared" si="3"/>
        <v>32.381665509170681</v>
      </c>
      <c r="G56" s="20">
        <f t="shared" si="4"/>
        <v>5.6587934658388673E-4</v>
      </c>
    </row>
    <row r="57" spans="2:7" x14ac:dyDescent="0.3">
      <c r="B57" s="18" t="s">
        <v>16</v>
      </c>
      <c r="C57" s="18">
        <f>$C25</f>
        <v>108</v>
      </c>
      <c r="D57" s="18">
        <f t="shared" si="1"/>
        <v>113.0890052356021</v>
      </c>
      <c r="E57" s="18">
        <f t="shared" si="2"/>
        <v>108</v>
      </c>
      <c r="F57" s="18">
        <f t="shared" si="3"/>
        <v>107.90494297801206</v>
      </c>
      <c r="G57" s="20">
        <f t="shared" si="4"/>
        <v>8.8015761099945341E-4</v>
      </c>
    </row>
    <row r="58" spans="2:7" x14ac:dyDescent="0.3">
      <c r="B58" s="9" t="s">
        <v>15</v>
      </c>
      <c r="C58" s="9">
        <f>$C27</f>
        <v>120</v>
      </c>
      <c r="D58" s="9">
        <f t="shared" si="1"/>
        <v>37.65690376569038</v>
      </c>
      <c r="E58" s="9">
        <f t="shared" si="2"/>
        <v>36</v>
      </c>
      <c r="F58" s="9">
        <f t="shared" si="3"/>
        <v>35.853571027020799</v>
      </c>
      <c r="G58" s="20">
        <f t="shared" si="4"/>
        <v>4.0674714716444843E-3</v>
      </c>
    </row>
    <row r="59" spans="2:7" x14ac:dyDescent="0.3">
      <c r="B59" s="18" t="s">
        <v>16</v>
      </c>
      <c r="C59" s="18">
        <f>$C27</f>
        <v>120</v>
      </c>
      <c r="D59" s="18">
        <f t="shared" si="1"/>
        <v>125.39184952978057</v>
      </c>
      <c r="E59" s="18">
        <f t="shared" si="2"/>
        <v>120</v>
      </c>
      <c r="F59" s="18">
        <f t="shared" si="3"/>
        <v>119.66860884553572</v>
      </c>
      <c r="G59" s="20">
        <f t="shared" si="4"/>
        <v>2.7615929538690408E-3</v>
      </c>
    </row>
    <row r="61" spans="2:7" x14ac:dyDescent="0.3">
      <c r="B61" t="s">
        <v>19</v>
      </c>
      <c r="C61" t="s">
        <v>20</v>
      </c>
      <c r="D61" t="s">
        <v>21</v>
      </c>
    </row>
    <row r="62" spans="2:7" x14ac:dyDescent="0.3">
      <c r="B62" cm="1">
        <f t="array" ref="B62:D62">LINEST(E34:E59,C34:D59)</f>
        <v>0.95532101933344227</v>
      </c>
      <c r="C62">
        <v>8.7500964237067949E-4</v>
      </c>
      <c r="D62">
        <v>-0.22586182044435787</v>
      </c>
    </row>
    <row r="64" spans="2:7" x14ac:dyDescent="0.3">
      <c r="B64" s="2" t="s">
        <v>416</v>
      </c>
      <c r="C64" s="57">
        <v>0.3</v>
      </c>
    </row>
    <row r="65" spans="2:7" x14ac:dyDescent="0.3">
      <c r="B65" s="2" t="s">
        <v>415</v>
      </c>
      <c r="C65" s="57">
        <v>1</v>
      </c>
    </row>
    <row r="67" spans="2:7" x14ac:dyDescent="0.3">
      <c r="B67" t="s">
        <v>417</v>
      </c>
    </row>
    <row r="69" spans="2:7" x14ac:dyDescent="0.3">
      <c r="B69" s="2" t="s">
        <v>378</v>
      </c>
      <c r="C69" s="2" t="s">
        <v>379</v>
      </c>
      <c r="F69" s="2" t="s">
        <v>380</v>
      </c>
      <c r="G69" s="2" t="s">
        <v>381</v>
      </c>
    </row>
    <row r="70" spans="2:7" x14ac:dyDescent="0.3">
      <c r="B70">
        <f>C64</f>
        <v>0.3</v>
      </c>
      <c r="C70" s="67">
        <f>B62*C64+C62</f>
        <v>0.28747131544240334</v>
      </c>
      <c r="D70" s="67"/>
      <c r="F70">
        <f>C65</f>
        <v>1</v>
      </c>
      <c r="G70" s="67">
        <f>B62*C65+C62</f>
        <v>0.95619602897581291</v>
      </c>
    </row>
  </sheetData>
  <hyperlinks>
    <hyperlink ref="C30" r:id="rId1" xr:uid="{EF44F90E-8FD9-4E3D-9671-928078873EE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EC8E-CF8E-4DEE-B5D7-EAA908163F1C}">
  <sheetPr codeName="Sheet8">
    <tabColor rgb="FF00B050"/>
  </sheetPr>
  <dimension ref="A1:K60"/>
  <sheetViews>
    <sheetView zoomScaleNormal="100" workbookViewId="0">
      <selection activeCell="B54" sqref="B54:G60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216</v>
      </c>
      <c r="C1" s="3" t="s">
        <v>0</v>
      </c>
      <c r="D1" s="2" t="s">
        <v>153</v>
      </c>
      <c r="E1" s="5" t="s">
        <v>11</v>
      </c>
      <c r="F1" s="2" t="s">
        <v>24</v>
      </c>
    </row>
    <row r="2" spans="2:11" x14ac:dyDescent="0.3">
      <c r="B2" s="13" t="s">
        <v>211</v>
      </c>
      <c r="C2" s="9">
        <v>45</v>
      </c>
      <c r="D2" s="12">
        <v>0.92400000000000004</v>
      </c>
      <c r="E2" s="15" t="s">
        <v>213</v>
      </c>
      <c r="F2" s="9">
        <f t="shared" ref="F2:F21" si="0">$C2/$D2</f>
        <v>48.701298701298697</v>
      </c>
      <c r="G2" s="9" t="s">
        <v>15</v>
      </c>
      <c r="H2" s="2" t="s">
        <v>393</v>
      </c>
      <c r="I2" s="2" t="s">
        <v>379</v>
      </c>
      <c r="J2" s="2" t="s">
        <v>392</v>
      </c>
      <c r="K2" s="2" t="s">
        <v>381</v>
      </c>
    </row>
    <row r="3" spans="2:11" x14ac:dyDescent="0.3">
      <c r="B3" s="52" t="s">
        <v>212</v>
      </c>
      <c r="C3" s="18">
        <v>150</v>
      </c>
      <c r="D3" s="25">
        <v>0.92500000000000004</v>
      </c>
      <c r="E3" s="19" t="s">
        <v>213</v>
      </c>
      <c r="F3" s="18">
        <f t="shared" si="0"/>
        <v>162.16216216216216</v>
      </c>
      <c r="G3" s="18" t="s">
        <v>16</v>
      </c>
      <c r="H3" s="26">
        <f>I3/D2</f>
        <v>64.610389610389603</v>
      </c>
      <c r="I3" s="26">
        <f>K3*C2/C3</f>
        <v>59.7</v>
      </c>
      <c r="J3" s="26">
        <f>K3/D3</f>
        <v>215.13513513513513</v>
      </c>
      <c r="K3" s="26">
        <v>199</v>
      </c>
    </row>
    <row r="4" spans="2:11" x14ac:dyDescent="0.3">
      <c r="B4" s="13" t="s">
        <v>211</v>
      </c>
      <c r="C4" s="9">
        <v>72</v>
      </c>
      <c r="D4" s="12">
        <v>0.95699999999999996</v>
      </c>
      <c r="E4" s="15" t="s">
        <v>213</v>
      </c>
      <c r="F4" s="9">
        <f t="shared" si="0"/>
        <v>75.23510971786834</v>
      </c>
      <c r="G4" s="9" t="s">
        <v>15</v>
      </c>
      <c r="H4" s="2" t="s">
        <v>393</v>
      </c>
      <c r="I4" s="2" t="s">
        <v>379</v>
      </c>
      <c r="J4" s="2" t="s">
        <v>392</v>
      </c>
      <c r="K4" s="2" t="s">
        <v>381</v>
      </c>
    </row>
    <row r="5" spans="2:11" x14ac:dyDescent="0.3">
      <c r="B5" s="52" t="s">
        <v>212</v>
      </c>
      <c r="C5" s="18">
        <v>240</v>
      </c>
      <c r="D5" s="25">
        <v>0.95799999999999996</v>
      </c>
      <c r="E5" s="19" t="s">
        <v>213</v>
      </c>
      <c r="F5" s="18">
        <f t="shared" si="0"/>
        <v>250.52192066805847</v>
      </c>
      <c r="G5" s="18" t="s">
        <v>16</v>
      </c>
      <c r="H5" s="26">
        <f>I5/D4</f>
        <v>78.05642633228841</v>
      </c>
      <c r="I5" s="26">
        <f>K5*C4/C5</f>
        <v>74.7</v>
      </c>
      <c r="J5" s="26">
        <f>K5/D5</f>
        <v>259.91649269311068</v>
      </c>
      <c r="K5" s="26">
        <v>249</v>
      </c>
    </row>
    <row r="6" spans="2:11" x14ac:dyDescent="0.3">
      <c r="B6" s="13" t="s">
        <v>211</v>
      </c>
      <c r="C6" s="9">
        <v>72</v>
      </c>
      <c r="D6" s="12">
        <v>0.95699999999999996</v>
      </c>
      <c r="E6" s="15" t="s">
        <v>213</v>
      </c>
      <c r="F6" s="9">
        <f t="shared" si="0"/>
        <v>75.23510971786834</v>
      </c>
      <c r="G6" s="9" t="s">
        <v>15</v>
      </c>
      <c r="H6" s="2" t="s">
        <v>393</v>
      </c>
      <c r="I6" s="2" t="s">
        <v>379</v>
      </c>
      <c r="J6" s="2" t="s">
        <v>392</v>
      </c>
      <c r="K6" s="2" t="s">
        <v>381</v>
      </c>
    </row>
    <row r="7" spans="2:11" x14ac:dyDescent="0.3">
      <c r="B7" s="52" t="s">
        <v>212</v>
      </c>
      <c r="C7" s="18">
        <v>300</v>
      </c>
      <c r="D7" s="25">
        <v>0.95499999999999996</v>
      </c>
      <c r="E7" s="19" t="s">
        <v>213</v>
      </c>
      <c r="F7" s="18">
        <f t="shared" si="0"/>
        <v>314.13612565445027</v>
      </c>
      <c r="G7" s="18" t="s">
        <v>16</v>
      </c>
      <c r="H7" s="26">
        <f>I7/D6</f>
        <v>87.523510971786848</v>
      </c>
      <c r="I7" s="26">
        <f>K7*C6/C7</f>
        <v>83.76</v>
      </c>
      <c r="J7" s="26">
        <f>K7/D7</f>
        <v>365.44502617801049</v>
      </c>
      <c r="K7" s="26">
        <v>349</v>
      </c>
    </row>
    <row r="8" spans="2:11" x14ac:dyDescent="0.3">
      <c r="B8" s="13" t="s">
        <v>211</v>
      </c>
      <c r="C8" s="9">
        <v>119.7</v>
      </c>
      <c r="D8" s="12">
        <v>0.95699999999999996</v>
      </c>
      <c r="E8" s="15" t="s">
        <v>218</v>
      </c>
      <c r="F8" s="9">
        <f t="shared" si="0"/>
        <v>125.07836990595612</v>
      </c>
      <c r="G8" s="9" t="s">
        <v>15</v>
      </c>
      <c r="H8" s="2" t="s">
        <v>393</v>
      </c>
      <c r="I8" s="2" t="s">
        <v>379</v>
      </c>
      <c r="J8" s="2" t="s">
        <v>392</v>
      </c>
      <c r="K8" s="2" t="s">
        <v>381</v>
      </c>
    </row>
    <row r="9" spans="2:11" x14ac:dyDescent="0.3">
      <c r="B9" s="52" t="s">
        <v>212</v>
      </c>
      <c r="C9" s="18">
        <v>399</v>
      </c>
      <c r="D9" s="25">
        <v>0.94099999999999995</v>
      </c>
      <c r="E9" s="19" t="s">
        <v>218</v>
      </c>
      <c r="F9" s="18">
        <f t="shared" si="0"/>
        <v>424.01700318809782</v>
      </c>
      <c r="G9" s="18" t="s">
        <v>16</v>
      </c>
      <c r="H9" s="26">
        <f>I9/D8</f>
        <v>140.75235109717872</v>
      </c>
      <c r="I9" s="26">
        <f>K9*C8/C9</f>
        <v>134.70000000000002</v>
      </c>
      <c r="J9" s="26">
        <f>K9/D9</f>
        <v>477.15196599362383</v>
      </c>
      <c r="K9" s="26">
        <v>449</v>
      </c>
    </row>
    <row r="10" spans="2:11" x14ac:dyDescent="0.3">
      <c r="B10" s="13" t="s">
        <v>211</v>
      </c>
      <c r="C10" s="9">
        <v>149.69999999999999</v>
      </c>
      <c r="D10" s="12">
        <v>0.95699999999999996</v>
      </c>
      <c r="E10" s="15" t="s">
        <v>218</v>
      </c>
      <c r="F10" s="9">
        <f t="shared" si="0"/>
        <v>156.42633228840126</v>
      </c>
      <c r="G10" s="9" t="s">
        <v>15</v>
      </c>
      <c r="H10" s="2" t="s">
        <v>393</v>
      </c>
      <c r="I10" s="2" t="s">
        <v>379</v>
      </c>
      <c r="J10" s="2" t="s">
        <v>392</v>
      </c>
      <c r="K10" s="2" t="s">
        <v>381</v>
      </c>
    </row>
    <row r="11" spans="2:11" x14ac:dyDescent="0.3">
      <c r="B11" s="52" t="s">
        <v>212</v>
      </c>
      <c r="C11" s="18">
        <v>499</v>
      </c>
      <c r="D11" s="25">
        <v>0.93400000000000005</v>
      </c>
      <c r="E11" s="19" t="s">
        <v>218</v>
      </c>
      <c r="F11" s="18">
        <f t="shared" si="0"/>
        <v>534.26124197002139</v>
      </c>
      <c r="G11" s="18" t="s">
        <v>16</v>
      </c>
      <c r="H11" s="26">
        <f>I11/D10</f>
        <v>156.42633228840126</v>
      </c>
      <c r="I11" s="26">
        <f>K11*C10/C11</f>
        <v>149.69999999999999</v>
      </c>
      <c r="J11" s="26">
        <f>K11/D11</f>
        <v>534.26124197002139</v>
      </c>
      <c r="K11" s="26">
        <v>499</v>
      </c>
    </row>
    <row r="12" spans="2:11" x14ac:dyDescent="0.3">
      <c r="B12" s="13" t="s">
        <v>211</v>
      </c>
      <c r="C12" s="9">
        <v>180</v>
      </c>
      <c r="D12" s="12">
        <v>0.92500000000000004</v>
      </c>
      <c r="E12" s="15" t="s">
        <v>221</v>
      </c>
      <c r="F12" s="9">
        <f t="shared" si="0"/>
        <v>194.59459459459458</v>
      </c>
      <c r="G12" s="9" t="s">
        <v>15</v>
      </c>
      <c r="H12" s="2" t="s">
        <v>393</v>
      </c>
      <c r="I12" s="2" t="s">
        <v>379</v>
      </c>
      <c r="J12" s="2" t="s">
        <v>392</v>
      </c>
      <c r="K12" s="2" t="s">
        <v>381</v>
      </c>
    </row>
    <row r="13" spans="2:11" x14ac:dyDescent="0.3">
      <c r="B13" s="52" t="s">
        <v>212</v>
      </c>
      <c r="C13" s="18">
        <v>600</v>
      </c>
      <c r="D13" s="25">
        <v>0.92500000000000004</v>
      </c>
      <c r="E13" s="19" t="s">
        <v>221</v>
      </c>
      <c r="F13" s="18">
        <f t="shared" si="0"/>
        <v>648.64864864864865</v>
      </c>
      <c r="G13" s="18" t="s">
        <v>16</v>
      </c>
      <c r="H13" s="26">
        <f>I13/D12</f>
        <v>194.59459459459458</v>
      </c>
      <c r="I13" s="26">
        <f>K13*C12/C13</f>
        <v>180</v>
      </c>
      <c r="J13" s="26">
        <f>K13/D13</f>
        <v>648.64864864864865</v>
      </c>
      <c r="K13" s="26">
        <v>600</v>
      </c>
    </row>
    <row r="14" spans="2:11" x14ac:dyDescent="0.3">
      <c r="B14" s="13" t="s">
        <v>211</v>
      </c>
      <c r="C14" s="9">
        <v>240</v>
      </c>
      <c r="D14" s="12">
        <v>0.94499999999999995</v>
      </c>
      <c r="E14" s="15" t="s">
        <v>221</v>
      </c>
      <c r="F14" s="9">
        <f t="shared" si="0"/>
        <v>253.96825396825398</v>
      </c>
      <c r="G14" s="9" t="s">
        <v>15</v>
      </c>
      <c r="H14" s="2" t="s">
        <v>393</v>
      </c>
      <c r="I14" s="2" t="s">
        <v>379</v>
      </c>
      <c r="J14" s="2" t="s">
        <v>392</v>
      </c>
      <c r="K14" s="2" t="s">
        <v>381</v>
      </c>
    </row>
    <row r="15" spans="2:11" x14ac:dyDescent="0.3">
      <c r="B15" s="52" t="s">
        <v>212</v>
      </c>
      <c r="C15" s="18">
        <v>800</v>
      </c>
      <c r="D15" s="25">
        <v>0.93200000000000005</v>
      </c>
      <c r="E15" s="19" t="s">
        <v>221</v>
      </c>
      <c r="F15" s="18">
        <f t="shared" si="0"/>
        <v>858.36909871244632</v>
      </c>
      <c r="G15" s="18" t="s">
        <v>16</v>
      </c>
      <c r="H15" s="26">
        <f>I15/D14</f>
        <v>253.96825396825398</v>
      </c>
      <c r="I15" s="26">
        <f>K15*C14/C15</f>
        <v>240</v>
      </c>
      <c r="J15" s="26">
        <f>K15/D15</f>
        <v>858.36909871244632</v>
      </c>
      <c r="K15" s="26">
        <v>800</v>
      </c>
    </row>
    <row r="16" spans="2:11" x14ac:dyDescent="0.3">
      <c r="B16" s="13" t="s">
        <v>211</v>
      </c>
      <c r="C16" s="9">
        <v>300</v>
      </c>
      <c r="D16" s="12">
        <v>0.94499999999999995</v>
      </c>
      <c r="E16" s="15" t="s">
        <v>221</v>
      </c>
      <c r="F16" s="9">
        <f t="shared" si="0"/>
        <v>317.46031746031747</v>
      </c>
      <c r="G16" s="9" t="s">
        <v>15</v>
      </c>
      <c r="H16" s="2" t="s">
        <v>393</v>
      </c>
      <c r="I16" s="2" t="s">
        <v>379</v>
      </c>
      <c r="J16" s="2" t="s">
        <v>392</v>
      </c>
      <c r="K16" s="2" t="s">
        <v>381</v>
      </c>
    </row>
    <row r="17" spans="1:11" x14ac:dyDescent="0.3">
      <c r="B17" s="52" t="s">
        <v>212</v>
      </c>
      <c r="C17" s="18">
        <v>1000</v>
      </c>
      <c r="D17" s="25">
        <v>0.91100000000000003</v>
      </c>
      <c r="E17" s="19" t="s">
        <v>221</v>
      </c>
      <c r="F17" s="18">
        <f t="shared" si="0"/>
        <v>1097.694840834248</v>
      </c>
      <c r="G17" s="18" t="s">
        <v>16</v>
      </c>
      <c r="H17" s="26">
        <f>I17/D16</f>
        <v>317.46031746031747</v>
      </c>
      <c r="I17" s="26">
        <f>K17*C16/C17</f>
        <v>300</v>
      </c>
      <c r="J17" s="26">
        <f>K17/D17</f>
        <v>1097.694840834248</v>
      </c>
      <c r="K17" s="26">
        <v>1000</v>
      </c>
    </row>
    <row r="18" spans="1:11" x14ac:dyDescent="0.3">
      <c r="B18" s="13" t="s">
        <v>211</v>
      </c>
      <c r="C18" s="9">
        <v>375</v>
      </c>
      <c r="D18" s="12">
        <v>0.94299999999999995</v>
      </c>
      <c r="E18" s="15" t="s">
        <v>221</v>
      </c>
      <c r="F18" s="9">
        <f t="shared" si="0"/>
        <v>397.66702014846237</v>
      </c>
      <c r="G18" s="9" t="s">
        <v>15</v>
      </c>
      <c r="H18" s="2" t="s">
        <v>393</v>
      </c>
      <c r="I18" s="2" t="s">
        <v>379</v>
      </c>
      <c r="J18" s="2" t="s">
        <v>392</v>
      </c>
      <c r="K18" s="2" t="s">
        <v>381</v>
      </c>
    </row>
    <row r="19" spans="1:11" x14ac:dyDescent="0.3">
      <c r="B19" s="52" t="s">
        <v>212</v>
      </c>
      <c r="C19" s="18">
        <v>1250</v>
      </c>
      <c r="D19" s="25">
        <v>0.93400000000000005</v>
      </c>
      <c r="E19" s="19" t="s">
        <v>221</v>
      </c>
      <c r="F19" s="18">
        <f t="shared" si="0"/>
        <v>1338.3297644539614</v>
      </c>
      <c r="G19" s="18" t="s">
        <v>16</v>
      </c>
      <c r="H19" s="26">
        <f>I19/D18</f>
        <v>397.66702014846237</v>
      </c>
      <c r="I19" s="26">
        <f>K19*C18/C19</f>
        <v>375</v>
      </c>
      <c r="J19" s="26">
        <f>K19/D19</f>
        <v>1338.3297644539614</v>
      </c>
      <c r="K19" s="26">
        <v>1250</v>
      </c>
    </row>
    <row r="20" spans="1:11" x14ac:dyDescent="0.3">
      <c r="B20" s="13" t="s">
        <v>211</v>
      </c>
      <c r="C20" s="9">
        <v>450</v>
      </c>
      <c r="D20" s="12">
        <v>0.94299999999999995</v>
      </c>
      <c r="E20" s="15" t="s">
        <v>221</v>
      </c>
      <c r="F20" s="9">
        <f t="shared" si="0"/>
        <v>477.20042417815483</v>
      </c>
      <c r="G20" s="9" t="s">
        <v>15</v>
      </c>
      <c r="H20" s="2" t="s">
        <v>393</v>
      </c>
      <c r="I20" s="2" t="s">
        <v>379</v>
      </c>
      <c r="J20" s="2" t="s">
        <v>392</v>
      </c>
      <c r="K20" s="2" t="s">
        <v>381</v>
      </c>
    </row>
    <row r="21" spans="1:11" x14ac:dyDescent="0.3">
      <c r="B21" s="52" t="s">
        <v>212</v>
      </c>
      <c r="C21" s="18">
        <v>1500</v>
      </c>
      <c r="D21" s="25">
        <v>0.92600000000000005</v>
      </c>
      <c r="E21" s="19" t="s">
        <v>221</v>
      </c>
      <c r="F21" s="18">
        <f t="shared" si="0"/>
        <v>1619.8704103671705</v>
      </c>
      <c r="G21" s="18" t="s">
        <v>16</v>
      </c>
      <c r="H21" s="26">
        <f>I21/D20</f>
        <v>477.20042417815483</v>
      </c>
      <c r="I21" s="26">
        <f>K21*C20/C21</f>
        <v>450</v>
      </c>
      <c r="J21" s="26">
        <f>K21/D21</f>
        <v>1619.8704103671705</v>
      </c>
      <c r="K21" s="26">
        <v>1500</v>
      </c>
    </row>
    <row r="23" spans="1:11" x14ac:dyDescent="0.3">
      <c r="B23" t="s">
        <v>1</v>
      </c>
      <c r="C23" t="s">
        <v>4</v>
      </c>
    </row>
    <row r="24" spans="1:11" x14ac:dyDescent="0.3">
      <c r="A24" t="s">
        <v>213</v>
      </c>
      <c r="B24" t="s">
        <v>215</v>
      </c>
      <c r="C24" s="4" t="s">
        <v>214</v>
      </c>
      <c r="D24" s="4"/>
    </row>
    <row r="25" spans="1:11" x14ac:dyDescent="0.3">
      <c r="A25" t="s">
        <v>218</v>
      </c>
      <c r="B25" t="s">
        <v>220</v>
      </c>
      <c r="C25" s="4" t="s">
        <v>219</v>
      </c>
      <c r="D25" s="4"/>
    </row>
    <row r="26" spans="1:11" x14ac:dyDescent="0.3">
      <c r="A26" t="s">
        <v>221</v>
      </c>
      <c r="B26" t="s">
        <v>222</v>
      </c>
      <c r="C26" s="4" t="s">
        <v>223</v>
      </c>
      <c r="D26" s="4"/>
    </row>
    <row r="27" spans="1:11" x14ac:dyDescent="0.3">
      <c r="C27" s="4"/>
      <c r="D27" s="4"/>
    </row>
    <row r="28" spans="1:11" x14ac:dyDescent="0.3">
      <c r="E28" s="10" t="s">
        <v>18</v>
      </c>
      <c r="F28" s="10" t="s">
        <v>18</v>
      </c>
      <c r="G28" s="10" t="s">
        <v>18</v>
      </c>
    </row>
    <row r="29" spans="1:11" x14ac:dyDescent="0.3">
      <c r="B29" s="2" t="s">
        <v>13</v>
      </c>
      <c r="C29" s="2" t="s">
        <v>12</v>
      </c>
      <c r="D29" s="2" t="s">
        <v>25</v>
      </c>
      <c r="E29" s="2" t="s">
        <v>17</v>
      </c>
      <c r="F29" s="2" t="s">
        <v>22</v>
      </c>
      <c r="G29" s="2" t="s">
        <v>23</v>
      </c>
    </row>
    <row r="30" spans="1:11" x14ac:dyDescent="0.3">
      <c r="B30" s="9" t="s">
        <v>15</v>
      </c>
      <c r="C30" s="9">
        <f>$C3</f>
        <v>150</v>
      </c>
      <c r="D30" s="9">
        <f t="shared" ref="D30:D49" si="1">$F2</f>
        <v>48.701298701298697</v>
      </c>
      <c r="E30" s="9">
        <f t="shared" ref="E30:E49" si="2">$D30*$D2</f>
        <v>45</v>
      </c>
      <c r="F30" s="9">
        <f t="shared" ref="F30:F49" si="3">$B$52*$D30+$C$52*$C30+$D$52</f>
        <v>48.409988625795791</v>
      </c>
      <c r="G30" s="20">
        <f t="shared" ref="G30:G49" si="4">($E30-$F30)/$E30</f>
        <v>-7.5777525017684227E-2</v>
      </c>
    </row>
    <row r="31" spans="1:11" x14ac:dyDescent="0.3">
      <c r="B31" s="18" t="s">
        <v>16</v>
      </c>
      <c r="C31" s="18">
        <f>$C3</f>
        <v>150</v>
      </c>
      <c r="D31" s="18">
        <f t="shared" si="1"/>
        <v>162.16216216216216</v>
      </c>
      <c r="E31" s="18">
        <f t="shared" si="2"/>
        <v>150</v>
      </c>
      <c r="F31" s="18">
        <f t="shared" si="3"/>
        <v>152.84031172876075</v>
      </c>
      <c r="G31" s="20">
        <f t="shared" si="4"/>
        <v>-1.8935411525071687E-2</v>
      </c>
    </row>
    <row r="32" spans="1:11" x14ac:dyDescent="0.3">
      <c r="B32" s="9" t="s">
        <v>15</v>
      </c>
      <c r="C32" s="9">
        <f>$C5</f>
        <v>240</v>
      </c>
      <c r="D32" s="9">
        <f t="shared" si="1"/>
        <v>75.23510971786834</v>
      </c>
      <c r="E32" s="9">
        <f t="shared" si="2"/>
        <v>72</v>
      </c>
      <c r="F32" s="9">
        <f t="shared" si="3"/>
        <v>73.225951645340061</v>
      </c>
      <c r="G32" s="20">
        <f t="shared" si="4"/>
        <v>-1.7027106185278622E-2</v>
      </c>
    </row>
    <row r="33" spans="2:7" x14ac:dyDescent="0.3">
      <c r="B33" s="18" t="s">
        <v>16</v>
      </c>
      <c r="C33" s="18">
        <f>$C5</f>
        <v>240</v>
      </c>
      <c r="D33" s="18">
        <f t="shared" si="1"/>
        <v>250.52192066805847</v>
      </c>
      <c r="E33" s="18">
        <f t="shared" si="2"/>
        <v>240</v>
      </c>
      <c r="F33" s="18">
        <f t="shared" si="3"/>
        <v>234.56139141599547</v>
      </c>
      <c r="G33" s="20">
        <f t="shared" si="4"/>
        <v>2.2660869100018861E-2</v>
      </c>
    </row>
    <row r="34" spans="2:7" x14ac:dyDescent="0.3">
      <c r="B34" s="9" t="s">
        <v>15</v>
      </c>
      <c r="C34" s="9">
        <f>$C7</f>
        <v>300</v>
      </c>
      <c r="D34" s="9">
        <f t="shared" si="1"/>
        <v>75.23510971786834</v>
      </c>
      <c r="E34" s="9">
        <f t="shared" si="2"/>
        <v>72</v>
      </c>
      <c r="F34" s="9">
        <f t="shared" si="3"/>
        <v>73.488633318610823</v>
      </c>
      <c r="G34" s="20">
        <f t="shared" si="4"/>
        <v>-2.0675462758483656E-2</v>
      </c>
    </row>
    <row r="35" spans="2:7" x14ac:dyDescent="0.3">
      <c r="B35" s="18" t="s">
        <v>16</v>
      </c>
      <c r="C35" s="18">
        <f>$C7</f>
        <v>300</v>
      </c>
      <c r="D35" s="18">
        <f t="shared" si="1"/>
        <v>314.13612565445027</v>
      </c>
      <c r="E35" s="18">
        <f t="shared" si="2"/>
        <v>300</v>
      </c>
      <c r="F35" s="18">
        <f t="shared" si="3"/>
        <v>293.37511684153441</v>
      </c>
      <c r="G35" s="20">
        <f t="shared" si="4"/>
        <v>2.2082943861551976E-2</v>
      </c>
    </row>
    <row r="36" spans="2:7" x14ac:dyDescent="0.3">
      <c r="B36" s="9" t="s">
        <v>15</v>
      </c>
      <c r="C36" s="9">
        <f>$C9</f>
        <v>399</v>
      </c>
      <c r="D36" s="9">
        <f t="shared" si="1"/>
        <v>125.07836990595612</v>
      </c>
      <c r="E36" s="9">
        <f t="shared" si="2"/>
        <v>119.7</v>
      </c>
      <c r="F36" s="9">
        <f t="shared" si="3"/>
        <v>119.79820961913157</v>
      </c>
      <c r="G36" s="20">
        <f t="shared" si="4"/>
        <v>-8.2046465439904951E-4</v>
      </c>
    </row>
    <row r="37" spans="2:7" x14ac:dyDescent="0.3">
      <c r="B37" s="18" t="s">
        <v>16</v>
      </c>
      <c r="C37" s="18">
        <f>$C9</f>
        <v>399</v>
      </c>
      <c r="D37" s="18">
        <f t="shared" si="1"/>
        <v>424.01700318809782</v>
      </c>
      <c r="E37" s="18">
        <f t="shared" si="2"/>
        <v>399</v>
      </c>
      <c r="F37" s="18">
        <f t="shared" si="3"/>
        <v>394.9438158605389</v>
      </c>
      <c r="G37" s="20">
        <f t="shared" si="4"/>
        <v>1.0165875036243346E-2</v>
      </c>
    </row>
    <row r="38" spans="2:7" x14ac:dyDescent="0.3">
      <c r="B38" s="9" t="s">
        <v>15</v>
      </c>
      <c r="C38" s="9">
        <f>$C11</f>
        <v>499</v>
      </c>
      <c r="D38" s="9">
        <f t="shared" si="1"/>
        <v>156.42633228840126</v>
      </c>
      <c r="E38" s="9">
        <f t="shared" si="2"/>
        <v>149.69999999999999</v>
      </c>
      <c r="F38" s="9">
        <f t="shared" si="3"/>
        <v>149.08893790453504</v>
      </c>
      <c r="G38" s="20">
        <f t="shared" si="4"/>
        <v>4.0819111253503331E-3</v>
      </c>
    </row>
    <row r="39" spans="2:7" x14ac:dyDescent="0.3">
      <c r="B39" s="18" t="s">
        <v>16</v>
      </c>
      <c r="C39" s="18">
        <f>$C11</f>
        <v>499</v>
      </c>
      <c r="D39" s="18">
        <f t="shared" si="1"/>
        <v>534.26124197002139</v>
      </c>
      <c r="E39" s="18">
        <f t="shared" si="2"/>
        <v>499</v>
      </c>
      <c r="F39" s="18">
        <f t="shared" si="3"/>
        <v>496.85133362472448</v>
      </c>
      <c r="G39" s="20">
        <f t="shared" si="4"/>
        <v>4.3059446398307109E-3</v>
      </c>
    </row>
    <row r="40" spans="2:7" x14ac:dyDescent="0.3">
      <c r="B40" s="9" t="s">
        <v>15</v>
      </c>
      <c r="C40" s="9">
        <f>$C13</f>
        <v>600</v>
      </c>
      <c r="D40" s="9">
        <f t="shared" si="1"/>
        <v>194.59459459459458</v>
      </c>
      <c r="E40" s="9">
        <f t="shared" si="2"/>
        <v>180</v>
      </c>
      <c r="F40" s="9">
        <f t="shared" si="3"/>
        <v>184.66150503533393</v>
      </c>
      <c r="G40" s="20">
        <f t="shared" si="4"/>
        <v>-2.5897250196299619E-2</v>
      </c>
    </row>
    <row r="41" spans="2:7" x14ac:dyDescent="0.3">
      <c r="B41" s="18" t="s">
        <v>16</v>
      </c>
      <c r="C41" s="18">
        <f>$C13</f>
        <v>600</v>
      </c>
      <c r="D41" s="18">
        <f t="shared" si="1"/>
        <v>648.64864864864865</v>
      </c>
      <c r="E41" s="18">
        <f t="shared" si="2"/>
        <v>600</v>
      </c>
      <c r="F41" s="18">
        <f t="shared" si="3"/>
        <v>602.57663563392782</v>
      </c>
      <c r="G41" s="20">
        <f t="shared" si="4"/>
        <v>-4.2943927232130365E-3</v>
      </c>
    </row>
    <row r="42" spans="2:7" x14ac:dyDescent="0.3">
      <c r="B42" s="9" t="s">
        <v>15</v>
      </c>
      <c r="C42" s="9">
        <f>$C15</f>
        <v>800</v>
      </c>
      <c r="D42" s="9">
        <f t="shared" si="1"/>
        <v>253.96825396825398</v>
      </c>
      <c r="E42" s="9">
        <f t="shared" si="2"/>
        <v>240</v>
      </c>
      <c r="F42" s="9">
        <f t="shared" si="3"/>
        <v>240.18512088770041</v>
      </c>
      <c r="G42" s="20">
        <f t="shared" si="4"/>
        <v>-7.7133703208502884E-4</v>
      </c>
    </row>
    <row r="43" spans="2:7" x14ac:dyDescent="0.3">
      <c r="B43" s="18" t="s">
        <v>16</v>
      </c>
      <c r="C43" s="18">
        <f>$C15</f>
        <v>800</v>
      </c>
      <c r="D43" s="18">
        <f t="shared" si="1"/>
        <v>858.36909871244632</v>
      </c>
      <c r="E43" s="18">
        <f t="shared" si="2"/>
        <v>800</v>
      </c>
      <c r="F43" s="18">
        <f t="shared" si="3"/>
        <v>796.48068902527643</v>
      </c>
      <c r="G43" s="20">
        <f t="shared" si="4"/>
        <v>4.3991387184044587E-3</v>
      </c>
    </row>
    <row r="44" spans="2:7" x14ac:dyDescent="0.3">
      <c r="B44" s="9" t="s">
        <v>15</v>
      </c>
      <c r="C44" s="9">
        <f>$C17</f>
        <v>1000</v>
      </c>
      <c r="D44" s="9">
        <f t="shared" si="1"/>
        <v>317.46031746031747</v>
      </c>
      <c r="E44" s="9">
        <f t="shared" si="2"/>
        <v>300</v>
      </c>
      <c r="F44" s="9">
        <f t="shared" si="3"/>
        <v>299.49935016953259</v>
      </c>
      <c r="G44" s="20">
        <f t="shared" si="4"/>
        <v>1.6688327682246988E-3</v>
      </c>
    </row>
    <row r="45" spans="2:7" x14ac:dyDescent="0.3">
      <c r="B45" s="18" t="s">
        <v>16</v>
      </c>
      <c r="C45" s="18">
        <f>$C17</f>
        <v>1000</v>
      </c>
      <c r="D45" s="18">
        <f t="shared" si="1"/>
        <v>1097.694840834248</v>
      </c>
      <c r="E45" s="18">
        <f t="shared" si="2"/>
        <v>1000</v>
      </c>
      <c r="F45" s="18">
        <f t="shared" si="3"/>
        <v>1017.6336996417867</v>
      </c>
      <c r="G45" s="20">
        <f t="shared" si="4"/>
        <v>-1.7633699641786734E-2</v>
      </c>
    </row>
    <row r="46" spans="2:7" x14ac:dyDescent="0.3">
      <c r="B46" s="9" t="s">
        <v>15</v>
      </c>
      <c r="C46" s="9">
        <f>$C19</f>
        <v>1250</v>
      </c>
      <c r="D46" s="9">
        <f t="shared" si="1"/>
        <v>397.66702014846237</v>
      </c>
      <c r="E46" s="9">
        <f t="shared" si="2"/>
        <v>375</v>
      </c>
      <c r="F46" s="9">
        <f t="shared" si="3"/>
        <v>374.41677388349126</v>
      </c>
      <c r="G46" s="20">
        <f t="shared" si="4"/>
        <v>1.5552696440233073E-3</v>
      </c>
    </row>
    <row r="47" spans="2:7" x14ac:dyDescent="0.3">
      <c r="B47" s="18" t="s">
        <v>16</v>
      </c>
      <c r="C47" s="18">
        <f>$C19</f>
        <v>1250</v>
      </c>
      <c r="D47" s="18">
        <f t="shared" si="1"/>
        <v>1338.3297644539614</v>
      </c>
      <c r="E47" s="18">
        <f t="shared" si="2"/>
        <v>1250</v>
      </c>
      <c r="F47" s="18">
        <f t="shared" si="3"/>
        <v>1240.2105932001332</v>
      </c>
      <c r="G47" s="20">
        <f t="shared" si="4"/>
        <v>7.8315254398934487E-3</v>
      </c>
    </row>
    <row r="48" spans="2:7" x14ac:dyDescent="0.3">
      <c r="B48" s="9" t="s">
        <v>15</v>
      </c>
      <c r="C48" s="9">
        <f>$C21</f>
        <v>1500</v>
      </c>
      <c r="D48" s="9">
        <f t="shared" si="1"/>
        <v>477.20042417815483</v>
      </c>
      <c r="E48" s="9">
        <f t="shared" si="2"/>
        <v>450</v>
      </c>
      <c r="F48" s="9">
        <f t="shared" si="3"/>
        <v>448.71448790811507</v>
      </c>
      <c r="G48" s="20">
        <f t="shared" si="4"/>
        <v>2.8566935375220559E-3</v>
      </c>
    </row>
    <row r="49" spans="2:7" x14ac:dyDescent="0.3">
      <c r="B49" s="18" t="s">
        <v>16</v>
      </c>
      <c r="C49" s="18">
        <f>$C21</f>
        <v>1500</v>
      </c>
      <c r="D49" s="18">
        <f t="shared" si="1"/>
        <v>1619.8704103671705</v>
      </c>
      <c r="E49" s="18">
        <f t="shared" si="2"/>
        <v>1500</v>
      </c>
      <c r="F49" s="18">
        <f t="shared" si="3"/>
        <v>1500.4374540297349</v>
      </c>
      <c r="G49" s="20">
        <f t="shared" si="4"/>
        <v>-2.9163601982327237E-4</v>
      </c>
    </row>
    <row r="51" spans="2:7" x14ac:dyDescent="0.3">
      <c r="B51" t="s">
        <v>19</v>
      </c>
      <c r="C51" t="s">
        <v>20</v>
      </c>
      <c r="D51" t="s">
        <v>21</v>
      </c>
    </row>
    <row r="52" spans="2:7" x14ac:dyDescent="0.3">
      <c r="B52" cm="1">
        <f t="array" ref="B52:D52">LINEST(E30:E49,C30:D49)</f>
        <v>0.9204083233421414</v>
      </c>
      <c r="C52">
        <v>4.3780278878461408E-3</v>
      </c>
      <c r="D52">
        <v>2.9282037603717299</v>
      </c>
    </row>
    <row r="54" spans="2:7" x14ac:dyDescent="0.3">
      <c r="B54" s="2" t="s">
        <v>416</v>
      </c>
      <c r="C54" s="57">
        <v>0.3</v>
      </c>
    </row>
    <row r="55" spans="2:7" x14ac:dyDescent="0.3">
      <c r="B55" s="2" t="s">
        <v>415</v>
      </c>
      <c r="C55" s="57">
        <v>1</v>
      </c>
    </row>
    <row r="57" spans="2:7" x14ac:dyDescent="0.3">
      <c r="B57" t="s">
        <v>417</v>
      </c>
    </row>
    <row r="59" spans="2:7" x14ac:dyDescent="0.3">
      <c r="B59" s="2" t="s">
        <v>378</v>
      </c>
      <c r="C59" s="2" t="s">
        <v>379</v>
      </c>
      <c r="F59" s="2" t="s">
        <v>380</v>
      </c>
      <c r="G59" s="2" t="s">
        <v>381</v>
      </c>
    </row>
    <row r="60" spans="2:7" x14ac:dyDescent="0.3">
      <c r="B60">
        <f>C54</f>
        <v>0.3</v>
      </c>
      <c r="C60" s="67">
        <f>B52*C54+C52</f>
        <v>0.28050052489048855</v>
      </c>
      <c r="D60" s="67"/>
      <c r="F60">
        <f>C55</f>
        <v>1</v>
      </c>
      <c r="G60" s="67">
        <f>B52*C55+C52</f>
        <v>0.92478635122998754</v>
      </c>
    </row>
  </sheetData>
  <hyperlinks>
    <hyperlink ref="C26" r:id="rId1" xr:uid="{1DA54EBC-8CE6-4EF6-B855-DAA07BFDB92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55F8-539C-48B7-94F4-955D1B48277D}">
  <sheetPr codeName="Sheet9">
    <tabColor rgb="FF00B050"/>
  </sheetPr>
  <dimension ref="A1:K70"/>
  <sheetViews>
    <sheetView topLeftCell="A52" zoomScaleNormal="100" workbookViewId="0">
      <selection activeCell="B71" sqref="B71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217</v>
      </c>
      <c r="C1" s="3" t="s">
        <v>0</v>
      </c>
      <c r="D1" s="2" t="s">
        <v>153</v>
      </c>
      <c r="E1" s="5" t="s">
        <v>11</v>
      </c>
      <c r="F1" s="2" t="s">
        <v>24</v>
      </c>
    </row>
    <row r="2" spans="2:11" x14ac:dyDescent="0.3">
      <c r="B2" s="13" t="s">
        <v>272</v>
      </c>
      <c r="C2" s="9">
        <v>3</v>
      </c>
      <c r="D2" s="12">
        <v>0.93200000000000005</v>
      </c>
      <c r="E2" s="15" t="s">
        <v>26</v>
      </c>
      <c r="F2" s="9">
        <f t="shared" ref="F2:F27" si="0">$C2/$D2</f>
        <v>3.2188841201716736</v>
      </c>
      <c r="G2" s="9" t="s">
        <v>15</v>
      </c>
      <c r="H2" s="2" t="s">
        <v>394</v>
      </c>
      <c r="I2" s="2" t="s">
        <v>379</v>
      </c>
      <c r="J2" s="2" t="s">
        <v>395</v>
      </c>
      <c r="K2" s="2" t="s">
        <v>381</v>
      </c>
    </row>
    <row r="3" spans="2:11" x14ac:dyDescent="0.3">
      <c r="B3" s="52" t="s">
        <v>273</v>
      </c>
      <c r="C3" s="18">
        <v>10</v>
      </c>
      <c r="D3" s="25">
        <v>0.92620000000000002</v>
      </c>
      <c r="E3" s="19" t="s">
        <v>26</v>
      </c>
      <c r="F3" s="18">
        <f t="shared" si="0"/>
        <v>10.796804145972791</v>
      </c>
      <c r="G3" s="18" t="s">
        <v>16</v>
      </c>
      <c r="H3" s="26">
        <f>I3/D2</f>
        <v>4.5064377682403434</v>
      </c>
      <c r="I3" s="26">
        <f>K3*C2/C3</f>
        <v>4.2</v>
      </c>
      <c r="J3" s="26">
        <f>K3/D3</f>
        <v>15.115525804361909</v>
      </c>
      <c r="K3" s="26">
        <v>14</v>
      </c>
    </row>
    <row r="4" spans="2:11" x14ac:dyDescent="0.3">
      <c r="B4" s="13" t="s">
        <v>272</v>
      </c>
      <c r="C4" s="9">
        <v>5</v>
      </c>
      <c r="D4" s="12">
        <v>0.9</v>
      </c>
      <c r="E4" s="15" t="s">
        <v>26</v>
      </c>
      <c r="F4" s="9">
        <f t="shared" si="0"/>
        <v>5.5555555555555554</v>
      </c>
      <c r="G4" s="9" t="s">
        <v>15</v>
      </c>
      <c r="H4" s="2" t="s">
        <v>394</v>
      </c>
      <c r="I4" s="2" t="s">
        <v>379</v>
      </c>
      <c r="J4" s="2" t="s">
        <v>395</v>
      </c>
      <c r="K4" s="2" t="s">
        <v>381</v>
      </c>
    </row>
    <row r="5" spans="2:11" x14ac:dyDescent="0.3">
      <c r="B5" s="52" t="s">
        <v>273</v>
      </c>
      <c r="C5" s="18">
        <v>15</v>
      </c>
      <c r="D5" s="25">
        <v>0.93</v>
      </c>
      <c r="E5" s="19" t="s">
        <v>26</v>
      </c>
      <c r="F5" s="18">
        <f t="shared" si="0"/>
        <v>16.129032258064516</v>
      </c>
      <c r="G5" s="18" t="s">
        <v>16</v>
      </c>
      <c r="H5" s="26">
        <f>I5/D4</f>
        <v>6.6666666666666661</v>
      </c>
      <c r="I5" s="26">
        <f>K5*C4/C5</f>
        <v>6</v>
      </c>
      <c r="J5" s="26">
        <f>K5/D5</f>
        <v>19.35483870967742</v>
      </c>
      <c r="K5" s="26">
        <v>18</v>
      </c>
    </row>
    <row r="6" spans="2:11" x14ac:dyDescent="0.3">
      <c r="B6" s="13" t="s">
        <v>272</v>
      </c>
      <c r="C6" s="9">
        <v>6</v>
      </c>
      <c r="D6" s="12">
        <v>0.93130000000000002</v>
      </c>
      <c r="E6" s="15" t="s">
        <v>26</v>
      </c>
      <c r="F6" s="9">
        <f t="shared" si="0"/>
        <v>6.442607108343176</v>
      </c>
      <c r="G6" s="9" t="s">
        <v>15</v>
      </c>
      <c r="H6" s="2" t="s">
        <v>394</v>
      </c>
      <c r="I6" s="2" t="s">
        <v>379</v>
      </c>
      <c r="J6" s="2" t="s">
        <v>395</v>
      </c>
      <c r="K6" s="2" t="s">
        <v>381</v>
      </c>
    </row>
    <row r="7" spans="2:11" x14ac:dyDescent="0.3">
      <c r="B7" s="52" t="s">
        <v>273</v>
      </c>
      <c r="C7" s="18">
        <v>20</v>
      </c>
      <c r="D7" s="25">
        <v>0.92900000000000005</v>
      </c>
      <c r="E7" s="19" t="s">
        <v>26</v>
      </c>
      <c r="F7" s="18">
        <f t="shared" si="0"/>
        <v>21.528525296017222</v>
      </c>
      <c r="G7" s="18" t="s">
        <v>16</v>
      </c>
      <c r="H7" s="26">
        <f>I7/D6</f>
        <v>9.6639106625147644</v>
      </c>
      <c r="I7" s="26">
        <f>K7*C6/C7</f>
        <v>9</v>
      </c>
      <c r="J7" s="26">
        <f>K7/D7</f>
        <v>32.292787944025832</v>
      </c>
      <c r="K7" s="26">
        <v>30</v>
      </c>
    </row>
    <row r="8" spans="2:11" x14ac:dyDescent="0.3">
      <c r="B8" s="13" t="s">
        <v>272</v>
      </c>
      <c r="C8" s="9">
        <v>12</v>
      </c>
      <c r="D8" s="12">
        <v>0.94799999999999995</v>
      </c>
      <c r="E8" s="15" t="s">
        <v>8</v>
      </c>
      <c r="F8" s="9">
        <f t="shared" si="0"/>
        <v>12.658227848101266</v>
      </c>
      <c r="G8" s="9" t="s">
        <v>15</v>
      </c>
    </row>
    <row r="9" spans="2:11" x14ac:dyDescent="0.3">
      <c r="B9" s="52" t="s">
        <v>273</v>
      </c>
      <c r="C9" s="18">
        <v>40</v>
      </c>
      <c r="D9" s="25">
        <v>0.96499999999999997</v>
      </c>
      <c r="E9" s="19" t="s">
        <v>8</v>
      </c>
      <c r="F9" s="18">
        <f t="shared" si="0"/>
        <v>41.450777202072537</v>
      </c>
      <c r="G9" s="18" t="s">
        <v>16</v>
      </c>
    </row>
    <row r="10" spans="2:11" x14ac:dyDescent="0.3">
      <c r="B10" s="13" t="s">
        <v>272</v>
      </c>
      <c r="C10" s="9">
        <v>13.5</v>
      </c>
      <c r="D10" s="12">
        <v>0.94899999999999995</v>
      </c>
      <c r="E10" s="15" t="s">
        <v>8</v>
      </c>
      <c r="F10" s="9">
        <f t="shared" si="0"/>
        <v>14.225500526870391</v>
      </c>
      <c r="G10" s="9" t="s">
        <v>15</v>
      </c>
      <c r="H10" s="2" t="s">
        <v>394</v>
      </c>
      <c r="I10" s="2" t="s">
        <v>379</v>
      </c>
      <c r="J10" s="2" t="s">
        <v>395</v>
      </c>
      <c r="K10" s="2" t="s">
        <v>381</v>
      </c>
    </row>
    <row r="11" spans="2:11" x14ac:dyDescent="0.3">
      <c r="B11" s="52" t="s">
        <v>273</v>
      </c>
      <c r="C11" s="18">
        <v>45</v>
      </c>
      <c r="D11" s="25">
        <v>0.96399999999999997</v>
      </c>
      <c r="E11" s="19" t="s">
        <v>8</v>
      </c>
      <c r="F11" s="18">
        <f t="shared" si="0"/>
        <v>46.680497925311208</v>
      </c>
      <c r="G11" s="18" t="s">
        <v>16</v>
      </c>
      <c r="H11" s="26">
        <f>I11/D10</f>
        <v>14.225500526870391</v>
      </c>
      <c r="I11" s="26">
        <f>K11*C10/C11</f>
        <v>13.5</v>
      </c>
      <c r="J11" s="26">
        <f>K11/D11</f>
        <v>46.680497925311208</v>
      </c>
      <c r="K11" s="26">
        <v>45</v>
      </c>
    </row>
    <row r="12" spans="2:11" x14ac:dyDescent="0.3">
      <c r="B12" s="13" t="s">
        <v>272</v>
      </c>
      <c r="C12" s="9">
        <v>14.9</v>
      </c>
      <c r="D12" s="12">
        <v>0.94899999999999995</v>
      </c>
      <c r="E12" s="15" t="s">
        <v>8</v>
      </c>
      <c r="F12" s="9">
        <f t="shared" si="0"/>
        <v>15.700737618545839</v>
      </c>
      <c r="G12" s="9" t="s">
        <v>15</v>
      </c>
    </row>
    <row r="13" spans="2:11" x14ac:dyDescent="0.3">
      <c r="B13" s="52" t="s">
        <v>273</v>
      </c>
      <c r="C13" s="18">
        <v>49.5</v>
      </c>
      <c r="D13" s="25">
        <v>0.96299999999999997</v>
      </c>
      <c r="E13" s="19" t="s">
        <v>8</v>
      </c>
      <c r="F13" s="18">
        <f t="shared" si="0"/>
        <v>51.401869158878505</v>
      </c>
      <c r="G13" s="18" t="s">
        <v>16</v>
      </c>
    </row>
    <row r="14" spans="2:11" x14ac:dyDescent="0.3">
      <c r="B14" s="13" t="s">
        <v>272</v>
      </c>
      <c r="C14" s="9">
        <v>18</v>
      </c>
      <c r="D14" s="12">
        <v>0.95099999999999996</v>
      </c>
      <c r="E14" s="15" t="s">
        <v>8</v>
      </c>
      <c r="F14" s="9">
        <f t="shared" si="0"/>
        <v>18.927444794952681</v>
      </c>
      <c r="G14" s="9" t="s">
        <v>15</v>
      </c>
      <c r="H14" s="2" t="s">
        <v>394</v>
      </c>
      <c r="I14" s="2" t="s">
        <v>379</v>
      </c>
      <c r="J14" s="2" t="s">
        <v>395</v>
      </c>
      <c r="K14" s="2" t="s">
        <v>381</v>
      </c>
    </row>
    <row r="15" spans="2:11" x14ac:dyDescent="0.3">
      <c r="B15" s="52" t="s">
        <v>273</v>
      </c>
      <c r="C15" s="18">
        <v>60</v>
      </c>
      <c r="D15" s="25">
        <v>0.96099999999999997</v>
      </c>
      <c r="E15" s="19" t="s">
        <v>8</v>
      </c>
      <c r="F15" s="18">
        <f t="shared" si="0"/>
        <v>62.434963579604577</v>
      </c>
      <c r="G15" s="18" t="s">
        <v>16</v>
      </c>
      <c r="H15" s="26">
        <f>I15/D14</f>
        <v>18.927444794952681</v>
      </c>
      <c r="I15" s="26">
        <f>K15*C14/C15</f>
        <v>18</v>
      </c>
      <c r="J15" s="26">
        <f>K15/D15</f>
        <v>62.434963579604577</v>
      </c>
      <c r="K15" s="26">
        <v>60</v>
      </c>
    </row>
    <row r="16" spans="2:11" x14ac:dyDescent="0.3">
      <c r="B16" s="13" t="s">
        <v>272</v>
      </c>
      <c r="C16" s="9">
        <v>19.5</v>
      </c>
      <c r="D16" s="12">
        <v>0.95199999999999996</v>
      </c>
      <c r="E16" s="15" t="s">
        <v>8</v>
      </c>
      <c r="F16" s="9">
        <f t="shared" si="0"/>
        <v>20.483193277310924</v>
      </c>
      <c r="G16" s="9" t="s">
        <v>15</v>
      </c>
    </row>
    <row r="17" spans="1:11" x14ac:dyDescent="0.3">
      <c r="B17" s="52" t="s">
        <v>273</v>
      </c>
      <c r="C17" s="18">
        <v>65</v>
      </c>
      <c r="D17" s="25">
        <v>0.96099999999999997</v>
      </c>
      <c r="E17" s="19" t="s">
        <v>8</v>
      </c>
      <c r="F17" s="18">
        <f t="shared" si="0"/>
        <v>67.63787721123829</v>
      </c>
      <c r="G17" s="18" t="s">
        <v>16</v>
      </c>
    </row>
    <row r="18" spans="1:11" x14ac:dyDescent="0.3">
      <c r="B18" s="13" t="s">
        <v>272</v>
      </c>
      <c r="C18" s="9">
        <v>20.9</v>
      </c>
      <c r="D18" s="12">
        <v>0.95199999999999996</v>
      </c>
      <c r="E18" s="15" t="s">
        <v>8</v>
      </c>
      <c r="F18" s="9">
        <f t="shared" si="0"/>
        <v>21.95378151260504</v>
      </c>
      <c r="G18" s="9" t="s">
        <v>15</v>
      </c>
      <c r="H18" s="2" t="s">
        <v>394</v>
      </c>
      <c r="I18" s="2" t="s">
        <v>379</v>
      </c>
      <c r="J18" s="2" t="s">
        <v>395</v>
      </c>
      <c r="K18" s="2" t="s">
        <v>381</v>
      </c>
    </row>
    <row r="19" spans="1:11" x14ac:dyDescent="0.3">
      <c r="B19" s="52" t="s">
        <v>273</v>
      </c>
      <c r="C19" s="18">
        <v>69.5</v>
      </c>
      <c r="D19" s="25">
        <v>0.96</v>
      </c>
      <c r="E19" s="19" t="s">
        <v>8</v>
      </c>
      <c r="F19" s="18">
        <f t="shared" si="0"/>
        <v>72.395833333333343</v>
      </c>
      <c r="G19" s="18" t="s">
        <v>16</v>
      </c>
      <c r="H19" s="26">
        <f>I19/D18</f>
        <v>22.111722386796444</v>
      </c>
      <c r="I19" s="26">
        <f>K19*C18/C19</f>
        <v>21.050359712230215</v>
      </c>
      <c r="J19" s="26">
        <f>K19/D19</f>
        <v>72.916666666666671</v>
      </c>
      <c r="K19" s="26">
        <v>70</v>
      </c>
    </row>
    <row r="20" spans="1:11" x14ac:dyDescent="0.3">
      <c r="B20" s="13" t="s">
        <v>272</v>
      </c>
      <c r="C20" s="9">
        <v>24</v>
      </c>
      <c r="D20" s="12">
        <v>0.95399999999999996</v>
      </c>
      <c r="E20" s="15" t="s">
        <v>8</v>
      </c>
      <c r="F20" s="9">
        <f t="shared" si="0"/>
        <v>25.157232704402517</v>
      </c>
      <c r="G20" s="9" t="s">
        <v>15</v>
      </c>
      <c r="H20" s="2" t="s">
        <v>394</v>
      </c>
      <c r="I20" s="2" t="s">
        <v>379</v>
      </c>
      <c r="J20" s="2" t="s">
        <v>395</v>
      </c>
      <c r="K20" s="2" t="s">
        <v>381</v>
      </c>
    </row>
    <row r="21" spans="1:11" x14ac:dyDescent="0.3">
      <c r="B21" s="52" t="s">
        <v>273</v>
      </c>
      <c r="C21" s="18">
        <v>80</v>
      </c>
      <c r="D21" s="25">
        <v>0.95799999999999996</v>
      </c>
      <c r="E21" s="19" t="s">
        <v>8</v>
      </c>
      <c r="F21" s="18">
        <f t="shared" si="0"/>
        <v>83.507306889352819</v>
      </c>
      <c r="G21" s="18" t="s">
        <v>16</v>
      </c>
      <c r="H21" s="26">
        <f>I21/D20</f>
        <v>25.157232704402517</v>
      </c>
      <c r="I21" s="26">
        <f>K21*C20/C21</f>
        <v>24</v>
      </c>
      <c r="J21" s="26">
        <f>K21/D21</f>
        <v>83.507306889352819</v>
      </c>
      <c r="K21" s="26">
        <v>80</v>
      </c>
    </row>
    <row r="22" spans="1:11" x14ac:dyDescent="0.3">
      <c r="B22" s="13" t="s">
        <v>272</v>
      </c>
      <c r="C22" s="9">
        <v>30</v>
      </c>
      <c r="D22" s="12">
        <v>0.95699999999999996</v>
      </c>
      <c r="E22" s="15" t="s">
        <v>8</v>
      </c>
      <c r="F22" s="9">
        <f t="shared" si="0"/>
        <v>31.347962382445143</v>
      </c>
      <c r="G22" s="9" t="s">
        <v>15</v>
      </c>
      <c r="H22" s="2" t="s">
        <v>394</v>
      </c>
      <c r="I22" s="2" t="s">
        <v>379</v>
      </c>
      <c r="J22" s="2" t="s">
        <v>395</v>
      </c>
      <c r="K22" s="2" t="s">
        <v>381</v>
      </c>
    </row>
    <row r="23" spans="1:11" x14ac:dyDescent="0.3">
      <c r="B23" s="52" t="s">
        <v>273</v>
      </c>
      <c r="C23" s="18">
        <v>100</v>
      </c>
      <c r="D23" s="25">
        <v>0.95799999999999996</v>
      </c>
      <c r="E23" s="19" t="s">
        <v>8</v>
      </c>
      <c r="F23" s="18">
        <f t="shared" si="0"/>
        <v>104.38413361169103</v>
      </c>
      <c r="G23" s="18" t="s">
        <v>16</v>
      </c>
      <c r="H23" s="26">
        <f>I23/D22</f>
        <v>32.915360501567399</v>
      </c>
      <c r="I23" s="26">
        <f>K23*C22/C23</f>
        <v>31.5</v>
      </c>
      <c r="J23" s="26">
        <f>K23/D23</f>
        <v>109.60334029227558</v>
      </c>
      <c r="K23" s="26">
        <v>105</v>
      </c>
    </row>
    <row r="24" spans="1:11" x14ac:dyDescent="0.3">
      <c r="B24" s="13" t="s">
        <v>272</v>
      </c>
      <c r="C24" s="9">
        <v>32.4</v>
      </c>
      <c r="D24" s="12">
        <v>0.95799999999999996</v>
      </c>
      <c r="E24" s="15" t="s">
        <v>8</v>
      </c>
      <c r="F24" s="9">
        <f t="shared" si="0"/>
        <v>33.820459290187891</v>
      </c>
      <c r="G24" s="9" t="s">
        <v>15</v>
      </c>
    </row>
    <row r="25" spans="1:11" x14ac:dyDescent="0.3">
      <c r="B25" s="52" t="s">
        <v>273</v>
      </c>
      <c r="C25" s="18">
        <v>108</v>
      </c>
      <c r="D25" s="25">
        <v>0.95699999999999996</v>
      </c>
      <c r="E25" s="19" t="s">
        <v>8</v>
      </c>
      <c r="F25" s="18">
        <f t="shared" si="0"/>
        <v>112.85266457680251</v>
      </c>
      <c r="G25" s="18" t="s">
        <v>16</v>
      </c>
    </row>
    <row r="26" spans="1:11" x14ac:dyDescent="0.3">
      <c r="B26" s="13" t="s">
        <v>272</v>
      </c>
      <c r="C26" s="9">
        <v>45</v>
      </c>
      <c r="D26" s="12">
        <v>0.92100000000000004</v>
      </c>
      <c r="E26" s="15" t="s">
        <v>8</v>
      </c>
      <c r="F26" s="9">
        <f t="shared" si="0"/>
        <v>48.859934853420192</v>
      </c>
      <c r="G26" s="9" t="s">
        <v>15</v>
      </c>
    </row>
    <row r="27" spans="1:11" x14ac:dyDescent="0.3">
      <c r="B27" s="52" t="s">
        <v>273</v>
      </c>
      <c r="C27" s="18">
        <v>150</v>
      </c>
      <c r="D27" s="25">
        <v>0.93200000000000005</v>
      </c>
      <c r="E27" s="19" t="s">
        <v>8</v>
      </c>
      <c r="F27" s="18">
        <f t="shared" si="0"/>
        <v>160.94420600858368</v>
      </c>
      <c r="G27" s="18" t="s">
        <v>16</v>
      </c>
    </row>
    <row r="29" spans="1:11" x14ac:dyDescent="0.3">
      <c r="B29" t="s">
        <v>1</v>
      </c>
      <c r="C29" t="s">
        <v>4</v>
      </c>
    </row>
    <row r="30" spans="1:11" x14ac:dyDescent="0.3">
      <c r="A30" t="s">
        <v>8</v>
      </c>
      <c r="B30" t="s">
        <v>28</v>
      </c>
      <c r="C30" s="4" t="s">
        <v>27</v>
      </c>
      <c r="D30" s="4"/>
    </row>
    <row r="31" spans="1:11" x14ac:dyDescent="0.3">
      <c r="A31" t="s">
        <v>26</v>
      </c>
      <c r="B31" t="s">
        <v>30</v>
      </c>
      <c r="C31" s="4" t="s">
        <v>29</v>
      </c>
      <c r="D31" s="4"/>
    </row>
    <row r="32" spans="1:11" x14ac:dyDescent="0.3">
      <c r="E32" s="10" t="s">
        <v>18</v>
      </c>
      <c r="F32" s="10" t="s">
        <v>18</v>
      </c>
      <c r="G32" s="10" t="s">
        <v>18</v>
      </c>
    </row>
    <row r="33" spans="2:7" x14ac:dyDescent="0.3">
      <c r="B33" s="2" t="s">
        <v>13</v>
      </c>
      <c r="C33" s="2" t="s">
        <v>12</v>
      </c>
      <c r="D33" s="2" t="s">
        <v>25</v>
      </c>
      <c r="E33" s="2" t="s">
        <v>17</v>
      </c>
      <c r="F33" s="2" t="s">
        <v>22</v>
      </c>
      <c r="G33" s="2" t="s">
        <v>23</v>
      </c>
    </row>
    <row r="34" spans="2:7" x14ac:dyDescent="0.3">
      <c r="B34" s="9" t="s">
        <v>15</v>
      </c>
      <c r="C34" s="9">
        <f>$C3</f>
        <v>10</v>
      </c>
      <c r="D34" s="9">
        <f t="shared" ref="D34:D59" si="1">$F2</f>
        <v>3.2188841201716736</v>
      </c>
      <c r="E34" s="9">
        <f t="shared" ref="E34:E59" si="2">$D34*$D2</f>
        <v>3</v>
      </c>
      <c r="F34" s="9">
        <f t="shared" ref="F34:F59" si="3">$B$62*$D34+$C$62*$C34+$D$62</f>
        <v>3.4163454251442196</v>
      </c>
      <c r="G34" s="20">
        <f t="shared" ref="G34:G59" si="4">($E34-$F34)/$E34</f>
        <v>-0.13878180838140652</v>
      </c>
    </row>
    <row r="35" spans="2:7" x14ac:dyDescent="0.3">
      <c r="B35" s="18" t="s">
        <v>16</v>
      </c>
      <c r="C35" s="18">
        <f>$C3</f>
        <v>10</v>
      </c>
      <c r="D35" s="18">
        <f t="shared" si="1"/>
        <v>10.796804145972791</v>
      </c>
      <c r="E35" s="18">
        <f t="shared" si="2"/>
        <v>10</v>
      </c>
      <c r="F35" s="18">
        <f t="shared" si="3"/>
        <v>10.632123351856002</v>
      </c>
      <c r="G35" s="20">
        <f t="shared" si="4"/>
        <v>-6.321233518560021E-2</v>
      </c>
    </row>
    <row r="36" spans="2:7" x14ac:dyDescent="0.3">
      <c r="B36" s="9" t="s">
        <v>15</v>
      </c>
      <c r="C36" s="9">
        <f>$C5</f>
        <v>15</v>
      </c>
      <c r="D36" s="9">
        <f t="shared" si="1"/>
        <v>5.5555555555555554</v>
      </c>
      <c r="E36" s="9">
        <f t="shared" si="2"/>
        <v>5</v>
      </c>
      <c r="F36" s="9">
        <f t="shared" si="3"/>
        <v>5.6033732170117698</v>
      </c>
      <c r="G36" s="20">
        <f t="shared" si="4"/>
        <v>-0.12067464340235397</v>
      </c>
    </row>
    <row r="37" spans="2:7" x14ac:dyDescent="0.3">
      <c r="B37" s="18" t="s">
        <v>16</v>
      </c>
      <c r="C37" s="18">
        <f>$C5</f>
        <v>15</v>
      </c>
      <c r="D37" s="18">
        <f t="shared" si="1"/>
        <v>16.129032258064516</v>
      </c>
      <c r="E37" s="18">
        <f t="shared" si="2"/>
        <v>15</v>
      </c>
      <c r="F37" s="18">
        <f t="shared" si="3"/>
        <v>15.671552814948296</v>
      </c>
      <c r="G37" s="20">
        <f t="shared" si="4"/>
        <v>-4.4770187663219711E-2</v>
      </c>
    </row>
    <row r="38" spans="2:7" x14ac:dyDescent="0.3">
      <c r="B38" s="9" t="s">
        <v>15</v>
      </c>
      <c r="C38" s="9">
        <f>$C7</f>
        <v>20</v>
      </c>
      <c r="D38" s="9">
        <f t="shared" si="1"/>
        <v>6.442607108343176</v>
      </c>
      <c r="E38" s="9">
        <f t="shared" si="2"/>
        <v>6</v>
      </c>
      <c r="F38" s="9">
        <f t="shared" si="3"/>
        <v>6.4100571789964214</v>
      </c>
      <c r="G38" s="20">
        <f t="shared" si="4"/>
        <v>-6.8342863166070231E-2</v>
      </c>
    </row>
    <row r="39" spans="2:7" x14ac:dyDescent="0.3">
      <c r="B39" s="18" t="s">
        <v>16</v>
      </c>
      <c r="C39" s="18">
        <f>$C7</f>
        <v>20</v>
      </c>
      <c r="D39" s="18">
        <f t="shared" si="1"/>
        <v>21.528525296017222</v>
      </c>
      <c r="E39" s="18">
        <f t="shared" si="2"/>
        <v>20</v>
      </c>
      <c r="F39" s="18">
        <f t="shared" si="3"/>
        <v>20.775032672557419</v>
      </c>
      <c r="G39" s="20">
        <f t="shared" si="4"/>
        <v>-3.875163362787095E-2</v>
      </c>
    </row>
    <row r="40" spans="2:7" x14ac:dyDescent="0.3">
      <c r="B40" s="9" t="s">
        <v>15</v>
      </c>
      <c r="C40" s="9">
        <f>$C9</f>
        <v>40</v>
      </c>
      <c r="D40" s="9">
        <f t="shared" si="1"/>
        <v>12.658227848101266</v>
      </c>
      <c r="E40" s="9">
        <f t="shared" si="2"/>
        <v>12</v>
      </c>
      <c r="F40" s="9">
        <f t="shared" si="3"/>
        <v>12.176734173236884</v>
      </c>
      <c r="G40" s="20">
        <f t="shared" si="4"/>
        <v>-1.4727847769740343E-2</v>
      </c>
    </row>
    <row r="41" spans="2:7" x14ac:dyDescent="0.3">
      <c r="B41" s="18" t="s">
        <v>16</v>
      </c>
      <c r="C41" s="18">
        <f>$C9</f>
        <v>40</v>
      </c>
      <c r="D41" s="18">
        <f t="shared" si="1"/>
        <v>41.450777202072537</v>
      </c>
      <c r="E41" s="18">
        <f t="shared" si="2"/>
        <v>40</v>
      </c>
      <c r="F41" s="18">
        <f t="shared" si="3"/>
        <v>39.593313046432577</v>
      </c>
      <c r="G41" s="20">
        <f t="shared" si="4"/>
        <v>1.0167173839185573E-2</v>
      </c>
    </row>
    <row r="42" spans="2:7" x14ac:dyDescent="0.3">
      <c r="B42" s="9" t="s">
        <v>15</v>
      </c>
      <c r="C42" s="9">
        <f>$C11</f>
        <v>45</v>
      </c>
      <c r="D42" s="9">
        <f t="shared" si="1"/>
        <v>14.225500526870391</v>
      </c>
      <c r="E42" s="9">
        <f t="shared" si="2"/>
        <v>13.5</v>
      </c>
      <c r="F42" s="9">
        <f t="shared" si="3"/>
        <v>13.631132094913461</v>
      </c>
      <c r="G42" s="20">
        <f t="shared" si="4"/>
        <v>-9.7134885121082301E-3</v>
      </c>
    </row>
    <row r="43" spans="2:7" x14ac:dyDescent="0.3">
      <c r="B43" s="18" t="s">
        <v>16</v>
      </c>
      <c r="C43" s="18">
        <f>$C11</f>
        <v>45</v>
      </c>
      <c r="D43" s="18">
        <f t="shared" si="1"/>
        <v>46.680497925311208</v>
      </c>
      <c r="E43" s="18">
        <f t="shared" si="2"/>
        <v>45</v>
      </c>
      <c r="F43" s="18">
        <f t="shared" si="3"/>
        <v>44.535133858167725</v>
      </c>
      <c r="G43" s="20">
        <f t="shared" si="4"/>
        <v>1.033035870738388E-2</v>
      </c>
    </row>
    <row r="44" spans="2:7" x14ac:dyDescent="0.3">
      <c r="B44" s="9" t="s">
        <v>15</v>
      </c>
      <c r="C44" s="9">
        <f>$C13</f>
        <v>49.5</v>
      </c>
      <c r="D44" s="9">
        <f t="shared" si="1"/>
        <v>15.700737618545839</v>
      </c>
      <c r="E44" s="9">
        <f t="shared" si="2"/>
        <v>14.9</v>
      </c>
      <c r="F44" s="9">
        <f t="shared" si="3"/>
        <v>15.001690346968964</v>
      </c>
      <c r="G44" s="20">
        <f t="shared" si="4"/>
        <v>-6.8248555012727112E-3</v>
      </c>
    </row>
    <row r="45" spans="2:7" x14ac:dyDescent="0.3">
      <c r="B45" s="18" t="s">
        <v>16</v>
      </c>
      <c r="C45" s="18">
        <f>$C13</f>
        <v>49.5</v>
      </c>
      <c r="D45" s="18">
        <f t="shared" si="1"/>
        <v>51.401869158878505</v>
      </c>
      <c r="E45" s="18">
        <f t="shared" si="2"/>
        <v>49.5</v>
      </c>
      <c r="F45" s="18">
        <f t="shared" si="3"/>
        <v>48.996696371083381</v>
      </c>
      <c r="G45" s="20">
        <f t="shared" si="4"/>
        <v>1.0167750079123617E-2</v>
      </c>
    </row>
    <row r="46" spans="2:7" x14ac:dyDescent="0.3">
      <c r="B46" s="9" t="s">
        <v>15</v>
      </c>
      <c r="C46" s="9">
        <f>$C15</f>
        <v>60</v>
      </c>
      <c r="D46" s="9">
        <f t="shared" si="1"/>
        <v>18.927444794952681</v>
      </c>
      <c r="E46" s="9">
        <f t="shared" si="2"/>
        <v>18</v>
      </c>
      <c r="F46" s="9">
        <f t="shared" si="3"/>
        <v>17.994446059213171</v>
      </c>
      <c r="G46" s="20">
        <f t="shared" si="4"/>
        <v>3.0855226593493355E-4</v>
      </c>
    </row>
    <row r="47" spans="2:7" x14ac:dyDescent="0.3">
      <c r="B47" s="18" t="s">
        <v>16</v>
      </c>
      <c r="C47" s="18">
        <f>$C15</f>
        <v>60</v>
      </c>
      <c r="D47" s="18">
        <f t="shared" si="1"/>
        <v>62.434963579604577</v>
      </c>
      <c r="E47" s="18">
        <f t="shared" si="2"/>
        <v>60</v>
      </c>
      <c r="F47" s="18">
        <f t="shared" si="3"/>
        <v>59.422778982151407</v>
      </c>
      <c r="G47" s="20">
        <f t="shared" si="4"/>
        <v>9.6203502974765587E-3</v>
      </c>
    </row>
    <row r="48" spans="2:7" x14ac:dyDescent="0.3">
      <c r="B48" s="9" t="s">
        <v>15</v>
      </c>
      <c r="C48" s="9">
        <f>$C17</f>
        <v>65</v>
      </c>
      <c r="D48" s="9">
        <f t="shared" si="1"/>
        <v>20.483193277310924</v>
      </c>
      <c r="E48" s="9">
        <f t="shared" si="2"/>
        <v>19.5</v>
      </c>
      <c r="F48" s="9">
        <f t="shared" si="3"/>
        <v>19.437870515637862</v>
      </c>
      <c r="G48" s="20">
        <f t="shared" si="4"/>
        <v>3.1861274031865896E-3</v>
      </c>
    </row>
    <row r="49" spans="2:7" x14ac:dyDescent="0.3">
      <c r="B49" s="18" t="s">
        <v>16</v>
      </c>
      <c r="C49" s="18">
        <f>$C17</f>
        <v>65</v>
      </c>
      <c r="D49" s="18">
        <f t="shared" si="1"/>
        <v>67.63787721123829</v>
      </c>
      <c r="E49" s="18">
        <f t="shared" si="2"/>
        <v>65</v>
      </c>
      <c r="F49" s="18">
        <f t="shared" si="3"/>
        <v>64.339073789491707</v>
      </c>
      <c r="G49" s="20">
        <f t="shared" si="4"/>
        <v>1.0168095546281437E-2</v>
      </c>
    </row>
    <row r="50" spans="2:7" x14ac:dyDescent="0.3">
      <c r="B50" s="9" t="s">
        <v>15</v>
      </c>
      <c r="C50" s="9">
        <f>$C19</f>
        <v>69.5</v>
      </c>
      <c r="D50" s="9">
        <f t="shared" si="1"/>
        <v>21.95378151260504</v>
      </c>
      <c r="E50" s="9">
        <f t="shared" si="2"/>
        <v>20.9</v>
      </c>
      <c r="F50" s="9">
        <f t="shared" si="3"/>
        <v>20.804002076048867</v>
      </c>
      <c r="G50" s="20">
        <f t="shared" si="4"/>
        <v>4.5932021029249414E-3</v>
      </c>
    </row>
    <row r="51" spans="2:7" x14ac:dyDescent="0.3">
      <c r="B51" s="18" t="s">
        <v>16</v>
      </c>
      <c r="C51" s="18">
        <f>$C19</f>
        <v>69.5</v>
      </c>
      <c r="D51" s="18">
        <f t="shared" si="1"/>
        <v>72.395833333333343</v>
      </c>
      <c r="E51" s="18">
        <f t="shared" si="2"/>
        <v>69.5</v>
      </c>
      <c r="F51" s="18">
        <f t="shared" si="3"/>
        <v>68.8354728314537</v>
      </c>
      <c r="G51" s="20">
        <f t="shared" si="4"/>
        <v>9.5615419934719434E-3</v>
      </c>
    </row>
    <row r="52" spans="2:7" x14ac:dyDescent="0.3">
      <c r="B52" s="9" t="s">
        <v>15</v>
      </c>
      <c r="C52" s="9">
        <f>$C21</f>
        <v>80</v>
      </c>
      <c r="D52" s="9">
        <f t="shared" si="1"/>
        <v>25.157232704402517</v>
      </c>
      <c r="E52" s="9">
        <f t="shared" si="2"/>
        <v>24</v>
      </c>
      <c r="F52" s="9">
        <f t="shared" si="3"/>
        <v>23.774613186629708</v>
      </c>
      <c r="G52" s="20">
        <f t="shared" si="4"/>
        <v>9.3911172237621798E-3</v>
      </c>
    </row>
    <row r="53" spans="2:7" x14ac:dyDescent="0.3">
      <c r="B53" s="18" t="s">
        <v>16</v>
      </c>
      <c r="C53" s="18">
        <f>$C21</f>
        <v>80</v>
      </c>
      <c r="D53" s="18">
        <f t="shared" si="1"/>
        <v>83.507306889352819</v>
      </c>
      <c r="E53" s="18">
        <f t="shared" si="2"/>
        <v>80</v>
      </c>
      <c r="F53" s="18">
        <f t="shared" si="3"/>
        <v>79.336188908227285</v>
      </c>
      <c r="G53" s="20">
        <f t="shared" si="4"/>
        <v>8.2976386471589336E-3</v>
      </c>
    </row>
    <row r="54" spans="2:7" x14ac:dyDescent="0.3">
      <c r="B54" s="9" t="s">
        <v>15</v>
      </c>
      <c r="C54" s="9">
        <f>$C23</f>
        <v>100</v>
      </c>
      <c r="D54" s="9">
        <f t="shared" si="1"/>
        <v>31.347962382445143</v>
      </c>
      <c r="E54" s="9">
        <f t="shared" si="2"/>
        <v>30</v>
      </c>
      <c r="F54" s="9">
        <f t="shared" si="3"/>
        <v>29.517588640990187</v>
      </c>
      <c r="G54" s="20">
        <f t="shared" si="4"/>
        <v>1.6080378633660429E-2</v>
      </c>
    </row>
    <row r="55" spans="2:7" x14ac:dyDescent="0.3">
      <c r="B55" s="18" t="s">
        <v>16</v>
      </c>
      <c r="C55" s="18">
        <f>$C23</f>
        <v>100</v>
      </c>
      <c r="D55" s="18">
        <f t="shared" si="1"/>
        <v>104.38413361169103</v>
      </c>
      <c r="E55" s="18">
        <f t="shared" si="2"/>
        <v>100</v>
      </c>
      <c r="F55" s="18">
        <f t="shared" si="3"/>
        <v>99.063425811767161</v>
      </c>
      <c r="G55" s="20">
        <f t="shared" si="4"/>
        <v>9.365741882328393E-3</v>
      </c>
    </row>
    <row r="56" spans="2:7" x14ac:dyDescent="0.3">
      <c r="B56" s="9" t="s">
        <v>15</v>
      </c>
      <c r="C56" s="9">
        <f>$C25</f>
        <v>108</v>
      </c>
      <c r="D56" s="9">
        <f t="shared" si="1"/>
        <v>33.820459290187891</v>
      </c>
      <c r="E56" s="9">
        <f t="shared" si="2"/>
        <v>32.4</v>
      </c>
      <c r="F56" s="9">
        <f t="shared" si="3"/>
        <v>31.811165217209734</v>
      </c>
      <c r="G56" s="20">
        <f t="shared" si="4"/>
        <v>1.8173913049082252E-2</v>
      </c>
    </row>
    <row r="57" spans="2:7" x14ac:dyDescent="0.3">
      <c r="B57" s="18" t="s">
        <v>16</v>
      </c>
      <c r="C57" s="18">
        <f>$C25</f>
        <v>108</v>
      </c>
      <c r="D57" s="18">
        <f t="shared" si="1"/>
        <v>112.85266457680251</v>
      </c>
      <c r="E57" s="18">
        <f t="shared" si="2"/>
        <v>108</v>
      </c>
      <c r="F57" s="18">
        <f t="shared" si="3"/>
        <v>107.06649127829726</v>
      </c>
      <c r="G57" s="20">
        <f t="shared" si="4"/>
        <v>8.6435992750253376E-3</v>
      </c>
    </row>
    <row r="58" spans="2:7" x14ac:dyDescent="0.3">
      <c r="B58" s="9" t="s">
        <v>15</v>
      </c>
      <c r="C58" s="9">
        <f>$C27</f>
        <v>150</v>
      </c>
      <c r="D58" s="9">
        <f t="shared" si="1"/>
        <v>48.859934853420192</v>
      </c>
      <c r="E58" s="9">
        <f t="shared" si="2"/>
        <v>45</v>
      </c>
      <c r="F58" s="9">
        <f t="shared" si="3"/>
        <v>45.812917615743949</v>
      </c>
      <c r="G58" s="20">
        <f t="shared" si="4"/>
        <v>-1.8064835905421087E-2</v>
      </c>
    </row>
    <row r="59" spans="2:7" x14ac:dyDescent="0.3">
      <c r="B59" s="18" t="s">
        <v>16</v>
      </c>
      <c r="C59" s="18">
        <f>$C27</f>
        <v>150</v>
      </c>
      <c r="D59" s="18">
        <f t="shared" si="1"/>
        <v>160.94420600858368</v>
      </c>
      <c r="E59" s="18">
        <f t="shared" si="2"/>
        <v>150</v>
      </c>
      <c r="F59" s="18">
        <f t="shared" si="3"/>
        <v>152.54078053582077</v>
      </c>
      <c r="G59" s="20">
        <f t="shared" si="4"/>
        <v>-1.6938536905471816E-2</v>
      </c>
    </row>
    <row r="61" spans="2:7" x14ac:dyDescent="0.3">
      <c r="B61" t="s">
        <v>19</v>
      </c>
      <c r="C61" t="s">
        <v>20</v>
      </c>
      <c r="D61" t="s">
        <v>21</v>
      </c>
    </row>
    <row r="62" spans="2:7" x14ac:dyDescent="0.3">
      <c r="B62" cm="1">
        <f t="array" ref="B62:D62">LINEST(E34:E59,C34:D59)</f>
        <v>0.95221088400823406</v>
      </c>
      <c r="C62">
        <v>-7.5952362512250338E-3</v>
      </c>
      <c r="D62">
        <v>0.42724129406773415</v>
      </c>
    </row>
    <row r="64" spans="2:7" x14ac:dyDescent="0.3">
      <c r="B64" s="2" t="s">
        <v>416</v>
      </c>
      <c r="C64" s="57">
        <v>0.3</v>
      </c>
    </row>
    <row r="65" spans="2:7" x14ac:dyDescent="0.3">
      <c r="B65" s="2" t="s">
        <v>415</v>
      </c>
      <c r="C65" s="57">
        <v>1</v>
      </c>
    </row>
    <row r="67" spans="2:7" x14ac:dyDescent="0.3">
      <c r="B67" t="s">
        <v>417</v>
      </c>
    </row>
    <row r="69" spans="2:7" x14ac:dyDescent="0.3">
      <c r="B69" s="2" t="s">
        <v>378</v>
      </c>
      <c r="C69" s="2" t="s">
        <v>379</v>
      </c>
      <c r="F69" s="2" t="s">
        <v>380</v>
      </c>
      <c r="G69" s="2" t="s">
        <v>381</v>
      </c>
    </row>
    <row r="70" spans="2:7" x14ac:dyDescent="0.3">
      <c r="B70">
        <f>C64</f>
        <v>0.3</v>
      </c>
      <c r="C70" s="67">
        <f>B62*C64+C62</f>
        <v>0.27806802895124516</v>
      </c>
      <c r="D70" s="67"/>
      <c r="F70">
        <f>C65</f>
        <v>1</v>
      </c>
      <c r="G70" s="67">
        <f>B62*C65+C62</f>
        <v>0.94461564775700901</v>
      </c>
    </row>
  </sheetData>
  <hyperlinks>
    <hyperlink ref="C30" r:id="rId1" xr:uid="{EC0E3E1E-5A40-48F4-8232-F311957075D8}"/>
    <hyperlink ref="C31" r:id="rId2" xr:uid="{0FA4609E-0383-4EE8-8EE8-AB5D81973D7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D2C8-B66C-40FC-86B5-B67E830CDA6F}">
  <sheetPr codeName="Sheet10">
    <tabColor rgb="FF00B050"/>
  </sheetPr>
  <dimension ref="A1:G30"/>
  <sheetViews>
    <sheetView zoomScaleNormal="100" workbookViewId="0">
      <selection activeCell="B10" sqref="B10:D11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1:7" x14ac:dyDescent="0.3">
      <c r="B1" s="10" t="s">
        <v>217</v>
      </c>
      <c r="C1" s="3" t="s">
        <v>0</v>
      </c>
      <c r="D1" s="2" t="s">
        <v>153</v>
      </c>
      <c r="E1" s="5" t="s">
        <v>11</v>
      </c>
      <c r="F1" s="2" t="s">
        <v>24</v>
      </c>
    </row>
    <row r="2" spans="1:7" x14ac:dyDescent="0.3">
      <c r="B2" s="13" t="s">
        <v>272</v>
      </c>
      <c r="C2" s="9">
        <v>45</v>
      </c>
      <c r="D2" s="12">
        <v>0.92100000000000004</v>
      </c>
      <c r="E2" s="15" t="s">
        <v>213</v>
      </c>
      <c r="F2" s="9">
        <f>$C2/$D2</f>
        <v>48.859934853420192</v>
      </c>
      <c r="G2" s="9" t="s">
        <v>15</v>
      </c>
    </row>
    <row r="3" spans="1:7" x14ac:dyDescent="0.3">
      <c r="B3" s="52" t="s">
        <v>273</v>
      </c>
      <c r="C3" s="18">
        <v>150</v>
      </c>
      <c r="D3" s="25">
        <v>0.93200000000000005</v>
      </c>
      <c r="E3" s="19" t="s">
        <v>213</v>
      </c>
      <c r="F3" s="18">
        <f>$C3/$D3</f>
        <v>160.94420600858368</v>
      </c>
      <c r="G3" s="18" t="s">
        <v>16</v>
      </c>
    </row>
    <row r="4" spans="1:7" x14ac:dyDescent="0.3">
      <c r="B4" s="13" t="s">
        <v>272</v>
      </c>
      <c r="C4" s="9">
        <v>72</v>
      </c>
      <c r="D4" s="12">
        <v>0.96099999999999997</v>
      </c>
      <c r="E4" s="15" t="s">
        <v>213</v>
      </c>
      <c r="F4" s="9">
        <f t="shared" ref="F4:F11" si="0">$C4/$D4</f>
        <v>74.92195629552549</v>
      </c>
      <c r="G4" s="9" t="s">
        <v>15</v>
      </c>
    </row>
    <row r="5" spans="1:7" x14ac:dyDescent="0.3">
      <c r="B5" s="52" t="s">
        <v>273</v>
      </c>
      <c r="C5" s="18">
        <v>240</v>
      </c>
      <c r="D5" s="25">
        <v>0.96</v>
      </c>
      <c r="E5" s="19" t="s">
        <v>213</v>
      </c>
      <c r="F5" s="18">
        <f t="shared" si="0"/>
        <v>250</v>
      </c>
      <c r="G5" s="18" t="s">
        <v>16</v>
      </c>
    </row>
    <row r="6" spans="1:7" x14ac:dyDescent="0.3">
      <c r="B6" s="13" t="s">
        <v>272</v>
      </c>
      <c r="C6" s="9">
        <v>72</v>
      </c>
      <c r="D6" s="12">
        <v>0.96099999999999997</v>
      </c>
      <c r="E6" s="15" t="s">
        <v>213</v>
      </c>
      <c r="F6" s="9">
        <f t="shared" si="0"/>
        <v>74.92195629552549</v>
      </c>
      <c r="G6" s="9" t="s">
        <v>15</v>
      </c>
    </row>
    <row r="7" spans="1:7" x14ac:dyDescent="0.3">
      <c r="B7" s="52" t="s">
        <v>273</v>
      </c>
      <c r="C7" s="18">
        <v>300</v>
      </c>
      <c r="D7" s="25">
        <v>0.95699999999999996</v>
      </c>
      <c r="E7" s="19" t="s">
        <v>213</v>
      </c>
      <c r="F7" s="18">
        <f t="shared" si="0"/>
        <v>313.47962382445144</v>
      </c>
      <c r="G7" s="18" t="s">
        <v>16</v>
      </c>
    </row>
    <row r="8" spans="1:7" x14ac:dyDescent="0.3">
      <c r="B8" s="13" t="s">
        <v>272</v>
      </c>
      <c r="C8" s="9">
        <v>119.7</v>
      </c>
      <c r="D8" s="12">
        <v>0.91800000000000004</v>
      </c>
      <c r="E8" s="15" t="s">
        <v>218</v>
      </c>
      <c r="F8" s="9">
        <f t="shared" si="0"/>
        <v>130.39215686274508</v>
      </c>
      <c r="G8" s="9" t="s">
        <v>15</v>
      </c>
    </row>
    <row r="9" spans="1:7" x14ac:dyDescent="0.3">
      <c r="B9" s="52" t="s">
        <v>273</v>
      </c>
      <c r="C9" s="18">
        <v>399</v>
      </c>
      <c r="D9" s="25">
        <v>0.93799999999999994</v>
      </c>
      <c r="E9" s="19" t="s">
        <v>218</v>
      </c>
      <c r="F9" s="18">
        <f t="shared" si="0"/>
        <v>425.37313432835822</v>
      </c>
      <c r="G9" s="18" t="s">
        <v>16</v>
      </c>
    </row>
    <row r="10" spans="1:7" x14ac:dyDescent="0.3">
      <c r="B10" s="13" t="s">
        <v>272</v>
      </c>
      <c r="C10" s="9">
        <v>149.69999999999999</v>
      </c>
      <c r="D10" s="12">
        <v>0.91900000000000004</v>
      </c>
      <c r="E10" s="15" t="s">
        <v>218</v>
      </c>
      <c r="F10" s="9">
        <f t="shared" si="0"/>
        <v>162.89445048966266</v>
      </c>
      <c r="G10" s="9" t="s">
        <v>15</v>
      </c>
    </row>
    <row r="11" spans="1:7" x14ac:dyDescent="0.3">
      <c r="B11" s="52" t="s">
        <v>273</v>
      </c>
      <c r="C11" s="18">
        <v>499</v>
      </c>
      <c r="D11" s="25">
        <v>0.93600000000000005</v>
      </c>
      <c r="E11" s="19" t="s">
        <v>218</v>
      </c>
      <c r="F11" s="18">
        <f t="shared" si="0"/>
        <v>533.11965811965808</v>
      </c>
      <c r="G11" s="18" t="s">
        <v>16</v>
      </c>
    </row>
    <row r="13" spans="1:7" x14ac:dyDescent="0.3">
      <c r="B13" t="s">
        <v>1</v>
      </c>
      <c r="C13" t="s">
        <v>4</v>
      </c>
    </row>
    <row r="14" spans="1:7" x14ac:dyDescent="0.3">
      <c r="A14" t="s">
        <v>213</v>
      </c>
      <c r="B14" t="s">
        <v>215</v>
      </c>
      <c r="C14" s="4" t="s">
        <v>214</v>
      </c>
      <c r="D14" s="4"/>
    </row>
    <row r="15" spans="1:7" x14ac:dyDescent="0.3">
      <c r="A15" t="s">
        <v>218</v>
      </c>
      <c r="B15" t="s">
        <v>220</v>
      </c>
      <c r="C15" s="4" t="s">
        <v>219</v>
      </c>
      <c r="D15" s="4"/>
    </row>
    <row r="16" spans="1:7" x14ac:dyDescent="0.3">
      <c r="E16" s="10" t="s">
        <v>18</v>
      </c>
      <c r="F16" s="10" t="s">
        <v>18</v>
      </c>
      <c r="G16" s="10" t="s">
        <v>18</v>
      </c>
    </row>
    <row r="17" spans="2:7" x14ac:dyDescent="0.3">
      <c r="B17" s="2" t="s">
        <v>13</v>
      </c>
      <c r="C17" s="2" t="s">
        <v>12</v>
      </c>
      <c r="D17" s="2" t="s">
        <v>25</v>
      </c>
      <c r="E17" s="2" t="s">
        <v>17</v>
      </c>
      <c r="F17" s="2" t="s">
        <v>22</v>
      </c>
      <c r="G17" s="2" t="s">
        <v>23</v>
      </c>
    </row>
    <row r="18" spans="2:7" x14ac:dyDescent="0.3">
      <c r="B18" s="9" t="s">
        <v>15</v>
      </c>
      <c r="C18" s="9">
        <f>$C3</f>
        <v>150</v>
      </c>
      <c r="D18" s="9">
        <f t="shared" ref="D18:D27" si="1">$F2</f>
        <v>48.859934853420192</v>
      </c>
      <c r="E18" s="9">
        <f t="shared" ref="E18:E27" si="2">$D18*$D2</f>
        <v>45</v>
      </c>
      <c r="F18" s="9">
        <f t="shared" ref="F18:F27" si="3">$B$30*$D18+$C$30*$C18+$D$30</f>
        <v>47.549620621834357</v>
      </c>
      <c r="G18" s="20">
        <f t="shared" ref="G18:G27" si="4">($E18-$F18)/$E18</f>
        <v>-5.6658236040763497E-2</v>
      </c>
    </row>
    <row r="19" spans="2:7" x14ac:dyDescent="0.3">
      <c r="B19" s="18" t="s">
        <v>16</v>
      </c>
      <c r="C19" s="18">
        <f>$C3</f>
        <v>150</v>
      </c>
      <c r="D19" s="18">
        <f t="shared" si="1"/>
        <v>160.94420600858368</v>
      </c>
      <c r="E19" s="18">
        <f t="shared" si="2"/>
        <v>150</v>
      </c>
      <c r="F19" s="18">
        <f t="shared" si="3"/>
        <v>153.70145442805384</v>
      </c>
      <c r="G19" s="20">
        <f t="shared" si="4"/>
        <v>-2.4676362853692239E-2</v>
      </c>
    </row>
    <row r="20" spans="2:7" x14ac:dyDescent="0.3">
      <c r="B20" s="9" t="s">
        <v>15</v>
      </c>
      <c r="C20" s="9">
        <f>$C5</f>
        <v>240</v>
      </c>
      <c r="D20" s="9">
        <f t="shared" si="1"/>
        <v>74.92195629552549</v>
      </c>
      <c r="E20" s="9">
        <f t="shared" si="2"/>
        <v>72</v>
      </c>
      <c r="F20" s="9">
        <f t="shared" si="3"/>
        <v>70.827962923006169</v>
      </c>
      <c r="G20" s="20">
        <f t="shared" si="4"/>
        <v>1.6278292736025435E-2</v>
      </c>
    </row>
    <row r="21" spans="2:7" x14ac:dyDescent="0.3">
      <c r="B21" s="18" t="s">
        <v>16</v>
      </c>
      <c r="C21" s="18">
        <f>$C5</f>
        <v>240</v>
      </c>
      <c r="D21" s="18">
        <f t="shared" si="1"/>
        <v>250</v>
      </c>
      <c r="E21" s="18">
        <f t="shared" si="2"/>
        <v>240</v>
      </c>
      <c r="F21" s="18">
        <f t="shared" si="3"/>
        <v>236.63941181673653</v>
      </c>
      <c r="G21" s="20">
        <f t="shared" si="4"/>
        <v>1.4002450763597806E-2</v>
      </c>
    </row>
    <row r="22" spans="2:7" x14ac:dyDescent="0.3">
      <c r="B22" s="9" t="s">
        <v>15</v>
      </c>
      <c r="C22" s="9">
        <f>$C7</f>
        <v>300</v>
      </c>
      <c r="D22" s="9">
        <f t="shared" si="1"/>
        <v>74.92195629552549</v>
      </c>
      <c r="E22" s="9">
        <f t="shared" si="2"/>
        <v>72</v>
      </c>
      <c r="F22" s="9">
        <f t="shared" si="3"/>
        <v>69.891790305581267</v>
      </c>
      <c r="G22" s="20">
        <f t="shared" si="4"/>
        <v>2.9280690200260178E-2</v>
      </c>
    </row>
    <row r="23" spans="2:7" x14ac:dyDescent="0.3">
      <c r="B23" s="18" t="s">
        <v>16</v>
      </c>
      <c r="C23" s="18">
        <f>$C7</f>
        <v>300</v>
      </c>
      <c r="D23" s="18">
        <f t="shared" si="1"/>
        <v>313.47962382445144</v>
      </c>
      <c r="E23" s="18">
        <f t="shared" si="2"/>
        <v>300</v>
      </c>
      <c r="F23" s="18">
        <f t="shared" si="3"/>
        <v>295.82299024775364</v>
      </c>
      <c r="G23" s="20">
        <f t="shared" si="4"/>
        <v>1.392336584082121E-2</v>
      </c>
    </row>
    <row r="24" spans="2:7" x14ac:dyDescent="0.3">
      <c r="B24" s="9" t="s">
        <v>15</v>
      </c>
      <c r="C24" s="9">
        <f>$C9</f>
        <v>399</v>
      </c>
      <c r="D24" s="9">
        <f t="shared" si="1"/>
        <v>130.39215686274508</v>
      </c>
      <c r="E24" s="9">
        <f t="shared" si="2"/>
        <v>119.69999999999999</v>
      </c>
      <c r="F24" s="9">
        <f t="shared" si="3"/>
        <v>120.88135896524877</v>
      </c>
      <c r="G24" s="20">
        <f t="shared" si="4"/>
        <v>-9.8693313721702289E-3</v>
      </c>
    </row>
    <row r="25" spans="2:7" x14ac:dyDescent="0.3">
      <c r="B25" s="18" t="s">
        <v>16</v>
      </c>
      <c r="C25" s="18">
        <f>$C9</f>
        <v>399</v>
      </c>
      <c r="D25" s="18">
        <f t="shared" si="1"/>
        <v>425.37313432835822</v>
      </c>
      <c r="E25" s="18">
        <f t="shared" si="2"/>
        <v>399</v>
      </c>
      <c r="F25" s="18">
        <f t="shared" si="3"/>
        <v>400.24947523357162</v>
      </c>
      <c r="G25" s="20">
        <f t="shared" si="4"/>
        <v>-3.1315168761193377E-3</v>
      </c>
    </row>
    <row r="26" spans="2:7" x14ac:dyDescent="0.3">
      <c r="B26" s="9" t="s">
        <v>15</v>
      </c>
      <c r="C26" s="9">
        <f>$C11</f>
        <v>499</v>
      </c>
      <c r="D26" s="9">
        <f t="shared" si="1"/>
        <v>162.89445048966266</v>
      </c>
      <c r="E26" s="9">
        <f t="shared" si="2"/>
        <v>149.69999999999999</v>
      </c>
      <c r="F26" s="9">
        <f t="shared" si="3"/>
        <v>150.10307159703754</v>
      </c>
      <c r="G26" s="20">
        <f t="shared" si="4"/>
        <v>-2.6925290383270038E-3</v>
      </c>
    </row>
    <row r="27" spans="2:7" x14ac:dyDescent="0.3">
      <c r="B27" s="18" t="s">
        <v>16</v>
      </c>
      <c r="C27" s="18">
        <f>$C11</f>
        <v>499</v>
      </c>
      <c r="D27" s="18">
        <f t="shared" si="1"/>
        <v>533.11965811965808</v>
      </c>
      <c r="E27" s="18">
        <f t="shared" si="2"/>
        <v>499</v>
      </c>
      <c r="F27" s="18">
        <f t="shared" si="3"/>
        <v>500.73286386117633</v>
      </c>
      <c r="G27" s="20">
        <f t="shared" si="4"/>
        <v>-3.4726730684896327E-3</v>
      </c>
    </row>
    <row r="29" spans="2:7" x14ac:dyDescent="0.3">
      <c r="B29" t="s">
        <v>19</v>
      </c>
      <c r="C29" t="s">
        <v>20</v>
      </c>
      <c r="D29" t="s">
        <v>21</v>
      </c>
    </row>
    <row r="30" spans="2:7" x14ac:dyDescent="0.3">
      <c r="B30" cm="1">
        <f t="array" ref="B30:D30">LINEST(E18:E27,C18:D27)</f>
        <v>0.94707163380014792</v>
      </c>
      <c r="C30">
        <v>-1.5602876957081537E-2</v>
      </c>
      <c r="D30">
        <v>3.6161938363991339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5038-9DD0-4DA5-8776-5A6FA0500E6A}">
  <sheetPr>
    <tabColor theme="9" tint="0.59999389629810485"/>
  </sheetPr>
  <dimension ref="B1:I33"/>
  <sheetViews>
    <sheetView topLeftCell="A4" workbookViewId="0">
      <selection activeCell="H18" sqref="H18"/>
    </sheetView>
  </sheetViews>
  <sheetFormatPr defaultRowHeight="14.4" x14ac:dyDescent="0.3"/>
  <cols>
    <col min="2" max="2" width="32.33203125" customWidth="1"/>
    <col min="3" max="3" width="15.44140625" customWidth="1"/>
    <col min="5" max="5" width="20.88671875" customWidth="1"/>
    <col min="6" max="6" width="19.21875" bestFit="1" customWidth="1"/>
  </cols>
  <sheetData>
    <row r="1" spans="2:9" x14ac:dyDescent="0.3">
      <c r="C1" t="s">
        <v>262</v>
      </c>
    </row>
    <row r="2" spans="2:9" x14ac:dyDescent="0.3">
      <c r="B2" t="s">
        <v>271</v>
      </c>
      <c r="C2" s="59">
        <v>0.88200000000000001</v>
      </c>
    </row>
    <row r="3" spans="2:9" x14ac:dyDescent="0.3">
      <c r="B3" t="s">
        <v>269</v>
      </c>
      <c r="C3" s="59">
        <v>0.878</v>
      </c>
      <c r="E3" t="s">
        <v>270</v>
      </c>
      <c r="F3" s="60">
        <f>$C$3/$C$2</f>
        <v>0.99546485260770978</v>
      </c>
    </row>
    <row r="5" spans="2:9" x14ac:dyDescent="0.3">
      <c r="B5" t="s">
        <v>274</v>
      </c>
    </row>
    <row r="7" spans="2:9" x14ac:dyDescent="0.3">
      <c r="C7" s="2" t="s">
        <v>253</v>
      </c>
      <c r="D7" s="2" t="s">
        <v>275</v>
      </c>
      <c r="E7" s="2" t="s">
        <v>249</v>
      </c>
    </row>
    <row r="8" spans="2:9" x14ac:dyDescent="0.3">
      <c r="B8" s="13" t="s">
        <v>211</v>
      </c>
      <c r="C8" s="9">
        <v>450</v>
      </c>
      <c r="D8" s="12">
        <v>0.94299999999999995</v>
      </c>
      <c r="E8" s="9">
        <f>$C8/$D8</f>
        <v>477.20042417815483</v>
      </c>
    </row>
    <row r="9" spans="2:9" x14ac:dyDescent="0.3">
      <c r="B9" s="13" t="s">
        <v>211</v>
      </c>
      <c r="C9" s="9">
        <f>$C$10*0.6</f>
        <v>900</v>
      </c>
      <c r="D9" s="12">
        <f>$D10*$F$3</f>
        <v>0.92180045351473927</v>
      </c>
      <c r="E9" s="9">
        <f t="shared" ref="E9:E10" si="0">$C9/$D9</f>
        <v>976.3501380026272</v>
      </c>
    </row>
    <row r="10" spans="2:9" x14ac:dyDescent="0.3">
      <c r="B10" s="52" t="s">
        <v>212</v>
      </c>
      <c r="C10" s="18">
        <v>1500</v>
      </c>
      <c r="D10" s="25">
        <v>0.92600000000000005</v>
      </c>
      <c r="E10" s="9">
        <f t="shared" si="0"/>
        <v>1619.8704103671705</v>
      </c>
    </row>
    <row r="14" spans="2:9" x14ac:dyDescent="0.3">
      <c r="I14" t="s">
        <v>266</v>
      </c>
    </row>
    <row r="15" spans="2:9" x14ac:dyDescent="0.3">
      <c r="I15" t="s">
        <v>267</v>
      </c>
    </row>
    <row r="16" spans="2:9" x14ac:dyDescent="0.3">
      <c r="I16" t="s">
        <v>268</v>
      </c>
    </row>
    <row r="18" spans="2:8" x14ac:dyDescent="0.3">
      <c r="H18" s="4" t="s">
        <v>277</v>
      </c>
    </row>
    <row r="30" spans="2:8" ht="13.2" customHeight="1" x14ac:dyDescent="0.3">
      <c r="C30" s="2" t="s">
        <v>253</v>
      </c>
      <c r="D30" s="2" t="s">
        <v>275</v>
      </c>
      <c r="E30" s="2" t="s">
        <v>249</v>
      </c>
    </row>
    <row r="31" spans="2:8" x14ac:dyDescent="0.3">
      <c r="B31" s="13" t="s">
        <v>272</v>
      </c>
      <c r="C31" s="9">
        <v>149.69999999999999</v>
      </c>
      <c r="D31" s="12">
        <v>0.91900000000000004</v>
      </c>
      <c r="E31" s="9">
        <f>$C31/$D31</f>
        <v>162.89445048966266</v>
      </c>
    </row>
    <row r="32" spans="2:8" x14ac:dyDescent="0.3">
      <c r="B32" s="13" t="s">
        <v>272</v>
      </c>
      <c r="C32" s="9">
        <f>$C$33*0.6</f>
        <v>299.39999999999998</v>
      </c>
      <c r="D32" s="12">
        <f>$D33*$F$3</f>
        <v>0.93175510204081646</v>
      </c>
      <c r="E32" s="9">
        <f t="shared" ref="E32:E33" si="1">$C32/$D32</f>
        <v>321.32906956369362</v>
      </c>
    </row>
    <row r="33" spans="2:5" x14ac:dyDescent="0.3">
      <c r="B33" s="52" t="s">
        <v>273</v>
      </c>
      <c r="C33" s="18">
        <v>499</v>
      </c>
      <c r="D33" s="25">
        <v>0.93600000000000005</v>
      </c>
      <c r="E33" s="9">
        <f t="shared" si="1"/>
        <v>533.11965811965808</v>
      </c>
    </row>
  </sheetData>
  <hyperlinks>
    <hyperlink ref="H18" r:id="rId1" xr:uid="{80607908-669B-4026-B7E3-23BFE6C7F840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0822-2DA9-4A32-BBD2-66BE2461CC91}">
  <sheetPr codeName="Sheet11">
    <tabColor rgb="FF00B050"/>
  </sheetPr>
  <dimension ref="A1:Q44"/>
  <sheetViews>
    <sheetView topLeftCell="A4" workbookViewId="0">
      <selection activeCell="B38" sqref="B38:H44"/>
    </sheetView>
  </sheetViews>
  <sheetFormatPr defaultRowHeight="14.4" x14ac:dyDescent="0.3"/>
  <cols>
    <col min="2" max="2" width="14.44140625" customWidth="1"/>
    <col min="3" max="4" width="15.33203125" customWidth="1"/>
    <col min="5" max="6" width="18.44140625" customWidth="1"/>
    <col min="7" max="7" width="19.77734375" customWidth="1"/>
    <col min="8" max="10" width="23" customWidth="1"/>
    <col min="11" max="11" width="14.5546875" customWidth="1"/>
    <col min="12" max="12" width="14.6640625" customWidth="1"/>
  </cols>
  <sheetData>
    <row r="1" spans="1:17" x14ac:dyDescent="0.3">
      <c r="B1" s="10" t="s">
        <v>33</v>
      </c>
      <c r="C1" s="3" t="s">
        <v>49</v>
      </c>
      <c r="D1" s="3" t="s">
        <v>50</v>
      </c>
      <c r="E1" s="2" t="s">
        <v>43</v>
      </c>
      <c r="F1" s="2" t="s">
        <v>44</v>
      </c>
      <c r="G1" s="5" t="s">
        <v>11</v>
      </c>
      <c r="H1" s="2" t="s">
        <v>51</v>
      </c>
      <c r="I1" s="2" t="s">
        <v>52</v>
      </c>
      <c r="J1" s="2" t="s">
        <v>53</v>
      </c>
    </row>
    <row r="2" spans="1:17" x14ac:dyDescent="0.3">
      <c r="B2" s="21" t="s">
        <v>34</v>
      </c>
      <c r="C2" s="7">
        <v>5</v>
      </c>
      <c r="D2" s="7">
        <f t="shared" ref="D2:D9" si="0">$H2*$F2</f>
        <v>14.012605042016807</v>
      </c>
      <c r="E2" s="12">
        <v>0.23799999999999999</v>
      </c>
      <c r="F2" s="12">
        <f>90.5%-E2</f>
        <v>0.66700000000000004</v>
      </c>
      <c r="G2" s="6" t="s">
        <v>38</v>
      </c>
      <c r="H2" s="9">
        <f t="shared" ref="H2:H13" si="1">$C2/$E2</f>
        <v>21.008403361344538</v>
      </c>
      <c r="I2" s="9">
        <f t="shared" ref="I2:I13" si="2">$D2/$F2</f>
        <v>21.008403361344538</v>
      </c>
      <c r="J2" s="9">
        <f t="shared" ref="J2:J13" si="3">($C2+$D2)/($E2+$F2)</f>
        <v>21.008403361344538</v>
      </c>
      <c r="K2" s="9" t="s">
        <v>15</v>
      </c>
      <c r="L2" s="2" t="s">
        <v>378</v>
      </c>
      <c r="M2" s="2" t="s">
        <v>379</v>
      </c>
      <c r="N2" s="2" t="s">
        <v>406</v>
      </c>
      <c r="O2" s="2" t="s">
        <v>380</v>
      </c>
      <c r="P2" s="2" t="s">
        <v>381</v>
      </c>
      <c r="Q2" s="2" t="s">
        <v>407</v>
      </c>
    </row>
    <row r="3" spans="1:17" x14ac:dyDescent="0.3">
      <c r="B3" s="22" t="s">
        <v>35</v>
      </c>
      <c r="C3" s="26">
        <v>10</v>
      </c>
      <c r="D3" s="26">
        <f t="shared" si="0"/>
        <v>21.621621621621621</v>
      </c>
      <c r="E3" s="25">
        <v>0.29599999999999999</v>
      </c>
      <c r="F3" s="25">
        <v>0.64</v>
      </c>
      <c r="G3" s="23" t="s">
        <v>38</v>
      </c>
      <c r="H3" s="18">
        <f t="shared" si="1"/>
        <v>33.783783783783782</v>
      </c>
      <c r="I3" s="18">
        <f t="shared" si="2"/>
        <v>33.783783783783782</v>
      </c>
      <c r="J3" s="18">
        <f t="shared" si="3"/>
        <v>33.783783783783782</v>
      </c>
      <c r="K3" s="18" t="s">
        <v>16</v>
      </c>
      <c r="L3" s="26">
        <f>N3/E2</f>
        <v>21.008403361344538</v>
      </c>
      <c r="M3" s="26">
        <f>L3*F2</f>
        <v>14.012605042016807</v>
      </c>
      <c r="N3" s="18">
        <f>Q3*C2/C3</f>
        <v>5</v>
      </c>
      <c r="O3" s="26">
        <f>Q3/E3</f>
        <v>33.783783783783782</v>
      </c>
      <c r="P3" s="26">
        <f>O3*F3</f>
        <v>21.621621621621621</v>
      </c>
      <c r="Q3" s="18">
        <v>10</v>
      </c>
    </row>
    <row r="4" spans="1:17" x14ac:dyDescent="0.3">
      <c r="B4" s="21" t="s">
        <v>34</v>
      </c>
      <c r="C4" s="7">
        <v>5</v>
      </c>
      <c r="D4" s="7">
        <f t="shared" si="0"/>
        <v>14.050632911392405</v>
      </c>
      <c r="E4" s="12">
        <v>0.23699999999999999</v>
      </c>
      <c r="F4" s="12">
        <f>90.3%-E4</f>
        <v>0.66600000000000004</v>
      </c>
      <c r="G4" s="6" t="s">
        <v>38</v>
      </c>
      <c r="H4" s="9">
        <f t="shared" si="1"/>
        <v>21.09704641350211</v>
      </c>
      <c r="I4" s="9">
        <f t="shared" si="2"/>
        <v>21.09704641350211</v>
      </c>
      <c r="J4" s="9">
        <f t="shared" si="3"/>
        <v>21.09704641350211</v>
      </c>
      <c r="K4" s="9" t="s">
        <v>15</v>
      </c>
    </row>
    <row r="5" spans="1:17" x14ac:dyDescent="0.3">
      <c r="B5" s="22" t="s">
        <v>35</v>
      </c>
      <c r="C5" s="26">
        <v>12</v>
      </c>
      <c r="D5" s="26">
        <f t="shared" si="0"/>
        <v>25.038461538461537</v>
      </c>
      <c r="E5" s="25">
        <v>0.312</v>
      </c>
      <c r="F5" s="25">
        <v>0.65100000000000002</v>
      </c>
      <c r="G5" s="23" t="s">
        <v>38</v>
      </c>
      <c r="H5" s="18">
        <f t="shared" si="1"/>
        <v>38.46153846153846</v>
      </c>
      <c r="I5" s="18">
        <f t="shared" si="2"/>
        <v>38.46153846153846</v>
      </c>
      <c r="J5" s="18">
        <f t="shared" si="3"/>
        <v>38.461538461538453</v>
      </c>
      <c r="K5" s="18" t="s">
        <v>16</v>
      </c>
    </row>
    <row r="6" spans="1:17" x14ac:dyDescent="0.3">
      <c r="B6" s="21" t="s">
        <v>34</v>
      </c>
      <c r="C6" s="7">
        <v>12.5</v>
      </c>
      <c r="D6" s="7">
        <f t="shared" si="0"/>
        <v>35.273279352226723</v>
      </c>
      <c r="E6" s="12">
        <v>0.247</v>
      </c>
      <c r="F6" s="12">
        <f>94.4%-E6</f>
        <v>0.69700000000000006</v>
      </c>
      <c r="G6" s="6" t="s">
        <v>38</v>
      </c>
      <c r="H6" s="9">
        <f t="shared" si="1"/>
        <v>50.607287449392715</v>
      </c>
      <c r="I6" s="9">
        <f t="shared" si="2"/>
        <v>50.607287449392715</v>
      </c>
      <c r="J6" s="9">
        <f t="shared" si="3"/>
        <v>50.607287449392715</v>
      </c>
      <c r="K6" s="9" t="s">
        <v>15</v>
      </c>
      <c r="L6" s="2" t="s">
        <v>378</v>
      </c>
      <c r="M6" s="2" t="s">
        <v>379</v>
      </c>
      <c r="N6" s="2" t="s">
        <v>406</v>
      </c>
      <c r="O6" s="2" t="s">
        <v>380</v>
      </c>
      <c r="P6" s="2" t="s">
        <v>381</v>
      </c>
      <c r="Q6" s="2" t="s">
        <v>407</v>
      </c>
    </row>
    <row r="7" spans="1:17" x14ac:dyDescent="0.3">
      <c r="B7" s="22" t="s">
        <v>35</v>
      </c>
      <c r="C7" s="26">
        <v>25</v>
      </c>
      <c r="D7" s="26">
        <f t="shared" si="0"/>
        <v>53.125000000000007</v>
      </c>
      <c r="E7" s="25">
        <v>0.30399999999999999</v>
      </c>
      <c r="F7" s="25">
        <v>0.64600000000000002</v>
      </c>
      <c r="G7" s="23" t="s">
        <v>38</v>
      </c>
      <c r="H7" s="18">
        <f t="shared" si="1"/>
        <v>82.236842105263165</v>
      </c>
      <c r="I7" s="18">
        <f t="shared" si="2"/>
        <v>82.236842105263165</v>
      </c>
      <c r="J7" s="18">
        <f t="shared" si="3"/>
        <v>82.236842105263165</v>
      </c>
      <c r="K7" s="18" t="s">
        <v>16</v>
      </c>
      <c r="L7" s="26">
        <f>N7/E6</f>
        <v>40.48582995951417</v>
      </c>
      <c r="M7" s="26">
        <f>L7*F6</f>
        <v>28.218623481781378</v>
      </c>
      <c r="N7" s="18">
        <f>Q7*C6/C7</f>
        <v>10</v>
      </c>
      <c r="O7" s="26">
        <f>Q7/E7</f>
        <v>65.789473684210535</v>
      </c>
      <c r="P7" s="26">
        <f>O7*F7</f>
        <v>42.500000000000007</v>
      </c>
      <c r="Q7" s="18">
        <v>20</v>
      </c>
    </row>
    <row r="8" spans="1:17" x14ac:dyDescent="0.3">
      <c r="B8" s="21" t="s">
        <v>34</v>
      </c>
      <c r="C8" s="7">
        <v>15</v>
      </c>
      <c r="D8" s="7">
        <f t="shared" si="0"/>
        <v>38.886792452830193</v>
      </c>
      <c r="E8" s="12">
        <v>0.26500000000000001</v>
      </c>
      <c r="F8" s="12">
        <f>95.2%-E8</f>
        <v>0.68700000000000006</v>
      </c>
      <c r="G8" s="6" t="s">
        <v>38</v>
      </c>
      <c r="H8" s="9">
        <f t="shared" si="1"/>
        <v>56.60377358490566</v>
      </c>
      <c r="I8" s="9">
        <f t="shared" si="2"/>
        <v>56.60377358490566</v>
      </c>
      <c r="J8" s="9">
        <f t="shared" si="3"/>
        <v>56.60377358490566</v>
      </c>
      <c r="K8" s="9" t="s">
        <v>15</v>
      </c>
      <c r="L8" s="2" t="s">
        <v>378</v>
      </c>
      <c r="M8" s="2" t="s">
        <v>379</v>
      </c>
      <c r="N8" s="2" t="s">
        <v>406</v>
      </c>
      <c r="O8" s="2" t="s">
        <v>380</v>
      </c>
      <c r="P8" s="2" t="s">
        <v>381</v>
      </c>
      <c r="Q8" s="2" t="s">
        <v>407</v>
      </c>
    </row>
    <row r="9" spans="1:17" x14ac:dyDescent="0.3">
      <c r="B9" s="22" t="s">
        <v>35</v>
      </c>
      <c r="C9" s="26">
        <v>30</v>
      </c>
      <c r="D9" s="26">
        <f t="shared" si="0"/>
        <v>60.476190476190482</v>
      </c>
      <c r="E9" s="25">
        <v>0.315</v>
      </c>
      <c r="F9" s="25">
        <v>0.63500000000000001</v>
      </c>
      <c r="G9" s="23" t="s">
        <v>38</v>
      </c>
      <c r="H9" s="18">
        <f t="shared" si="1"/>
        <v>95.238095238095241</v>
      </c>
      <c r="I9" s="18">
        <f t="shared" si="2"/>
        <v>95.238095238095241</v>
      </c>
      <c r="J9" s="18">
        <f t="shared" si="3"/>
        <v>95.238095238095255</v>
      </c>
      <c r="K9" s="18" t="s">
        <v>16</v>
      </c>
      <c r="L9" s="26">
        <f>N9/E8</f>
        <v>56.60377358490566</v>
      </c>
      <c r="M9" s="26">
        <f>L9*F8</f>
        <v>38.886792452830193</v>
      </c>
      <c r="N9" s="18">
        <f>Q9*C8/C9</f>
        <v>15</v>
      </c>
      <c r="O9" s="26">
        <f>Q9/E9</f>
        <v>95.238095238095241</v>
      </c>
      <c r="P9" s="26">
        <f>O9*F9</f>
        <v>60.476190476190482</v>
      </c>
      <c r="Q9" s="18">
        <v>30</v>
      </c>
    </row>
    <row r="10" spans="1:17" x14ac:dyDescent="0.3">
      <c r="B10" s="21" t="s">
        <v>34</v>
      </c>
      <c r="C10" s="7">
        <f>0.5*$C11</f>
        <v>16.5</v>
      </c>
      <c r="D10" s="7">
        <v>42.9</v>
      </c>
      <c r="E10" s="12">
        <v>0.26500000000000001</v>
      </c>
      <c r="F10" s="12">
        <v>0.68799999999999994</v>
      </c>
      <c r="G10" s="6" t="s">
        <v>36</v>
      </c>
      <c r="H10" s="9">
        <f t="shared" si="1"/>
        <v>62.264150943396224</v>
      </c>
      <c r="I10" s="9">
        <f t="shared" si="2"/>
        <v>62.354651162790702</v>
      </c>
      <c r="J10" s="9">
        <f t="shared" si="3"/>
        <v>62.329485834207766</v>
      </c>
      <c r="K10" s="9" t="s">
        <v>15</v>
      </c>
    </row>
    <row r="11" spans="1:17" x14ac:dyDescent="0.3">
      <c r="B11" s="22" t="s">
        <v>35</v>
      </c>
      <c r="C11" s="26">
        <v>33</v>
      </c>
      <c r="D11" s="26">
        <v>63.7</v>
      </c>
      <c r="E11" s="25">
        <v>0.32500000000000001</v>
      </c>
      <c r="F11" s="25">
        <v>0.628</v>
      </c>
      <c r="G11" s="23" t="s">
        <v>36</v>
      </c>
      <c r="H11" s="18">
        <f t="shared" si="1"/>
        <v>101.53846153846153</v>
      </c>
      <c r="I11" s="18">
        <f t="shared" si="2"/>
        <v>101.43312101910828</v>
      </c>
      <c r="J11" s="18">
        <f t="shared" si="3"/>
        <v>101.46904512067155</v>
      </c>
      <c r="K11" s="18" t="s">
        <v>16</v>
      </c>
    </row>
    <row r="12" spans="1:17" x14ac:dyDescent="0.3">
      <c r="B12" s="21" t="s">
        <v>34</v>
      </c>
      <c r="C12" s="7">
        <f>0.5*$C13</f>
        <v>25</v>
      </c>
      <c r="D12" s="7">
        <v>62.3</v>
      </c>
      <c r="E12" s="12">
        <v>0.27200000000000002</v>
      </c>
      <c r="F12" s="12">
        <v>0.67700000000000005</v>
      </c>
      <c r="G12" s="6" t="s">
        <v>36</v>
      </c>
      <c r="H12" s="9">
        <f t="shared" si="1"/>
        <v>91.911764705882348</v>
      </c>
      <c r="I12" s="9">
        <f t="shared" si="2"/>
        <v>92.023633677991128</v>
      </c>
      <c r="J12" s="9">
        <f t="shared" si="3"/>
        <v>91.991570073761849</v>
      </c>
      <c r="K12" s="9" t="s">
        <v>15</v>
      </c>
      <c r="L12" s="2" t="s">
        <v>378</v>
      </c>
      <c r="M12" s="2" t="s">
        <v>379</v>
      </c>
      <c r="N12" s="2" t="s">
        <v>406</v>
      </c>
      <c r="O12" s="2" t="s">
        <v>380</v>
      </c>
      <c r="P12" s="2" t="s">
        <v>381</v>
      </c>
      <c r="Q12" s="2" t="s">
        <v>407</v>
      </c>
    </row>
    <row r="13" spans="1:17" x14ac:dyDescent="0.3">
      <c r="B13" s="22" t="s">
        <v>35</v>
      </c>
      <c r="C13" s="26">
        <v>50</v>
      </c>
      <c r="D13" s="26">
        <v>88.5</v>
      </c>
      <c r="E13" s="25">
        <v>0.34200000000000003</v>
      </c>
      <c r="F13" s="25">
        <v>0.60599999999999998</v>
      </c>
      <c r="G13" s="23" t="s">
        <v>36</v>
      </c>
      <c r="H13" s="18">
        <f t="shared" si="1"/>
        <v>146.1988304093567</v>
      </c>
      <c r="I13" s="18">
        <f t="shared" si="2"/>
        <v>146.03960396039605</v>
      </c>
      <c r="J13" s="18">
        <f t="shared" si="3"/>
        <v>146.09704641350211</v>
      </c>
      <c r="K13" s="18" t="s">
        <v>16</v>
      </c>
      <c r="L13" s="26">
        <f>N13/E12</f>
        <v>91.911764705882348</v>
      </c>
      <c r="M13" s="26">
        <f>L13*F12</f>
        <v>62.224264705882355</v>
      </c>
      <c r="N13" s="26">
        <f>Q13*C12/C13</f>
        <v>25</v>
      </c>
      <c r="O13" s="26">
        <f>Q13/E13</f>
        <v>146.1988304093567</v>
      </c>
      <c r="P13" s="26">
        <f>O13*F13</f>
        <v>88.596491228070164</v>
      </c>
      <c r="Q13" s="26">
        <v>50</v>
      </c>
    </row>
    <row r="14" spans="1:17" x14ac:dyDescent="0.3">
      <c r="C14" s="4"/>
      <c r="D14" s="4"/>
    </row>
    <row r="15" spans="1:17" x14ac:dyDescent="0.3">
      <c r="B15" t="s">
        <v>1</v>
      </c>
      <c r="C15" t="s">
        <v>4</v>
      </c>
      <c r="L15" s="9"/>
    </row>
    <row r="16" spans="1:17" x14ac:dyDescent="0.3">
      <c r="A16" t="s">
        <v>36</v>
      </c>
      <c r="B16" t="s">
        <v>40</v>
      </c>
      <c r="C16" s="4" t="s">
        <v>37</v>
      </c>
      <c r="D16" s="4"/>
      <c r="E16" s="4"/>
      <c r="F16" s="4"/>
      <c r="L16" s="9"/>
    </row>
    <row r="17" spans="1:12" x14ac:dyDescent="0.3">
      <c r="A17" t="s">
        <v>38</v>
      </c>
      <c r="B17" t="s">
        <v>46</v>
      </c>
      <c r="C17" s="4" t="s">
        <v>45</v>
      </c>
      <c r="D17" s="4"/>
      <c r="L17" s="9"/>
    </row>
    <row r="18" spans="1:12" x14ac:dyDescent="0.3">
      <c r="C18" s="4"/>
      <c r="D18" s="4"/>
      <c r="E18" s="9"/>
      <c r="L18" s="9"/>
    </row>
    <row r="19" spans="1:12" x14ac:dyDescent="0.3">
      <c r="E19" s="28" t="s">
        <v>55</v>
      </c>
      <c r="F19" s="10" t="s">
        <v>18</v>
      </c>
      <c r="G19" s="28" t="s">
        <v>55</v>
      </c>
      <c r="H19" s="10" t="s">
        <v>18</v>
      </c>
      <c r="I19" s="28" t="s">
        <v>55</v>
      </c>
      <c r="J19" s="10" t="s">
        <v>18</v>
      </c>
      <c r="K19" s="9"/>
      <c r="L19" s="9"/>
    </row>
    <row r="20" spans="1:12" x14ac:dyDescent="0.3">
      <c r="B20" s="2" t="s">
        <v>13</v>
      </c>
      <c r="C20" s="2" t="s">
        <v>54</v>
      </c>
      <c r="D20" s="2" t="s">
        <v>25</v>
      </c>
      <c r="E20" s="2" t="s">
        <v>56</v>
      </c>
      <c r="F20" s="2" t="s">
        <v>17</v>
      </c>
      <c r="G20" s="2" t="s">
        <v>57</v>
      </c>
      <c r="H20" s="2" t="s">
        <v>22</v>
      </c>
      <c r="I20" s="2" t="s">
        <v>23</v>
      </c>
      <c r="J20" s="2" t="s">
        <v>23</v>
      </c>
      <c r="K20" s="9"/>
      <c r="L20" s="9"/>
    </row>
    <row r="21" spans="1:12" x14ac:dyDescent="0.3">
      <c r="B21" s="9" t="s">
        <v>15</v>
      </c>
      <c r="C21" s="9">
        <f>$C3</f>
        <v>10</v>
      </c>
      <c r="D21" s="9">
        <f t="shared" ref="D21:D32" si="4">$J2</f>
        <v>21.008403361344538</v>
      </c>
      <c r="E21" s="9">
        <f t="shared" ref="E21:E32" si="5">$D21*$E2</f>
        <v>5</v>
      </c>
      <c r="F21" s="9">
        <f t="shared" ref="F21:F32" si="6">$D21*$F2</f>
        <v>14.012605042016807</v>
      </c>
      <c r="G21" s="9">
        <f t="shared" ref="G21:G32" si="7">$B$35*$D21+$C$35*$C21+$D$35</f>
        <v>5.174208977888382</v>
      </c>
      <c r="H21" s="9">
        <f t="shared" ref="H21:H32" si="8">$F$35*$D21+$G$35*$C21+$H$35</f>
        <v>14.198992152749135</v>
      </c>
      <c r="I21" s="29">
        <f t="shared" ref="I21:I32" si="9">($E21-$G21)/$E21</f>
        <v>-3.4841795577676395E-2</v>
      </c>
      <c r="J21" s="29">
        <f t="shared" ref="J21:J32" si="10">($F21-$H21)/$F21</f>
        <v>-1.3301389011782332E-2</v>
      </c>
      <c r="K21" s="9"/>
      <c r="L21" s="9"/>
    </row>
    <row r="22" spans="1:12" x14ac:dyDescent="0.3">
      <c r="B22" s="18" t="s">
        <v>16</v>
      </c>
      <c r="C22" s="18">
        <f>$C3</f>
        <v>10</v>
      </c>
      <c r="D22" s="18">
        <f t="shared" si="4"/>
        <v>33.783783783783782</v>
      </c>
      <c r="E22" s="18">
        <f t="shared" si="5"/>
        <v>9.9999999999999982</v>
      </c>
      <c r="F22" s="18">
        <f t="shared" si="6"/>
        <v>21.621621621621621</v>
      </c>
      <c r="G22" s="18">
        <f t="shared" si="7"/>
        <v>10.138505195516542</v>
      </c>
      <c r="H22" s="18">
        <f t="shared" si="8"/>
        <v>21.518246634279084</v>
      </c>
      <c r="I22" s="30">
        <f t="shared" si="9"/>
        <v>-1.3850519551654375E-2</v>
      </c>
      <c r="J22" s="30">
        <f t="shared" si="10"/>
        <v>4.7810931645923425E-3</v>
      </c>
      <c r="K22" s="9"/>
      <c r="L22" s="9"/>
    </row>
    <row r="23" spans="1:12" x14ac:dyDescent="0.3">
      <c r="B23" s="9" t="s">
        <v>15</v>
      </c>
      <c r="C23" s="9">
        <f>$C5</f>
        <v>12</v>
      </c>
      <c r="D23" s="9">
        <f t="shared" si="4"/>
        <v>21.09704641350211</v>
      </c>
      <c r="E23" s="9">
        <f t="shared" si="5"/>
        <v>5</v>
      </c>
      <c r="F23" s="9">
        <f t="shared" si="6"/>
        <v>14.050632911392405</v>
      </c>
      <c r="G23" s="9">
        <f t="shared" si="7"/>
        <v>4.7588022677291093</v>
      </c>
      <c r="H23" s="9">
        <f t="shared" si="8"/>
        <v>14.697503715207818</v>
      </c>
      <c r="I23" s="29">
        <f t="shared" si="9"/>
        <v>4.8239546454178141E-2</v>
      </c>
      <c r="J23" s="29">
        <f t="shared" si="10"/>
        <v>-4.6038552703979795E-2</v>
      </c>
      <c r="K23" s="9"/>
      <c r="L23" s="9"/>
    </row>
    <row r="24" spans="1:12" x14ac:dyDescent="0.3">
      <c r="B24" s="18" t="s">
        <v>16</v>
      </c>
      <c r="C24" s="18">
        <f>$C5</f>
        <v>12</v>
      </c>
      <c r="D24" s="18">
        <f t="shared" si="4"/>
        <v>38.461538461538453</v>
      </c>
      <c r="E24" s="18">
        <f t="shared" si="5"/>
        <v>11.999999999999996</v>
      </c>
      <c r="F24" s="18">
        <f t="shared" si="6"/>
        <v>25.038461538461533</v>
      </c>
      <c r="G24" s="18">
        <f t="shared" si="7"/>
        <v>11.506349451818531</v>
      </c>
      <c r="H24" s="18">
        <f t="shared" si="8"/>
        <v>24.645946112965749</v>
      </c>
      <c r="I24" s="30">
        <f t="shared" si="9"/>
        <v>4.1137545681788783E-2</v>
      </c>
      <c r="J24" s="30">
        <f t="shared" si="10"/>
        <v>1.5676499328556658E-2</v>
      </c>
      <c r="K24" s="9"/>
      <c r="L24" s="9"/>
    </row>
    <row r="25" spans="1:12" x14ac:dyDescent="0.3">
      <c r="B25" s="9" t="s">
        <v>15</v>
      </c>
      <c r="C25" s="9">
        <f>$C7</f>
        <v>25</v>
      </c>
      <c r="D25" s="9">
        <f t="shared" si="4"/>
        <v>50.607287449392715</v>
      </c>
      <c r="E25" s="9">
        <f t="shared" si="5"/>
        <v>12.5</v>
      </c>
      <c r="F25" s="9">
        <f t="shared" si="6"/>
        <v>35.273279352226723</v>
      </c>
      <c r="G25" s="9">
        <f t="shared" si="7"/>
        <v>13.301944237768019</v>
      </c>
      <c r="H25" s="9">
        <f t="shared" si="8"/>
        <v>34.514693910139783</v>
      </c>
      <c r="I25" s="29">
        <f t="shared" si="9"/>
        <v>-6.4155539021441541E-2</v>
      </c>
      <c r="J25" s="29">
        <f t="shared" si="10"/>
        <v>2.1505951701058717E-2</v>
      </c>
      <c r="K25" s="9"/>
    </row>
    <row r="26" spans="1:12" x14ac:dyDescent="0.3">
      <c r="B26" s="18" t="s">
        <v>16</v>
      </c>
      <c r="C26" s="18">
        <f>$C7</f>
        <v>25</v>
      </c>
      <c r="D26" s="18">
        <f t="shared" si="4"/>
        <v>82.236842105263165</v>
      </c>
      <c r="E26" s="18">
        <f t="shared" si="5"/>
        <v>25</v>
      </c>
      <c r="F26" s="18">
        <f t="shared" si="6"/>
        <v>53.125000000000007</v>
      </c>
      <c r="G26" s="18">
        <f t="shared" si="7"/>
        <v>25.592652878240798</v>
      </c>
      <c r="H26" s="18">
        <f t="shared" si="8"/>
        <v>52.635857586577245</v>
      </c>
      <c r="I26" s="30">
        <f t="shared" si="9"/>
        <v>-2.370611512963194E-2</v>
      </c>
      <c r="J26" s="30">
        <f t="shared" si="10"/>
        <v>9.2073866056049305E-3</v>
      </c>
      <c r="K26" s="9"/>
    </row>
    <row r="27" spans="1:12" x14ac:dyDescent="0.3">
      <c r="B27" s="9" t="s">
        <v>15</v>
      </c>
      <c r="C27" s="9">
        <f>$C9</f>
        <v>30</v>
      </c>
      <c r="D27" s="9">
        <f t="shared" si="4"/>
        <v>56.60377358490566</v>
      </c>
      <c r="E27" s="9">
        <f t="shared" si="5"/>
        <v>15</v>
      </c>
      <c r="F27" s="9">
        <f t="shared" si="6"/>
        <v>38.886792452830193</v>
      </c>
      <c r="G27" s="9">
        <f t="shared" si="7"/>
        <v>14.507447332797364</v>
      </c>
      <c r="H27" s="9">
        <f t="shared" si="8"/>
        <v>39.069508764432683</v>
      </c>
      <c r="I27" s="29">
        <f t="shared" si="9"/>
        <v>3.2836844480175743E-2</v>
      </c>
      <c r="J27" s="29">
        <f t="shared" si="10"/>
        <v>-4.6986727389286753E-3</v>
      </c>
      <c r="K27" s="9"/>
    </row>
    <row r="28" spans="1:12" x14ac:dyDescent="0.3">
      <c r="B28" s="18" t="s">
        <v>16</v>
      </c>
      <c r="C28" s="18">
        <f>$C9</f>
        <v>30</v>
      </c>
      <c r="D28" s="18">
        <f t="shared" si="4"/>
        <v>95.238095238095255</v>
      </c>
      <c r="E28" s="18">
        <f t="shared" si="5"/>
        <v>30.000000000000007</v>
      </c>
      <c r="F28" s="18">
        <f t="shared" si="6"/>
        <v>60.476190476190489</v>
      </c>
      <c r="G28" s="18">
        <f t="shared" si="7"/>
        <v>29.520089658241268</v>
      </c>
      <c r="H28" s="18">
        <f t="shared" si="8"/>
        <v>61.203834518388319</v>
      </c>
      <c r="I28" s="30">
        <f t="shared" si="9"/>
        <v>1.5997011391957961E-2</v>
      </c>
      <c r="J28" s="30">
        <f t="shared" si="10"/>
        <v>-1.2031909359176727E-2</v>
      </c>
      <c r="K28" s="9"/>
    </row>
    <row r="29" spans="1:12" x14ac:dyDescent="0.3">
      <c r="B29" s="9" t="s">
        <v>15</v>
      </c>
      <c r="C29" s="9">
        <f>$C11</f>
        <v>33</v>
      </c>
      <c r="D29" s="9">
        <f t="shared" si="4"/>
        <v>62.329485834207766</v>
      </c>
      <c r="E29" s="9">
        <f t="shared" si="5"/>
        <v>16.51731374606506</v>
      </c>
      <c r="F29" s="9">
        <f t="shared" si="6"/>
        <v>42.882686253934942</v>
      </c>
      <c r="G29" s="9">
        <f t="shared" si="7"/>
        <v>16.057584184014605</v>
      </c>
      <c r="H29" s="9">
        <f t="shared" si="8"/>
        <v>43.021465893625219</v>
      </c>
      <c r="I29" s="29">
        <f t="shared" si="9"/>
        <v>2.78331918324175E-2</v>
      </c>
      <c r="J29" s="29">
        <f t="shared" si="10"/>
        <v>-3.2362627394300113E-3</v>
      </c>
    </row>
    <row r="30" spans="1:12" x14ac:dyDescent="0.3">
      <c r="B30" s="18" t="s">
        <v>16</v>
      </c>
      <c r="C30" s="18">
        <f>$C11</f>
        <v>33</v>
      </c>
      <c r="D30" s="18">
        <f t="shared" si="4"/>
        <v>101.46904512067155</v>
      </c>
      <c r="E30" s="18">
        <f t="shared" si="5"/>
        <v>32.977439664218252</v>
      </c>
      <c r="F30" s="18">
        <f t="shared" si="6"/>
        <v>63.722560335781736</v>
      </c>
      <c r="G30" s="18">
        <f t="shared" si="7"/>
        <v>31.266553287130115</v>
      </c>
      <c r="H30" s="18">
        <f t="shared" si="8"/>
        <v>65.445251741081037</v>
      </c>
      <c r="I30" s="30">
        <f t="shared" si="9"/>
        <v>5.1880509660806456E-2</v>
      </c>
      <c r="J30" s="30">
        <f t="shared" si="10"/>
        <v>-2.703424652464833E-2</v>
      </c>
    </row>
    <row r="31" spans="1:12" x14ac:dyDescent="0.3">
      <c r="B31" s="9" t="s">
        <v>15</v>
      </c>
      <c r="C31" s="9">
        <f>$C13</f>
        <v>50</v>
      </c>
      <c r="D31" s="9">
        <f t="shared" si="4"/>
        <v>91.991570073761849</v>
      </c>
      <c r="E31" s="9">
        <f t="shared" si="5"/>
        <v>25.021707060063225</v>
      </c>
      <c r="F31" s="9">
        <f t="shared" si="6"/>
        <v>62.278292939936776</v>
      </c>
      <c r="G31" s="9">
        <f t="shared" si="7"/>
        <v>23.760026053941957</v>
      </c>
      <c r="H31" s="9">
        <f t="shared" si="8"/>
        <v>63.821102499634321</v>
      </c>
      <c r="I31" s="29">
        <f t="shared" si="9"/>
        <v>5.0423458443209834E-2</v>
      </c>
      <c r="J31" s="29">
        <f t="shared" si="10"/>
        <v>-2.4772829935873184E-2</v>
      </c>
    </row>
    <row r="32" spans="1:12" x14ac:dyDescent="0.3">
      <c r="B32" s="18" t="s">
        <v>16</v>
      </c>
      <c r="C32" s="18">
        <f>$C13</f>
        <v>50</v>
      </c>
      <c r="D32" s="18">
        <f t="shared" si="4"/>
        <v>146.09704641350211</v>
      </c>
      <c r="E32" s="18">
        <f t="shared" si="5"/>
        <v>49.965189873417728</v>
      </c>
      <c r="F32" s="18">
        <f t="shared" si="6"/>
        <v>88.534810126582272</v>
      </c>
      <c r="G32" s="18">
        <f t="shared" si="7"/>
        <v>44.78449676751611</v>
      </c>
      <c r="H32" s="18">
        <f t="shared" si="8"/>
        <v>94.819142251106939</v>
      </c>
      <c r="I32" s="30">
        <f t="shared" si="9"/>
        <v>0.10368604860756926</v>
      </c>
      <c r="J32" s="30">
        <f t="shared" si="10"/>
        <v>-7.0981483052142649E-2</v>
      </c>
    </row>
    <row r="33" spans="2:8" x14ac:dyDescent="0.3">
      <c r="B33" s="9"/>
      <c r="C33" s="9"/>
      <c r="D33" s="9"/>
      <c r="E33" s="9"/>
      <c r="F33" s="9"/>
      <c r="G33" s="9"/>
      <c r="H33" s="9"/>
    </row>
    <row r="34" spans="2:8" x14ac:dyDescent="0.3">
      <c r="B34" s="28" t="s">
        <v>58</v>
      </c>
      <c r="C34" s="28" t="s">
        <v>59</v>
      </c>
      <c r="D34" s="28" t="s">
        <v>60</v>
      </c>
      <c r="F34" s="10" t="s">
        <v>61</v>
      </c>
      <c r="G34" s="10" t="s">
        <v>62</v>
      </c>
      <c r="H34" s="10" t="s">
        <v>63</v>
      </c>
    </row>
    <row r="35" spans="2:8" x14ac:dyDescent="0.3">
      <c r="B35" cm="1">
        <f t="array" ref="B35:D35">LINEST(E21:E28,C21:D28)</f>
        <v>0.38858304437718733</v>
      </c>
      <c r="C35">
        <v>-0.22492594861477411</v>
      </c>
      <c r="D35">
        <v>-0.7400408716190725</v>
      </c>
      <c r="F35" cm="1">
        <f t="array" ref="F35:H35">LINEST(F21:F28,C21:D28)</f>
        <v>0.57291871079424683</v>
      </c>
      <c r="G35">
        <v>0.2238631496478492</v>
      </c>
      <c r="H35">
        <v>-7.5746713356391382E-2</v>
      </c>
    </row>
    <row r="36" spans="2:8" x14ac:dyDescent="0.3">
      <c r="B36" s="67">
        <v>0.38858304437718699</v>
      </c>
      <c r="C36" s="67">
        <v>-0.22492594861477411</v>
      </c>
      <c r="D36" s="67">
        <v>-0.7400408716190725</v>
      </c>
      <c r="F36" s="67">
        <v>0.57291871079424683</v>
      </c>
      <c r="G36" s="67">
        <v>0.2238631496478492</v>
      </c>
      <c r="H36" s="66">
        <v>-7.5746713356391382E-2</v>
      </c>
    </row>
    <row r="37" spans="2:8" x14ac:dyDescent="0.3">
      <c r="B37" s="67"/>
      <c r="C37" s="67"/>
      <c r="D37" s="67"/>
      <c r="F37" s="67"/>
      <c r="G37" s="67"/>
      <c r="H37" s="67"/>
    </row>
    <row r="38" spans="2:8" x14ac:dyDescent="0.3">
      <c r="B38" s="2" t="s">
        <v>416</v>
      </c>
      <c r="C38" s="57">
        <v>0.5</v>
      </c>
    </row>
    <row r="39" spans="2:8" x14ac:dyDescent="0.3">
      <c r="B39" s="2" t="s">
        <v>415</v>
      </c>
      <c r="C39" s="57">
        <v>1</v>
      </c>
    </row>
    <row r="41" spans="2:8" x14ac:dyDescent="0.3">
      <c r="B41" t="s">
        <v>417</v>
      </c>
    </row>
    <row r="43" spans="2:8" x14ac:dyDescent="0.3">
      <c r="B43" s="2" t="s">
        <v>378</v>
      </c>
      <c r="C43" s="2" t="s">
        <v>406</v>
      </c>
      <c r="D43" s="2" t="s">
        <v>379</v>
      </c>
      <c r="F43" s="2" t="s">
        <v>380</v>
      </c>
      <c r="G43" s="2" t="s">
        <v>407</v>
      </c>
      <c r="H43" s="2" t="s">
        <v>381</v>
      </c>
    </row>
    <row r="44" spans="2:8" x14ac:dyDescent="0.3">
      <c r="B44">
        <f>C38</f>
        <v>0.5</v>
      </c>
      <c r="C44" s="66">
        <f>B36*C38+C36</f>
        <v>-3.0634426426180611E-2</v>
      </c>
      <c r="D44" s="67">
        <f>F36*C38+G36</f>
        <v>0.51032250504497267</v>
      </c>
      <c r="F44">
        <f>C39</f>
        <v>1</v>
      </c>
      <c r="G44" s="67">
        <f>B36*C39+C36</f>
        <v>0.16365709576241289</v>
      </c>
      <c r="H44" s="67">
        <f>F36*C39+G36</f>
        <v>0.79678186044209598</v>
      </c>
    </row>
  </sheetData>
  <hyperlinks>
    <hyperlink ref="C16" r:id="rId1" xr:uid="{E3F50C35-DD97-40D6-BAFA-5E3FC7E6A77A}"/>
    <hyperlink ref="C17" r:id="rId2" xr:uid="{458C7772-A61F-40E2-8B7E-688AA6DB70B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CC2F-E6D0-4833-AFC7-42C21CB2E5AD}">
  <sheetPr codeName="Sheet12">
    <tabColor theme="9" tint="0.59999389629810485"/>
  </sheetPr>
  <dimension ref="B3:M54"/>
  <sheetViews>
    <sheetView topLeftCell="A28" workbookViewId="0">
      <selection activeCell="H54" sqref="H54"/>
    </sheetView>
  </sheetViews>
  <sheetFormatPr defaultRowHeight="14.4" x14ac:dyDescent="0.3"/>
  <cols>
    <col min="3" max="3" width="13.88671875" customWidth="1"/>
    <col min="4" max="4" width="15.109375" customWidth="1"/>
    <col min="5" max="5" width="12.44140625" customWidth="1"/>
    <col min="6" max="6" width="10.33203125" customWidth="1"/>
  </cols>
  <sheetData>
    <row r="3" spans="13:13" x14ac:dyDescent="0.3">
      <c r="M3" t="s">
        <v>234</v>
      </c>
    </row>
    <row r="4" spans="13:13" x14ac:dyDescent="0.3">
      <c r="M4" t="s">
        <v>235</v>
      </c>
    </row>
    <row r="20" spans="2:8" x14ac:dyDescent="0.3">
      <c r="C20" t="s">
        <v>236</v>
      </c>
      <c r="H20" t="s">
        <v>237</v>
      </c>
    </row>
    <row r="23" spans="2:8" x14ac:dyDescent="0.3">
      <c r="B23" t="s">
        <v>238</v>
      </c>
    </row>
    <row r="24" spans="2:8" x14ac:dyDescent="0.3">
      <c r="B24" s="10" t="s">
        <v>33</v>
      </c>
      <c r="C24" s="3" t="s">
        <v>49</v>
      </c>
      <c r="D24" s="2" t="s">
        <v>43</v>
      </c>
      <c r="E24" s="5" t="s">
        <v>11</v>
      </c>
      <c r="F24" s="2" t="s">
        <v>51</v>
      </c>
    </row>
    <row r="25" spans="2:8" x14ac:dyDescent="0.3">
      <c r="B25" s="21" t="s">
        <v>34</v>
      </c>
      <c r="C25" s="7">
        <v>1</v>
      </c>
      <c r="D25" s="12">
        <v>0.125</v>
      </c>
      <c r="E25" s="6" t="s">
        <v>36</v>
      </c>
      <c r="F25" s="9">
        <f>$C25/$D25</f>
        <v>8</v>
      </c>
      <c r="G25" s="9" t="s">
        <v>15</v>
      </c>
    </row>
    <row r="26" spans="2:8" x14ac:dyDescent="0.3">
      <c r="B26" s="21" t="s">
        <v>34</v>
      </c>
      <c r="C26" s="7">
        <v>2</v>
      </c>
      <c r="D26" s="12">
        <v>0.20499999999999999</v>
      </c>
      <c r="E26" s="6" t="s">
        <v>36</v>
      </c>
      <c r="F26" s="9">
        <f>$C26/$D26</f>
        <v>9.7560975609756095</v>
      </c>
      <c r="G26" s="9" t="s">
        <v>15</v>
      </c>
    </row>
    <row r="27" spans="2:8" x14ac:dyDescent="0.3">
      <c r="B27" s="21" t="s">
        <v>34</v>
      </c>
      <c r="C27" s="7">
        <v>3</v>
      </c>
      <c r="D27" s="12">
        <v>0.255</v>
      </c>
      <c r="E27" s="6" t="s">
        <v>36</v>
      </c>
      <c r="F27" s="9">
        <f>$C27/$D27</f>
        <v>11.76470588235294</v>
      </c>
      <c r="G27" s="9" t="s">
        <v>15</v>
      </c>
    </row>
    <row r="28" spans="2:8" x14ac:dyDescent="0.3">
      <c r="B28" s="21" t="s">
        <v>34</v>
      </c>
      <c r="C28" s="7">
        <v>4</v>
      </c>
      <c r="D28" s="12">
        <v>0.28000000000000003</v>
      </c>
      <c r="E28" s="6" t="s">
        <v>36</v>
      </c>
      <c r="F28" s="9">
        <f>$C28/$D28</f>
        <v>14.285714285714285</v>
      </c>
      <c r="G28" s="9" t="s">
        <v>15</v>
      </c>
    </row>
    <row r="29" spans="2:8" x14ac:dyDescent="0.3">
      <c r="B29" s="22" t="s">
        <v>35</v>
      </c>
      <c r="C29" s="26">
        <v>5</v>
      </c>
      <c r="D29" s="25">
        <v>0.28999999999999998</v>
      </c>
      <c r="E29" s="23" t="s">
        <v>36</v>
      </c>
      <c r="F29" s="18">
        <f>$C29/$D29</f>
        <v>17.241379310344829</v>
      </c>
      <c r="G29" s="18" t="s">
        <v>16</v>
      </c>
    </row>
    <row r="49" spans="2:7" x14ac:dyDescent="0.3">
      <c r="B49" s="10" t="s">
        <v>33</v>
      </c>
      <c r="C49" s="3" t="s">
        <v>49</v>
      </c>
      <c r="D49" s="2" t="s">
        <v>43</v>
      </c>
      <c r="E49" s="5" t="s">
        <v>11</v>
      </c>
      <c r="F49" s="2" t="s">
        <v>51</v>
      </c>
    </row>
    <row r="50" spans="2:7" x14ac:dyDescent="0.3">
      <c r="B50" s="21" t="s">
        <v>34</v>
      </c>
      <c r="C50" s="7">
        <v>10</v>
      </c>
      <c r="D50" s="12">
        <v>0.125</v>
      </c>
      <c r="E50" s="6" t="s">
        <v>36</v>
      </c>
      <c r="F50" s="9">
        <f>$C50/$D50</f>
        <v>80</v>
      </c>
      <c r="G50" s="9" t="s">
        <v>15</v>
      </c>
    </row>
    <row r="51" spans="2:7" x14ac:dyDescent="0.3">
      <c r="B51" s="21" t="s">
        <v>34</v>
      </c>
      <c r="C51" s="7">
        <v>20</v>
      </c>
      <c r="D51" s="12">
        <v>0.20499999999999999</v>
      </c>
      <c r="E51" s="6" t="s">
        <v>36</v>
      </c>
      <c r="F51" s="9">
        <f>$C51/$D51</f>
        <v>97.560975609756099</v>
      </c>
      <c r="G51" s="9" t="s">
        <v>15</v>
      </c>
    </row>
    <row r="52" spans="2:7" x14ac:dyDescent="0.3">
      <c r="B52" s="21" t="s">
        <v>34</v>
      </c>
      <c r="C52" s="7">
        <v>30</v>
      </c>
      <c r="D52" s="12">
        <v>0.255</v>
      </c>
      <c r="E52" s="6" t="s">
        <v>36</v>
      </c>
      <c r="F52" s="9">
        <f>$C52/$D52</f>
        <v>117.64705882352941</v>
      </c>
      <c r="G52" s="9" t="s">
        <v>15</v>
      </c>
    </row>
    <row r="53" spans="2:7" x14ac:dyDescent="0.3">
      <c r="B53" s="21" t="s">
        <v>34</v>
      </c>
      <c r="C53" s="7">
        <v>40</v>
      </c>
      <c r="D53" s="12">
        <v>0.28000000000000003</v>
      </c>
      <c r="E53" s="6" t="s">
        <v>36</v>
      </c>
      <c r="F53" s="9">
        <f>$C53/$D53</f>
        <v>142.85714285714283</v>
      </c>
      <c r="G53" s="9" t="s">
        <v>15</v>
      </c>
    </row>
    <row r="54" spans="2:7" x14ac:dyDescent="0.3">
      <c r="B54" s="22" t="s">
        <v>35</v>
      </c>
      <c r="C54" s="26">
        <v>50</v>
      </c>
      <c r="D54" s="25">
        <v>0.28999999999999998</v>
      </c>
      <c r="E54" s="23" t="s">
        <v>36</v>
      </c>
      <c r="F54" s="18">
        <f>$C54/$D54</f>
        <v>172.41379310344828</v>
      </c>
      <c r="G54" s="18" t="s">
        <v>16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916E-08B4-433E-8977-95D65C77C0BA}">
  <sheetPr codeName="Sheet13">
    <tabColor rgb="FF00B050"/>
  </sheetPr>
  <dimension ref="A1:Q56"/>
  <sheetViews>
    <sheetView workbookViewId="0">
      <selection activeCell="C56" sqref="C56"/>
    </sheetView>
  </sheetViews>
  <sheetFormatPr defaultRowHeight="14.4" x14ac:dyDescent="0.3"/>
  <cols>
    <col min="2" max="2" width="32.44140625" customWidth="1"/>
    <col min="3" max="4" width="15.33203125" customWidth="1"/>
    <col min="5" max="6" width="18.44140625" customWidth="1"/>
    <col min="7" max="7" width="19.77734375" customWidth="1"/>
    <col min="8" max="10" width="23" customWidth="1"/>
    <col min="11" max="11" width="14.5546875" customWidth="1"/>
    <col min="12" max="12" width="14.6640625" customWidth="1"/>
  </cols>
  <sheetData>
    <row r="1" spans="2:17" x14ac:dyDescent="0.3">
      <c r="B1" s="10" t="s">
        <v>33</v>
      </c>
      <c r="C1" s="3" t="s">
        <v>49</v>
      </c>
      <c r="D1" s="3" t="s">
        <v>50</v>
      </c>
      <c r="E1" s="2" t="s">
        <v>43</v>
      </c>
      <c r="F1" s="2" t="s">
        <v>44</v>
      </c>
      <c r="G1" s="5" t="s">
        <v>11</v>
      </c>
      <c r="H1" s="2" t="s">
        <v>51</v>
      </c>
      <c r="I1" s="2" t="s">
        <v>52</v>
      </c>
      <c r="J1" s="2" t="s">
        <v>53</v>
      </c>
    </row>
    <row r="2" spans="2:17" x14ac:dyDescent="0.3">
      <c r="B2" s="21" t="s">
        <v>34</v>
      </c>
      <c r="C2" s="7">
        <f>0.6*$C3</f>
        <v>42</v>
      </c>
      <c r="D2" s="7">
        <v>82</v>
      </c>
      <c r="E2" s="12">
        <v>0.28599999999999998</v>
      </c>
      <c r="F2" s="12">
        <v>0.55700000000000005</v>
      </c>
      <c r="G2" s="6" t="s">
        <v>36</v>
      </c>
      <c r="H2" s="9">
        <f t="shared" ref="H2:H19" si="0">$C2/$E2</f>
        <v>146.85314685314685</v>
      </c>
      <c r="I2" s="9">
        <f t="shared" ref="I2:I19" si="1">$D2/$F2</f>
        <v>147.21723518850987</v>
      </c>
      <c r="J2" s="9">
        <f t="shared" ref="J2:J19" si="2">($C2+$D2)/($E2+$F2)</f>
        <v>147.09371293001186</v>
      </c>
      <c r="K2" s="9" t="s">
        <v>15</v>
      </c>
    </row>
    <row r="3" spans="2:17" x14ac:dyDescent="0.3">
      <c r="B3" s="22" t="s">
        <v>35</v>
      </c>
      <c r="C3" s="26">
        <v>70</v>
      </c>
      <c r="D3" s="26">
        <v>109</v>
      </c>
      <c r="E3" s="25">
        <v>0.34300000000000003</v>
      </c>
      <c r="F3" s="25">
        <v>0.53400000000000003</v>
      </c>
      <c r="G3" s="23" t="s">
        <v>36</v>
      </c>
      <c r="H3" s="18">
        <f t="shared" si="0"/>
        <v>204.08163265306121</v>
      </c>
      <c r="I3" s="18">
        <f t="shared" si="1"/>
        <v>204.11985018726591</v>
      </c>
      <c r="J3" s="18">
        <f t="shared" si="2"/>
        <v>204.1049030786773</v>
      </c>
      <c r="K3" s="18" t="s">
        <v>16</v>
      </c>
    </row>
    <row r="4" spans="2:17" x14ac:dyDescent="0.3">
      <c r="B4" s="21" t="s">
        <v>34</v>
      </c>
      <c r="C4" s="7">
        <f>0.5*$C5</f>
        <v>42.5</v>
      </c>
      <c r="D4" s="7">
        <v>98</v>
      </c>
      <c r="E4" s="12">
        <v>0.27100000000000002</v>
      </c>
      <c r="F4" s="12">
        <v>0.628</v>
      </c>
      <c r="G4" s="6" t="s">
        <v>36</v>
      </c>
      <c r="H4" s="9">
        <f t="shared" si="0"/>
        <v>156.82656826568265</v>
      </c>
      <c r="I4" s="9">
        <f t="shared" si="1"/>
        <v>156.05095541401275</v>
      </c>
      <c r="J4" s="9">
        <f t="shared" si="2"/>
        <v>156.28476084538374</v>
      </c>
      <c r="K4" s="9" t="s">
        <v>15</v>
      </c>
    </row>
    <row r="5" spans="2:17" x14ac:dyDescent="0.3">
      <c r="B5" s="22" t="s">
        <v>35</v>
      </c>
      <c r="C5" s="26">
        <v>85</v>
      </c>
      <c r="D5" s="26">
        <v>141</v>
      </c>
      <c r="E5" s="25">
        <v>0.33700000000000002</v>
      </c>
      <c r="F5" s="25">
        <v>0.56100000000000005</v>
      </c>
      <c r="G5" s="23" t="s">
        <v>36</v>
      </c>
      <c r="H5" s="18">
        <f t="shared" si="0"/>
        <v>252.22551928783381</v>
      </c>
      <c r="I5" s="18">
        <f t="shared" si="1"/>
        <v>251.3368983957219</v>
      </c>
      <c r="J5" s="18">
        <f t="shared" si="2"/>
        <v>251.67037861915364</v>
      </c>
      <c r="K5" s="18" t="s">
        <v>16</v>
      </c>
    </row>
    <row r="6" spans="2:17" x14ac:dyDescent="0.3">
      <c r="B6" s="21" t="s">
        <v>34</v>
      </c>
      <c r="C6" s="7">
        <f>0.5*$C7</f>
        <v>52</v>
      </c>
      <c r="D6" s="7">
        <v>112</v>
      </c>
      <c r="E6" s="12">
        <v>0.28599999999999998</v>
      </c>
      <c r="F6" s="12">
        <v>0.61499999999999999</v>
      </c>
      <c r="G6" s="6" t="s">
        <v>36</v>
      </c>
      <c r="H6" s="9">
        <f t="shared" si="0"/>
        <v>181.81818181818184</v>
      </c>
      <c r="I6" s="9">
        <f t="shared" si="1"/>
        <v>182.11382113821139</v>
      </c>
      <c r="J6" s="9">
        <f t="shared" si="2"/>
        <v>182.01997780244173</v>
      </c>
      <c r="K6" s="9" t="s">
        <v>15</v>
      </c>
      <c r="L6" s="2" t="s">
        <v>378</v>
      </c>
      <c r="M6" s="2" t="s">
        <v>379</v>
      </c>
      <c r="N6" s="2" t="s">
        <v>406</v>
      </c>
      <c r="O6" s="2" t="s">
        <v>380</v>
      </c>
      <c r="P6" s="2" t="s">
        <v>381</v>
      </c>
      <c r="Q6" s="2" t="s">
        <v>407</v>
      </c>
    </row>
    <row r="7" spans="2:17" x14ac:dyDescent="0.3">
      <c r="B7" s="22" t="s">
        <v>35</v>
      </c>
      <c r="C7" s="26">
        <v>104</v>
      </c>
      <c r="D7" s="26">
        <v>166</v>
      </c>
      <c r="E7" s="25">
        <v>0.34699999999999998</v>
      </c>
      <c r="F7" s="25">
        <v>0.55300000000000005</v>
      </c>
      <c r="G7" s="23" t="s">
        <v>36</v>
      </c>
      <c r="H7" s="18">
        <f t="shared" si="0"/>
        <v>299.71181556195967</v>
      </c>
      <c r="I7" s="18">
        <f t="shared" si="1"/>
        <v>300.1808318264014</v>
      </c>
      <c r="J7" s="18">
        <f t="shared" si="2"/>
        <v>300</v>
      </c>
      <c r="K7" s="18" t="s">
        <v>16</v>
      </c>
      <c r="L7" s="26">
        <f>N7/E6</f>
        <v>174.82517482517483</v>
      </c>
      <c r="M7" s="26">
        <f>L7*F6</f>
        <v>107.51748251748252</v>
      </c>
      <c r="N7" s="26">
        <f>Q7*C6/C7</f>
        <v>50</v>
      </c>
      <c r="O7" s="26">
        <f>Q7/E7</f>
        <v>288.18443804034587</v>
      </c>
      <c r="P7" s="26">
        <f>O7*F7</f>
        <v>159.36599423631128</v>
      </c>
      <c r="Q7" s="26">
        <v>100</v>
      </c>
    </row>
    <row r="8" spans="2:17" x14ac:dyDescent="0.3">
      <c r="B8" s="21" t="s">
        <v>34</v>
      </c>
      <c r="C8" s="7">
        <f>0.5*$C9</f>
        <v>62</v>
      </c>
      <c r="D8" s="7">
        <v>119</v>
      </c>
      <c r="E8" s="12">
        <v>0.31</v>
      </c>
      <c r="F8" s="12">
        <v>0.59299999999999997</v>
      </c>
      <c r="G8" s="6" t="s">
        <v>36</v>
      </c>
      <c r="H8" s="9">
        <f t="shared" si="0"/>
        <v>200</v>
      </c>
      <c r="I8" s="9">
        <f t="shared" si="1"/>
        <v>200.67453625632379</v>
      </c>
      <c r="J8" s="9">
        <f t="shared" si="2"/>
        <v>200.44296788482833</v>
      </c>
      <c r="K8" s="9" t="s">
        <v>15</v>
      </c>
    </row>
    <row r="9" spans="2:17" x14ac:dyDescent="0.3">
      <c r="B9" s="22" t="s">
        <v>35</v>
      </c>
      <c r="C9" s="26">
        <v>124</v>
      </c>
      <c r="D9" s="26">
        <v>182</v>
      </c>
      <c r="E9" s="25">
        <v>0.36599999999999999</v>
      </c>
      <c r="F9" s="25">
        <v>0.53600000000000003</v>
      </c>
      <c r="G9" s="23" t="s">
        <v>36</v>
      </c>
      <c r="H9" s="18">
        <f t="shared" si="0"/>
        <v>338.79781420765028</v>
      </c>
      <c r="I9" s="18">
        <f t="shared" si="1"/>
        <v>339.55223880597015</v>
      </c>
      <c r="J9" s="18">
        <f t="shared" si="2"/>
        <v>339.24611973392462</v>
      </c>
      <c r="K9" s="18" t="s">
        <v>16</v>
      </c>
    </row>
    <row r="10" spans="2:17" x14ac:dyDescent="0.3">
      <c r="B10" s="21" t="s">
        <v>34</v>
      </c>
      <c r="C10" s="7">
        <f>0.5*$C11</f>
        <v>66.5</v>
      </c>
      <c r="D10" s="7">
        <v>129</v>
      </c>
      <c r="E10" s="12">
        <v>0.30599999999999999</v>
      </c>
      <c r="F10" s="12">
        <v>0.59499999999999997</v>
      </c>
      <c r="G10" s="6" t="s">
        <v>36</v>
      </c>
      <c r="H10" s="9">
        <f t="shared" si="0"/>
        <v>217.3202614379085</v>
      </c>
      <c r="I10" s="9">
        <f t="shared" si="1"/>
        <v>216.80672268907563</v>
      </c>
      <c r="J10" s="9">
        <f t="shared" si="2"/>
        <v>216.98113207547169</v>
      </c>
      <c r="K10" s="9" t="s">
        <v>15</v>
      </c>
    </row>
    <row r="11" spans="2:17" x14ac:dyDescent="0.3">
      <c r="B11" s="22" t="s">
        <v>35</v>
      </c>
      <c r="C11" s="26">
        <v>133</v>
      </c>
      <c r="D11" s="26">
        <v>191</v>
      </c>
      <c r="E11" s="25">
        <v>0.378</v>
      </c>
      <c r="F11" s="25">
        <v>0.54200000000000004</v>
      </c>
      <c r="G11" s="23" t="s">
        <v>36</v>
      </c>
      <c r="H11" s="18">
        <f t="shared" si="0"/>
        <v>351.85185185185185</v>
      </c>
      <c r="I11" s="18">
        <f t="shared" si="1"/>
        <v>352.39852398523982</v>
      </c>
      <c r="J11" s="18">
        <f t="shared" si="2"/>
        <v>352.17391304347825</v>
      </c>
      <c r="K11" s="18" t="s">
        <v>16</v>
      </c>
    </row>
    <row r="12" spans="2:17" x14ac:dyDescent="0.3">
      <c r="B12" s="21" t="s">
        <v>34</v>
      </c>
      <c r="C12" s="7">
        <f>0.5*$C13</f>
        <v>82</v>
      </c>
      <c r="D12" s="7">
        <v>134</v>
      </c>
      <c r="E12" s="12">
        <v>0.33200000000000002</v>
      </c>
      <c r="F12" s="12">
        <v>0.54300000000000004</v>
      </c>
      <c r="G12" s="6" t="s">
        <v>36</v>
      </c>
      <c r="H12" s="9">
        <f t="shared" si="0"/>
        <v>246.98795180722891</v>
      </c>
      <c r="I12" s="9">
        <f t="shared" si="1"/>
        <v>246.77716390423572</v>
      </c>
      <c r="J12" s="9">
        <f t="shared" si="2"/>
        <v>246.85714285714286</v>
      </c>
      <c r="K12" s="9" t="s">
        <v>15</v>
      </c>
    </row>
    <row r="13" spans="2:17" x14ac:dyDescent="0.3">
      <c r="B13" s="22" t="s">
        <v>35</v>
      </c>
      <c r="C13" s="26">
        <v>164</v>
      </c>
      <c r="D13" s="26">
        <v>209</v>
      </c>
      <c r="E13" s="25">
        <v>0.378</v>
      </c>
      <c r="F13" s="25">
        <v>0.48199999999999998</v>
      </c>
      <c r="G13" s="23" t="s">
        <v>36</v>
      </c>
      <c r="H13" s="18">
        <f t="shared" si="0"/>
        <v>433.86243386243387</v>
      </c>
      <c r="I13" s="18">
        <f t="shared" si="1"/>
        <v>433.60995850622407</v>
      </c>
      <c r="J13" s="18">
        <f t="shared" si="2"/>
        <v>433.72093023255815</v>
      </c>
      <c r="K13" s="18" t="s">
        <v>16</v>
      </c>
    </row>
    <row r="14" spans="2:17" x14ac:dyDescent="0.3">
      <c r="B14" s="21" t="s">
        <v>34</v>
      </c>
      <c r="C14" s="7">
        <f>0.5*$C15</f>
        <v>92</v>
      </c>
      <c r="D14" s="7">
        <v>136</v>
      </c>
      <c r="E14" s="12">
        <v>0.35199999999999998</v>
      </c>
      <c r="F14" s="12">
        <v>0.52100000000000002</v>
      </c>
      <c r="G14" s="6" t="s">
        <v>36</v>
      </c>
      <c r="H14" s="9">
        <f t="shared" si="0"/>
        <v>261.36363636363637</v>
      </c>
      <c r="I14" s="9">
        <f t="shared" si="1"/>
        <v>261.03646833013437</v>
      </c>
      <c r="J14" s="9">
        <f t="shared" si="2"/>
        <v>261.16838487972507</v>
      </c>
      <c r="K14" s="9" t="s">
        <v>15</v>
      </c>
    </row>
    <row r="15" spans="2:17" x14ac:dyDescent="0.3">
      <c r="B15" s="22" t="s">
        <v>35</v>
      </c>
      <c r="C15" s="26">
        <v>184</v>
      </c>
      <c r="D15" s="26">
        <v>218</v>
      </c>
      <c r="E15" s="25">
        <v>0.39200000000000002</v>
      </c>
      <c r="F15" s="25">
        <v>0.46500000000000002</v>
      </c>
      <c r="G15" s="23" t="s">
        <v>36</v>
      </c>
      <c r="H15" s="18">
        <f t="shared" si="0"/>
        <v>469.38775510204079</v>
      </c>
      <c r="I15" s="18">
        <f t="shared" si="1"/>
        <v>468.81720430107526</v>
      </c>
      <c r="J15" s="18">
        <f t="shared" si="2"/>
        <v>469.07817969661613</v>
      </c>
      <c r="K15" s="18" t="s">
        <v>16</v>
      </c>
    </row>
    <row r="16" spans="2:17" x14ac:dyDescent="0.3">
      <c r="B16" s="21" t="s">
        <v>34</v>
      </c>
      <c r="C16" s="7">
        <f>0.5*$C17</f>
        <v>100</v>
      </c>
      <c r="D16" s="7">
        <v>147</v>
      </c>
      <c r="E16" s="12">
        <v>0.35299999999999998</v>
      </c>
      <c r="F16" s="12">
        <v>0.52100000000000002</v>
      </c>
      <c r="G16" s="6" t="s">
        <v>36</v>
      </c>
      <c r="H16" s="9">
        <f t="shared" si="0"/>
        <v>283.28611898016999</v>
      </c>
      <c r="I16" s="9">
        <f t="shared" si="1"/>
        <v>282.14971209213053</v>
      </c>
      <c r="J16" s="9">
        <f t="shared" si="2"/>
        <v>282.60869565217394</v>
      </c>
      <c r="K16" s="9" t="s">
        <v>15</v>
      </c>
    </row>
    <row r="17" spans="1:12" x14ac:dyDescent="0.3">
      <c r="B17" s="22" t="s">
        <v>35</v>
      </c>
      <c r="C17" s="26">
        <v>200</v>
      </c>
      <c r="D17" s="26">
        <v>237</v>
      </c>
      <c r="E17" s="25">
        <v>0.39200000000000002</v>
      </c>
      <c r="F17" s="25">
        <v>0.46500000000000002</v>
      </c>
      <c r="G17" s="23" t="s">
        <v>36</v>
      </c>
      <c r="H17" s="18">
        <f t="shared" si="0"/>
        <v>510.20408163265301</v>
      </c>
      <c r="I17" s="18">
        <f t="shared" si="1"/>
        <v>509.67741935483866</v>
      </c>
      <c r="J17" s="18">
        <f t="shared" si="2"/>
        <v>509.91831971995333</v>
      </c>
      <c r="K17" s="18" t="s">
        <v>16</v>
      </c>
    </row>
    <row r="18" spans="1:12" x14ac:dyDescent="0.3">
      <c r="B18" s="21" t="s">
        <v>34</v>
      </c>
      <c r="C18" s="7">
        <f>0.5*$C19</f>
        <v>105</v>
      </c>
      <c r="D18" s="7">
        <v>149</v>
      </c>
      <c r="E18" s="12">
        <v>0.35699999999999998</v>
      </c>
      <c r="F18" s="12">
        <v>0.50700000000000001</v>
      </c>
      <c r="G18" s="6" t="s">
        <v>36</v>
      </c>
      <c r="H18" s="9">
        <f t="shared" si="0"/>
        <v>294.11764705882354</v>
      </c>
      <c r="I18" s="9">
        <f t="shared" si="1"/>
        <v>293.88560157790926</v>
      </c>
      <c r="J18" s="9">
        <f t="shared" si="2"/>
        <v>293.98148148148147</v>
      </c>
      <c r="K18" s="9" t="s">
        <v>15</v>
      </c>
    </row>
    <row r="19" spans="1:12" x14ac:dyDescent="0.3">
      <c r="B19" s="22" t="s">
        <v>35</v>
      </c>
      <c r="C19" s="26">
        <v>210</v>
      </c>
      <c r="D19" s="26">
        <v>248</v>
      </c>
      <c r="E19" s="25">
        <v>0.39700000000000002</v>
      </c>
      <c r="F19" s="25">
        <v>0.46899999999999997</v>
      </c>
      <c r="G19" s="23" t="s">
        <v>36</v>
      </c>
      <c r="H19" s="18">
        <f t="shared" si="0"/>
        <v>528.9672544080604</v>
      </c>
      <c r="I19" s="18">
        <f t="shared" si="1"/>
        <v>528.78464818763325</v>
      </c>
      <c r="J19" s="18">
        <f t="shared" si="2"/>
        <v>528.86836027713628</v>
      </c>
      <c r="K19" s="18" t="s">
        <v>16</v>
      </c>
    </row>
    <row r="20" spans="1:12" x14ac:dyDescent="0.3">
      <c r="C20" s="4"/>
      <c r="D20" s="4"/>
    </row>
    <row r="21" spans="1:12" x14ac:dyDescent="0.3">
      <c r="B21" t="s">
        <v>1</v>
      </c>
      <c r="C21" t="s">
        <v>4</v>
      </c>
    </row>
    <row r="22" spans="1:12" x14ac:dyDescent="0.3">
      <c r="A22" t="s">
        <v>36</v>
      </c>
      <c r="B22" t="s">
        <v>48</v>
      </c>
      <c r="C22" s="4" t="s">
        <v>47</v>
      </c>
      <c r="D22" s="4"/>
      <c r="E22" s="4"/>
      <c r="F22" s="4"/>
    </row>
    <row r="23" spans="1:12" x14ac:dyDescent="0.3">
      <c r="C23" s="4"/>
      <c r="D23" s="4"/>
    </row>
    <row r="24" spans="1:12" x14ac:dyDescent="0.3">
      <c r="C24" s="4"/>
      <c r="D24" s="4"/>
      <c r="E24" s="9"/>
    </row>
    <row r="25" spans="1:12" x14ac:dyDescent="0.3">
      <c r="E25" s="28" t="s">
        <v>55</v>
      </c>
      <c r="F25" s="10" t="s">
        <v>18</v>
      </c>
      <c r="G25" s="28" t="s">
        <v>55</v>
      </c>
      <c r="H25" s="10" t="s">
        <v>18</v>
      </c>
      <c r="I25" s="28" t="s">
        <v>55</v>
      </c>
      <c r="J25" s="10" t="s">
        <v>18</v>
      </c>
      <c r="K25" s="9"/>
      <c r="L25" s="9"/>
    </row>
    <row r="26" spans="1:12" x14ac:dyDescent="0.3">
      <c r="B26" s="2" t="s">
        <v>13</v>
      </c>
      <c r="C26" s="2" t="s">
        <v>54</v>
      </c>
      <c r="D26" s="2" t="s">
        <v>25</v>
      </c>
      <c r="E26" s="2" t="s">
        <v>56</v>
      </c>
      <c r="F26" s="2" t="s">
        <v>17</v>
      </c>
      <c r="G26" s="2" t="s">
        <v>57</v>
      </c>
      <c r="H26" s="2" t="s">
        <v>22</v>
      </c>
      <c r="I26" s="2" t="s">
        <v>23</v>
      </c>
      <c r="J26" s="2" t="s">
        <v>23</v>
      </c>
      <c r="K26" s="9"/>
      <c r="L26" s="9"/>
    </row>
    <row r="27" spans="1:12" x14ac:dyDescent="0.3">
      <c r="B27" s="9" t="s">
        <v>15</v>
      </c>
      <c r="C27" s="9">
        <f>$C3</f>
        <v>70</v>
      </c>
      <c r="D27" s="9">
        <f t="shared" ref="D27:D44" si="3">$J2</f>
        <v>147.09371293001186</v>
      </c>
      <c r="E27" s="9">
        <f t="shared" ref="E27:E44" si="4">$D27*$E2</f>
        <v>42.068801897983391</v>
      </c>
      <c r="F27" s="9">
        <f t="shared" ref="F27:F44" si="5">$D27*$F2</f>
        <v>81.931198102016609</v>
      </c>
      <c r="G27" s="9">
        <f t="shared" ref="G27:G44" si="6">$B$47*$D27+$C$47*$C27+$D$47</f>
        <v>39.262322326610672</v>
      </c>
      <c r="H27" s="9">
        <f t="shared" ref="H27:H44" si="7">$F$47*$D27+$G$47*$C27+$H$47</f>
        <v>95.72555541009757</v>
      </c>
      <c r="I27" s="29">
        <f t="shared" ref="I27:I44" si="8">($E27-$G27)/$E27</f>
        <v>6.6711659109722599E-2</v>
      </c>
      <c r="J27" s="29">
        <f t="shared" ref="J27:J44" si="9">($F27-$H27)/$F27</f>
        <v>-0.16836513596328617</v>
      </c>
      <c r="K27" s="9"/>
      <c r="L27" s="9"/>
    </row>
    <row r="28" spans="1:12" x14ac:dyDescent="0.3">
      <c r="B28" s="18" t="s">
        <v>16</v>
      </c>
      <c r="C28" s="18">
        <f>$C3</f>
        <v>70</v>
      </c>
      <c r="D28" s="18">
        <f t="shared" si="3"/>
        <v>204.1049030786773</v>
      </c>
      <c r="E28" s="18">
        <f t="shared" si="4"/>
        <v>70.007981755986322</v>
      </c>
      <c r="F28" s="18">
        <f t="shared" si="5"/>
        <v>108.99201824401368</v>
      </c>
      <c r="G28" s="18">
        <f t="shared" si="6"/>
        <v>64.716942702825023</v>
      </c>
      <c r="H28" s="18">
        <f t="shared" si="7"/>
        <v>119.61303898250929</v>
      </c>
      <c r="I28" s="30">
        <f t="shared" si="8"/>
        <v>7.5577654439507772E-2</v>
      </c>
      <c r="J28" s="30">
        <f t="shared" si="9"/>
        <v>-9.7447693047733513E-2</v>
      </c>
      <c r="K28" s="9"/>
      <c r="L28" s="9"/>
    </row>
    <row r="29" spans="1:12" x14ac:dyDescent="0.3">
      <c r="B29" s="9" t="s">
        <v>15</v>
      </c>
      <c r="C29" s="9">
        <f>$C5</f>
        <v>85</v>
      </c>
      <c r="D29" s="9">
        <f t="shared" si="3"/>
        <v>156.28476084538374</v>
      </c>
      <c r="E29" s="9">
        <f t="shared" si="4"/>
        <v>42.353170189098996</v>
      </c>
      <c r="F29" s="9">
        <f t="shared" si="5"/>
        <v>98.146829810900996</v>
      </c>
      <c r="G29" s="9">
        <f t="shared" si="6"/>
        <v>43.278922045852738</v>
      </c>
      <c r="H29" s="9">
        <f t="shared" si="7"/>
        <v>98.891797652825758</v>
      </c>
      <c r="I29" s="29">
        <f t="shared" si="8"/>
        <v>-2.1857911760098065E-2</v>
      </c>
      <c r="J29" s="29">
        <f t="shared" si="9"/>
        <v>-7.5903403437491326E-3</v>
      </c>
      <c r="K29" s="9"/>
      <c r="L29" s="9"/>
    </row>
    <row r="30" spans="1:12" x14ac:dyDescent="0.3">
      <c r="B30" s="18" t="s">
        <v>16</v>
      </c>
      <c r="C30" s="18">
        <f>$C5</f>
        <v>85</v>
      </c>
      <c r="D30" s="18">
        <f t="shared" si="3"/>
        <v>251.67037861915364</v>
      </c>
      <c r="E30" s="18">
        <f t="shared" si="4"/>
        <v>84.812917594654778</v>
      </c>
      <c r="F30" s="18">
        <f t="shared" si="5"/>
        <v>141.18708240534519</v>
      </c>
      <c r="G30" s="18">
        <f t="shared" si="6"/>
        <v>85.867134701133224</v>
      </c>
      <c r="H30" s="18">
        <f t="shared" si="7"/>
        <v>138.85802834672421</v>
      </c>
      <c r="I30" s="30">
        <f t="shared" si="8"/>
        <v>-1.2429912050860605E-2</v>
      </c>
      <c r="J30" s="30">
        <f t="shared" si="9"/>
        <v>1.6496226276100222E-2</v>
      </c>
      <c r="K30" s="9"/>
      <c r="L30" s="9"/>
    </row>
    <row r="31" spans="1:12" x14ac:dyDescent="0.3">
      <c r="B31" s="9" t="s">
        <v>15</v>
      </c>
      <c r="C31" s="9">
        <f>$C7</f>
        <v>104</v>
      </c>
      <c r="D31" s="9">
        <f t="shared" si="3"/>
        <v>182.01997780244173</v>
      </c>
      <c r="E31" s="9">
        <f t="shared" si="4"/>
        <v>52.057713651498332</v>
      </c>
      <c r="F31" s="9">
        <f t="shared" si="5"/>
        <v>111.94228634850167</v>
      </c>
      <c r="G31" s="9">
        <f t="shared" si="6"/>
        <v>54.659022507922856</v>
      </c>
      <c r="H31" s="9">
        <f t="shared" si="7"/>
        <v>108.80738086744292</v>
      </c>
      <c r="I31" s="29">
        <f t="shared" si="8"/>
        <v>-4.9969710038344189E-2</v>
      </c>
      <c r="J31" s="29">
        <f t="shared" si="9"/>
        <v>2.8004658322763585E-2</v>
      </c>
      <c r="K31" s="9"/>
      <c r="L31" s="9"/>
    </row>
    <row r="32" spans="1:12" x14ac:dyDescent="0.3">
      <c r="B32" s="18" t="s">
        <v>16</v>
      </c>
      <c r="C32" s="18">
        <f>$C7</f>
        <v>104</v>
      </c>
      <c r="D32" s="18">
        <f t="shared" si="3"/>
        <v>300</v>
      </c>
      <c r="E32" s="18">
        <f t="shared" si="4"/>
        <v>104.1</v>
      </c>
      <c r="F32" s="18">
        <f t="shared" si="5"/>
        <v>165.9</v>
      </c>
      <c r="G32" s="18">
        <f t="shared" si="6"/>
        <v>107.33528955628734</v>
      </c>
      <c r="H32" s="18">
        <f t="shared" si="7"/>
        <v>158.2405857306976</v>
      </c>
      <c r="I32" s="30">
        <f t="shared" si="8"/>
        <v>-3.1078670089215579E-2</v>
      </c>
      <c r="J32" s="30">
        <f t="shared" si="9"/>
        <v>4.6168862382775178E-2</v>
      </c>
      <c r="K32" s="9"/>
      <c r="L32" s="9"/>
    </row>
    <row r="33" spans="2:12" x14ac:dyDescent="0.3">
      <c r="B33" s="9" t="s">
        <v>15</v>
      </c>
      <c r="C33" s="9">
        <f>$C9</f>
        <v>124</v>
      </c>
      <c r="D33" s="9">
        <f t="shared" si="3"/>
        <v>200.44296788482833</v>
      </c>
      <c r="E33" s="9">
        <f t="shared" si="4"/>
        <v>62.137320044296786</v>
      </c>
      <c r="F33" s="9">
        <f t="shared" si="5"/>
        <v>118.8626799557032</v>
      </c>
      <c r="G33" s="9">
        <f t="shared" si="6"/>
        <v>62.768521899220858</v>
      </c>
      <c r="H33" s="9">
        <f t="shared" si="7"/>
        <v>115.61351574300278</v>
      </c>
      <c r="I33" s="29">
        <f t="shared" si="8"/>
        <v>-1.0158176349963232E-2</v>
      </c>
      <c r="J33" s="29">
        <f t="shared" si="9"/>
        <v>2.7335444682143242E-2</v>
      </c>
      <c r="K33" s="9"/>
      <c r="L33" s="9"/>
    </row>
    <row r="34" spans="2:12" x14ac:dyDescent="0.3">
      <c r="B34" s="18" t="s">
        <v>16</v>
      </c>
      <c r="C34" s="18">
        <f>$C9</f>
        <v>124</v>
      </c>
      <c r="D34" s="18">
        <f t="shared" si="3"/>
        <v>339.24611973392462</v>
      </c>
      <c r="E34" s="18">
        <f t="shared" si="4"/>
        <v>124.1640798226164</v>
      </c>
      <c r="F34" s="18">
        <f t="shared" si="5"/>
        <v>181.8359201773836</v>
      </c>
      <c r="G34" s="18">
        <f t="shared" si="6"/>
        <v>124.74199637199482</v>
      </c>
      <c r="H34" s="18">
        <f t="shared" si="7"/>
        <v>173.77153701826774</v>
      </c>
      <c r="I34" s="30">
        <f t="shared" si="8"/>
        <v>-4.6544584408311921E-3</v>
      </c>
      <c r="J34" s="30">
        <f t="shared" si="9"/>
        <v>4.4349780567277022E-2</v>
      </c>
      <c r="K34" s="9"/>
      <c r="L34" s="9"/>
    </row>
    <row r="35" spans="2:12" x14ac:dyDescent="0.3">
      <c r="B35" s="9" t="s">
        <v>15</v>
      </c>
      <c r="C35" s="9">
        <f>$C11</f>
        <v>133</v>
      </c>
      <c r="D35" s="9">
        <f t="shared" si="3"/>
        <v>216.98113207547169</v>
      </c>
      <c r="E35" s="9">
        <f t="shared" si="4"/>
        <v>66.396226415094333</v>
      </c>
      <c r="F35" s="9">
        <f t="shared" si="5"/>
        <v>129.10377358490564</v>
      </c>
      <c r="G35" s="9">
        <f t="shared" si="6"/>
        <v>70.100320919412894</v>
      </c>
      <c r="H35" s="9">
        <f t="shared" si="7"/>
        <v>122.13208278101561</v>
      </c>
      <c r="I35" s="29">
        <f t="shared" si="8"/>
        <v>-5.5787726265667456E-2</v>
      </c>
      <c r="J35" s="29">
        <f t="shared" si="9"/>
        <v>5.4000674111241723E-2</v>
      </c>
      <c r="K35" s="9"/>
      <c r="L35" s="9"/>
    </row>
    <row r="36" spans="2:12" x14ac:dyDescent="0.3">
      <c r="B36" s="18" t="s">
        <v>16</v>
      </c>
      <c r="C36" s="18">
        <f>$C11</f>
        <v>133</v>
      </c>
      <c r="D36" s="18">
        <f t="shared" si="3"/>
        <v>352.17391304347825</v>
      </c>
      <c r="E36" s="18">
        <f t="shared" si="4"/>
        <v>133.12173913043478</v>
      </c>
      <c r="F36" s="18">
        <f t="shared" si="5"/>
        <v>190.87826086956522</v>
      </c>
      <c r="G36" s="18">
        <f t="shared" si="6"/>
        <v>130.46182027018307</v>
      </c>
      <c r="H36" s="18">
        <f t="shared" si="7"/>
        <v>178.77737164554765</v>
      </c>
      <c r="I36" s="30">
        <f t="shared" si="8"/>
        <v>1.9981100589780285E-2</v>
      </c>
      <c r="J36" s="30">
        <f t="shared" si="9"/>
        <v>6.3395848059861579E-2</v>
      </c>
      <c r="K36" s="9"/>
      <c r="L36" s="9"/>
    </row>
    <row r="37" spans="2:12" x14ac:dyDescent="0.3">
      <c r="B37" s="9" t="s">
        <v>15</v>
      </c>
      <c r="C37" s="9">
        <f>$C13</f>
        <v>164</v>
      </c>
      <c r="D37" s="9">
        <f t="shared" si="3"/>
        <v>246.85714285714286</v>
      </c>
      <c r="E37" s="9">
        <f t="shared" si="4"/>
        <v>81.956571428571436</v>
      </c>
      <c r="F37" s="9">
        <f t="shared" si="5"/>
        <v>134.04342857142859</v>
      </c>
      <c r="G37" s="9">
        <f t="shared" si="6"/>
        <v>83.259572639976668</v>
      </c>
      <c r="H37" s="9">
        <f t="shared" si="7"/>
        <v>133.23482469654527</v>
      </c>
      <c r="I37" s="29">
        <f t="shared" si="8"/>
        <v>-1.5898678881910659E-2</v>
      </c>
      <c r="J37" s="29">
        <f t="shared" si="9"/>
        <v>6.0324022109926228E-3</v>
      </c>
      <c r="K37" s="9"/>
      <c r="L37" s="9"/>
    </row>
    <row r="38" spans="2:12" x14ac:dyDescent="0.3">
      <c r="B38" s="18" t="s">
        <v>16</v>
      </c>
      <c r="C38" s="18">
        <f>$C13</f>
        <v>164</v>
      </c>
      <c r="D38" s="18">
        <f t="shared" si="3"/>
        <v>433.72093023255815</v>
      </c>
      <c r="E38" s="18">
        <f t="shared" si="4"/>
        <v>163.94651162790697</v>
      </c>
      <c r="F38" s="18">
        <f t="shared" si="5"/>
        <v>209.05348837209303</v>
      </c>
      <c r="G38" s="18">
        <f t="shared" si="6"/>
        <v>166.69138238293073</v>
      </c>
      <c r="H38" s="18">
        <f t="shared" si="7"/>
        <v>211.53007935741232</v>
      </c>
      <c r="I38" s="30">
        <f t="shared" si="8"/>
        <v>-1.6742477334641393E-2</v>
      </c>
      <c r="J38" s="30">
        <f t="shared" si="9"/>
        <v>-1.1846685767382277E-2</v>
      </c>
      <c r="K38" s="9"/>
      <c r="L38" s="9"/>
    </row>
    <row r="39" spans="2:12" x14ac:dyDescent="0.3">
      <c r="B39" s="9" t="s">
        <v>15</v>
      </c>
      <c r="C39" s="9">
        <f>$C15</f>
        <v>184</v>
      </c>
      <c r="D39" s="9">
        <f t="shared" si="3"/>
        <v>261.16838487972507</v>
      </c>
      <c r="E39" s="9">
        <f t="shared" si="4"/>
        <v>91.931271477663216</v>
      </c>
      <c r="F39" s="9">
        <f t="shared" si="5"/>
        <v>136.06872852233676</v>
      </c>
      <c r="G39" s="9">
        <f t="shared" si="6"/>
        <v>89.533239703059238</v>
      </c>
      <c r="H39" s="9">
        <f t="shared" si="7"/>
        <v>138.31815192721385</v>
      </c>
      <c r="I39" s="29">
        <f t="shared" si="8"/>
        <v>2.6085049581704468E-2</v>
      </c>
      <c r="J39" s="29">
        <f t="shared" si="9"/>
        <v>-1.6531523659441202E-2</v>
      </c>
      <c r="K39" s="9"/>
      <c r="L39" s="9"/>
    </row>
    <row r="40" spans="2:12" x14ac:dyDescent="0.3">
      <c r="B40" s="18" t="s">
        <v>16</v>
      </c>
      <c r="C40" s="18">
        <f>$C15</f>
        <v>184</v>
      </c>
      <c r="D40" s="18">
        <f t="shared" si="3"/>
        <v>469.07817969661613</v>
      </c>
      <c r="E40" s="18">
        <f t="shared" si="4"/>
        <v>183.87864644107353</v>
      </c>
      <c r="F40" s="18">
        <f t="shared" si="5"/>
        <v>218.1213535589265</v>
      </c>
      <c r="G40" s="18">
        <f t="shared" si="6"/>
        <v>182.36176837892418</v>
      </c>
      <c r="H40" s="18">
        <f t="shared" si="7"/>
        <v>225.43160799226391</v>
      </c>
      <c r="I40" s="30">
        <f t="shared" si="8"/>
        <v>8.2493432027489402E-3</v>
      </c>
      <c r="J40" s="30">
        <f t="shared" si="9"/>
        <v>-3.3514620710266708E-2</v>
      </c>
      <c r="K40" s="9"/>
      <c r="L40" s="9"/>
    </row>
    <row r="41" spans="2:12" x14ac:dyDescent="0.3">
      <c r="B41" s="9" t="s">
        <v>15</v>
      </c>
      <c r="C41" s="9">
        <f>$C17</f>
        <v>200</v>
      </c>
      <c r="D41" s="9">
        <f t="shared" si="3"/>
        <v>282.60869565217394</v>
      </c>
      <c r="E41" s="9">
        <f t="shared" si="4"/>
        <v>99.760869565217391</v>
      </c>
      <c r="F41" s="9">
        <f t="shared" si="5"/>
        <v>147.23913043478262</v>
      </c>
      <c r="G41" s="9">
        <f t="shared" si="6"/>
        <v>99.013142937917195</v>
      </c>
      <c r="H41" s="9">
        <f t="shared" si="7"/>
        <v>146.57113965529976</v>
      </c>
      <c r="I41" s="29">
        <f t="shared" si="8"/>
        <v>7.4951895523663135E-3</v>
      </c>
      <c r="J41" s="29">
        <f t="shared" si="9"/>
        <v>4.5367748200519304E-3</v>
      </c>
      <c r="K41" s="9"/>
      <c r="L41" s="9"/>
    </row>
    <row r="42" spans="2:12" x14ac:dyDescent="0.3">
      <c r="B42" s="18" t="s">
        <v>16</v>
      </c>
      <c r="C42" s="18">
        <f>$C17</f>
        <v>200</v>
      </c>
      <c r="D42" s="18">
        <f t="shared" si="3"/>
        <v>509.91831971995333</v>
      </c>
      <c r="E42" s="18">
        <f t="shared" si="4"/>
        <v>199.88798133022172</v>
      </c>
      <c r="F42" s="18">
        <f t="shared" si="5"/>
        <v>237.11201866977831</v>
      </c>
      <c r="G42" s="18">
        <f t="shared" si="6"/>
        <v>200.50339727951621</v>
      </c>
      <c r="H42" s="18">
        <f t="shared" si="7"/>
        <v>241.81305438486407</v>
      </c>
      <c r="I42" s="30">
        <f t="shared" si="8"/>
        <v>-3.078804164207347E-3</v>
      </c>
      <c r="J42" s="30">
        <f t="shared" si="9"/>
        <v>-1.982622281847642E-2</v>
      </c>
      <c r="K42" s="9"/>
      <c r="L42" s="9"/>
    </row>
    <row r="43" spans="2:12" x14ac:dyDescent="0.3">
      <c r="B43" s="9" t="s">
        <v>15</v>
      </c>
      <c r="C43" s="9">
        <f>$C19</f>
        <v>210</v>
      </c>
      <c r="D43" s="9">
        <f t="shared" si="3"/>
        <v>293.98148148148147</v>
      </c>
      <c r="E43" s="9">
        <f t="shared" si="4"/>
        <v>104.95138888888889</v>
      </c>
      <c r="F43" s="9">
        <f t="shared" si="5"/>
        <v>149.04861111111111</v>
      </c>
      <c r="G43" s="9">
        <f t="shared" si="6"/>
        <v>104.0328757603979</v>
      </c>
      <c r="H43" s="9">
        <f t="shared" si="7"/>
        <v>150.87978015797549</v>
      </c>
      <c r="I43" s="29">
        <f t="shared" si="8"/>
        <v>8.7517958381990307E-3</v>
      </c>
      <c r="J43" s="29">
        <f t="shared" si="9"/>
        <v>-1.2285716943040113E-2</v>
      </c>
    </row>
    <row r="44" spans="2:12" x14ac:dyDescent="0.3">
      <c r="B44" s="18" t="s">
        <v>16</v>
      </c>
      <c r="C44" s="18">
        <f>$C19</f>
        <v>210</v>
      </c>
      <c r="D44" s="18">
        <f t="shared" si="3"/>
        <v>528.86836027713628</v>
      </c>
      <c r="E44" s="18">
        <f t="shared" si="4"/>
        <v>209.96073903002312</v>
      </c>
      <c r="F44" s="18">
        <f t="shared" si="5"/>
        <v>248.03926096997691</v>
      </c>
      <c r="G44" s="18">
        <f t="shared" si="6"/>
        <v>208.90625790706449</v>
      </c>
      <c r="H44" s="18">
        <f t="shared" si="7"/>
        <v>249.29653735906359</v>
      </c>
      <c r="I44" s="30">
        <f t="shared" si="8"/>
        <v>5.0222776307138539E-3</v>
      </c>
      <c r="J44" s="30">
        <f t="shared" si="9"/>
        <v>-5.0688604060905775E-3</v>
      </c>
    </row>
    <row r="45" spans="2:12" x14ac:dyDescent="0.3">
      <c r="B45" s="9"/>
      <c r="C45" s="9"/>
      <c r="D45" s="9"/>
      <c r="E45" s="9"/>
      <c r="F45" s="9"/>
      <c r="G45" s="9"/>
      <c r="H45" s="9"/>
    </row>
    <row r="46" spans="2:12" x14ac:dyDescent="0.3">
      <c r="B46" s="28" t="s">
        <v>58</v>
      </c>
      <c r="C46" s="28" t="s">
        <v>59</v>
      </c>
      <c r="D46" s="28" t="s">
        <v>60</v>
      </c>
      <c r="F46" s="10" t="s">
        <v>61</v>
      </c>
      <c r="G46" s="10" t="s">
        <v>62</v>
      </c>
      <c r="H46" s="10" t="s">
        <v>63</v>
      </c>
    </row>
    <row r="47" spans="2:12" x14ac:dyDescent="0.3">
      <c r="B47" cm="1">
        <f t="array" ref="B47:D47">LINEST(E27:E44,C27:D44)</f>
        <v>0.44648463415405837</v>
      </c>
      <c r="C47">
        <v>-5.8041297830119564E-3</v>
      </c>
      <c r="D47">
        <v>-26.006471192496917</v>
      </c>
      <c r="F47" cm="1">
        <f t="array" ref="F47:H47">LINEST(F27:F44,C27:D44)</f>
        <v>0.41899640246277026</v>
      </c>
      <c r="G47">
        <v>-4.5651584578370583E-2</v>
      </c>
      <c r="H47">
        <v>37.28942978801706</v>
      </c>
    </row>
    <row r="48" spans="2:12" x14ac:dyDescent="0.3">
      <c r="B48" s="67">
        <v>0.44648463415405837</v>
      </c>
      <c r="C48" s="65">
        <v>-5.8041297830119564E-3</v>
      </c>
      <c r="D48" s="8">
        <v>-26.006471192496917</v>
      </c>
      <c r="E48" s="8"/>
      <c r="F48" s="67">
        <v>0.41899640246277026</v>
      </c>
      <c r="G48" s="66">
        <v>-4.5651584578370583E-2</v>
      </c>
      <c r="H48" s="8">
        <v>37.28942978801706</v>
      </c>
    </row>
    <row r="50" spans="2:8" x14ac:dyDescent="0.3">
      <c r="B50" s="2" t="s">
        <v>416</v>
      </c>
      <c r="C50" s="57">
        <v>0.5</v>
      </c>
    </row>
    <row r="51" spans="2:8" x14ac:dyDescent="0.3">
      <c r="B51" s="2" t="s">
        <v>415</v>
      </c>
      <c r="C51" s="57">
        <v>1</v>
      </c>
    </row>
    <row r="53" spans="2:8" x14ac:dyDescent="0.3">
      <c r="B53" t="s">
        <v>417</v>
      </c>
    </row>
    <row r="55" spans="2:8" x14ac:dyDescent="0.3">
      <c r="B55" s="2" t="s">
        <v>378</v>
      </c>
      <c r="C55" s="2" t="s">
        <v>406</v>
      </c>
      <c r="D55" s="2" t="s">
        <v>379</v>
      </c>
      <c r="F55" s="2" t="s">
        <v>380</v>
      </c>
      <c r="G55" s="2" t="s">
        <v>407</v>
      </c>
      <c r="H55" s="2" t="s">
        <v>381</v>
      </c>
    </row>
    <row r="56" spans="2:8" x14ac:dyDescent="0.3">
      <c r="B56">
        <f>C50</f>
        <v>0.5</v>
      </c>
      <c r="C56" s="67">
        <f>B48*C50+C48</f>
        <v>0.21743818729401723</v>
      </c>
      <c r="D56" s="67">
        <f>F48*C50+G48</f>
        <v>0.16384661665301453</v>
      </c>
      <c r="F56">
        <f>C51</f>
        <v>1</v>
      </c>
      <c r="G56" s="67">
        <f>B48*C51+C48</f>
        <v>0.44068050437104639</v>
      </c>
      <c r="H56" s="67">
        <f>F48*C51+G48</f>
        <v>0.37334481788439966</v>
      </c>
    </row>
  </sheetData>
  <hyperlinks>
    <hyperlink ref="C22" r:id="rId1" xr:uid="{D6154E7F-CF34-40D0-B308-14D715127C6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9133-2535-4F76-AEC4-BAB82B03A2AE}">
  <sheetPr codeName="Sheet14">
    <tabColor rgb="FF00B050"/>
  </sheetPr>
  <dimension ref="A1:Q60"/>
  <sheetViews>
    <sheetView workbookViewId="0">
      <selection activeCell="I24" sqref="I24"/>
    </sheetView>
  </sheetViews>
  <sheetFormatPr defaultRowHeight="14.4" x14ac:dyDescent="0.3"/>
  <cols>
    <col min="2" max="2" width="32.44140625" customWidth="1"/>
    <col min="3" max="4" width="15.33203125" customWidth="1"/>
    <col min="5" max="6" width="18.44140625" customWidth="1"/>
    <col min="7" max="7" width="19.77734375" customWidth="1"/>
    <col min="8" max="10" width="23" customWidth="1"/>
    <col min="11" max="11" width="14.5546875" customWidth="1"/>
    <col min="12" max="12" width="14.6640625" customWidth="1"/>
  </cols>
  <sheetData>
    <row r="1" spans="2:17" x14ac:dyDescent="0.3">
      <c r="B1" s="10" t="s">
        <v>33</v>
      </c>
      <c r="C1" s="3" t="s">
        <v>49</v>
      </c>
      <c r="D1" s="3" t="s">
        <v>50</v>
      </c>
      <c r="E1" s="2" t="s">
        <v>43</v>
      </c>
      <c r="F1" s="2" t="s">
        <v>44</v>
      </c>
      <c r="G1" s="5" t="s">
        <v>11</v>
      </c>
      <c r="H1" s="2" t="s">
        <v>51</v>
      </c>
      <c r="I1" s="2" t="s">
        <v>52</v>
      </c>
      <c r="J1" s="2" t="s">
        <v>53</v>
      </c>
    </row>
    <row r="2" spans="2:17" x14ac:dyDescent="0.3">
      <c r="B2" s="21" t="s">
        <v>34</v>
      </c>
      <c r="C2" s="7">
        <f>0.5*$C3</f>
        <v>130</v>
      </c>
      <c r="D2" s="7">
        <v>238</v>
      </c>
      <c r="E2" s="12">
        <v>0.32400000000000001</v>
      </c>
      <c r="F2" s="12">
        <v>0.59399999999999997</v>
      </c>
      <c r="G2" s="6" t="s">
        <v>36</v>
      </c>
      <c r="H2" s="9">
        <f t="shared" ref="H2:H21" si="0">$C2/$E2</f>
        <v>401.23456790123453</v>
      </c>
      <c r="I2" s="9">
        <f t="shared" ref="I2:I21" si="1">$D2/$F2</f>
        <v>400.67340067340069</v>
      </c>
      <c r="J2" s="9">
        <f t="shared" ref="J2:J21" si="2">($C2+$D2)/($E2+$F2)</f>
        <v>400.87145969498914</v>
      </c>
      <c r="K2" s="9" t="s">
        <v>15</v>
      </c>
      <c r="L2" s="2" t="s">
        <v>378</v>
      </c>
      <c r="M2" s="2" t="s">
        <v>379</v>
      </c>
      <c r="N2" s="2" t="s">
        <v>406</v>
      </c>
      <c r="O2" s="2" t="s">
        <v>380</v>
      </c>
      <c r="P2" s="2" t="s">
        <v>381</v>
      </c>
      <c r="Q2" s="2" t="s">
        <v>407</v>
      </c>
    </row>
    <row r="3" spans="2:17" x14ac:dyDescent="0.3">
      <c r="B3" s="22" t="s">
        <v>35</v>
      </c>
      <c r="C3" s="26">
        <v>260</v>
      </c>
      <c r="D3" s="26">
        <v>370</v>
      </c>
      <c r="E3" s="25">
        <v>0.38</v>
      </c>
      <c r="F3" s="25">
        <v>0.54</v>
      </c>
      <c r="G3" s="23" t="s">
        <v>36</v>
      </c>
      <c r="H3" s="18">
        <f t="shared" si="0"/>
        <v>684.21052631578948</v>
      </c>
      <c r="I3" s="18">
        <f t="shared" si="1"/>
        <v>685.18518518518511</v>
      </c>
      <c r="J3" s="18">
        <f t="shared" si="2"/>
        <v>684.78260869565213</v>
      </c>
      <c r="K3" s="18" t="s">
        <v>16</v>
      </c>
      <c r="L3" s="26">
        <f>N3/E2</f>
        <v>462.96296296296293</v>
      </c>
      <c r="M3" s="26">
        <f>L3*F2</f>
        <v>274.99999999999994</v>
      </c>
      <c r="N3" s="26">
        <f>Q3*C2/C3</f>
        <v>150</v>
      </c>
      <c r="O3" s="26">
        <f>Q3/E3</f>
        <v>789.47368421052636</v>
      </c>
      <c r="P3" s="26">
        <f>O3*F3</f>
        <v>426.31578947368428</v>
      </c>
      <c r="Q3" s="26">
        <v>300</v>
      </c>
    </row>
    <row r="4" spans="2:17" s="24" customFormat="1" x14ac:dyDescent="0.3">
      <c r="B4" s="21" t="s">
        <v>34</v>
      </c>
      <c r="C4" s="7">
        <f>0.5*$C5</f>
        <v>177</v>
      </c>
      <c r="D4" s="7">
        <v>248</v>
      </c>
      <c r="E4" s="12">
        <v>0.375</v>
      </c>
      <c r="F4" s="12">
        <v>0.52500000000000002</v>
      </c>
      <c r="G4" s="6" t="s">
        <v>36</v>
      </c>
      <c r="H4" s="9">
        <f t="shared" si="0"/>
        <v>472</v>
      </c>
      <c r="I4" s="9">
        <f t="shared" si="1"/>
        <v>472.38095238095235</v>
      </c>
      <c r="J4" s="9">
        <f t="shared" si="2"/>
        <v>472.22222222222223</v>
      </c>
      <c r="K4" s="9" t="s">
        <v>15</v>
      </c>
    </row>
    <row r="5" spans="2:17" s="24" customFormat="1" x14ac:dyDescent="0.3">
      <c r="B5" s="22" t="s">
        <v>35</v>
      </c>
      <c r="C5" s="26">
        <v>354</v>
      </c>
      <c r="D5" s="26">
        <v>440</v>
      </c>
      <c r="E5" s="25">
        <v>0.4</v>
      </c>
      <c r="F5" s="25">
        <v>0.498</v>
      </c>
      <c r="G5" s="23" t="s">
        <v>36</v>
      </c>
      <c r="H5" s="18">
        <f t="shared" si="0"/>
        <v>885</v>
      </c>
      <c r="I5" s="18">
        <f t="shared" si="1"/>
        <v>883.53413654618475</v>
      </c>
      <c r="J5" s="18">
        <f t="shared" si="2"/>
        <v>884.18708240534522</v>
      </c>
      <c r="K5" s="18" t="s">
        <v>16</v>
      </c>
    </row>
    <row r="6" spans="2:17" x14ac:dyDescent="0.3">
      <c r="B6" s="21" t="s">
        <v>34</v>
      </c>
      <c r="C6" s="7">
        <f>0.5*$C7</f>
        <v>215</v>
      </c>
      <c r="D6" s="7">
        <v>324</v>
      </c>
      <c r="E6" s="12">
        <v>0.35899999999999999</v>
      </c>
      <c r="F6" s="12">
        <v>0.54100000000000004</v>
      </c>
      <c r="G6" s="6" t="s">
        <v>36</v>
      </c>
      <c r="H6" s="9">
        <f t="shared" si="0"/>
        <v>598.88579387186633</v>
      </c>
      <c r="I6" s="9">
        <f t="shared" si="1"/>
        <v>598.89094269870611</v>
      </c>
      <c r="J6" s="9">
        <f t="shared" si="2"/>
        <v>598.88888888888891</v>
      </c>
      <c r="K6" s="9" t="s">
        <v>15</v>
      </c>
    </row>
    <row r="7" spans="2:17" x14ac:dyDescent="0.3">
      <c r="B7" s="22" t="s">
        <v>35</v>
      </c>
      <c r="C7" s="26">
        <v>430</v>
      </c>
      <c r="D7" s="26">
        <v>545</v>
      </c>
      <c r="E7" s="25">
        <v>0.39600000000000002</v>
      </c>
      <c r="F7" s="25">
        <v>0.502</v>
      </c>
      <c r="G7" s="23" t="s">
        <v>36</v>
      </c>
      <c r="H7" s="18">
        <f t="shared" si="0"/>
        <v>1085.8585858585859</v>
      </c>
      <c r="I7" s="18">
        <f t="shared" si="1"/>
        <v>1085.6573705179283</v>
      </c>
      <c r="J7" s="18">
        <f t="shared" si="2"/>
        <v>1085.7461024498887</v>
      </c>
      <c r="K7" s="18" t="s">
        <v>16</v>
      </c>
    </row>
    <row r="8" spans="2:17" x14ac:dyDescent="0.3">
      <c r="B8" s="21" t="s">
        <v>34</v>
      </c>
      <c r="C8" s="7">
        <f>0.5*$C9</f>
        <v>264</v>
      </c>
      <c r="D8" s="7">
        <v>365</v>
      </c>
      <c r="E8" s="12">
        <v>0.374</v>
      </c>
      <c r="F8" s="12">
        <v>0.51700000000000002</v>
      </c>
      <c r="G8" s="6" t="s">
        <v>36</v>
      </c>
      <c r="H8" s="9">
        <f t="shared" si="0"/>
        <v>705.88235294117646</v>
      </c>
      <c r="I8" s="9">
        <f t="shared" si="1"/>
        <v>705.99613152804636</v>
      </c>
      <c r="J8" s="9">
        <f t="shared" si="2"/>
        <v>705.94837261503926</v>
      </c>
      <c r="K8" s="9" t="s">
        <v>15</v>
      </c>
      <c r="L8" s="2" t="s">
        <v>378</v>
      </c>
      <c r="M8" s="2" t="s">
        <v>379</v>
      </c>
      <c r="N8" s="2" t="s">
        <v>406</v>
      </c>
      <c r="O8" s="2" t="s">
        <v>380</v>
      </c>
      <c r="P8" s="2" t="s">
        <v>381</v>
      </c>
      <c r="Q8" s="2" t="s">
        <v>407</v>
      </c>
    </row>
    <row r="9" spans="2:17" x14ac:dyDescent="0.3">
      <c r="B9" s="22" t="s">
        <v>35</v>
      </c>
      <c r="C9" s="26">
        <v>528</v>
      </c>
      <c r="D9" s="26">
        <v>641</v>
      </c>
      <c r="E9" s="25">
        <v>0.40500000000000003</v>
      </c>
      <c r="F9" s="25">
        <v>0.49199999999999999</v>
      </c>
      <c r="G9" s="23" t="s">
        <v>36</v>
      </c>
      <c r="H9" s="18">
        <f t="shared" si="0"/>
        <v>1303.7037037037037</v>
      </c>
      <c r="I9" s="18">
        <f t="shared" si="1"/>
        <v>1302.8455284552845</v>
      </c>
      <c r="J9" s="18">
        <f t="shared" si="2"/>
        <v>1303.2329988851727</v>
      </c>
      <c r="K9" s="18" t="s">
        <v>16</v>
      </c>
      <c r="L9" s="26">
        <f>N9/E8</f>
        <v>668.44919786096261</v>
      </c>
      <c r="M9" s="26">
        <f>L9*F8</f>
        <v>345.58823529411768</v>
      </c>
      <c r="N9" s="26">
        <f>Q9*C8/C9</f>
        <v>250</v>
      </c>
      <c r="O9" s="26">
        <f>Q9/E9</f>
        <v>1234.5679012345679</v>
      </c>
      <c r="P9" s="26">
        <f>O9*F9</f>
        <v>607.40740740740739</v>
      </c>
      <c r="Q9" s="26">
        <v>500</v>
      </c>
    </row>
    <row r="10" spans="2:17" x14ac:dyDescent="0.3">
      <c r="B10" s="21" t="s">
        <v>34</v>
      </c>
      <c r="C10" s="7">
        <f>0.5*$C11</f>
        <v>300</v>
      </c>
      <c r="D10" s="7">
        <v>372</v>
      </c>
      <c r="E10" s="12">
        <v>0.38900000000000001</v>
      </c>
      <c r="F10" s="12">
        <v>0.48199999999999998</v>
      </c>
      <c r="G10" s="6" t="s">
        <v>36</v>
      </c>
      <c r="H10" s="9">
        <f t="shared" si="0"/>
        <v>771.20822622107971</v>
      </c>
      <c r="I10" s="9">
        <f t="shared" si="1"/>
        <v>771.78423236514527</v>
      </c>
      <c r="J10" s="9">
        <f t="shared" si="2"/>
        <v>771.52698048220441</v>
      </c>
      <c r="K10" s="9" t="s">
        <v>15</v>
      </c>
    </row>
    <row r="11" spans="2:17" x14ac:dyDescent="0.3">
      <c r="B11" s="22" t="s">
        <v>35</v>
      </c>
      <c r="C11" s="26">
        <v>600</v>
      </c>
      <c r="D11" s="26">
        <v>644</v>
      </c>
      <c r="E11" s="25">
        <v>0.42299999999999999</v>
      </c>
      <c r="F11" s="25">
        <v>0.45400000000000001</v>
      </c>
      <c r="G11" s="23" t="s">
        <v>36</v>
      </c>
      <c r="H11" s="18">
        <f t="shared" si="0"/>
        <v>1418.4397163120568</v>
      </c>
      <c r="I11" s="18">
        <f t="shared" si="1"/>
        <v>1418.5022026431718</v>
      </c>
      <c r="J11" s="18">
        <f t="shared" si="2"/>
        <v>1418.472063854048</v>
      </c>
      <c r="K11" s="18" t="s">
        <v>16</v>
      </c>
    </row>
    <row r="12" spans="2:17" x14ac:dyDescent="0.3">
      <c r="B12" s="21" t="s">
        <v>34</v>
      </c>
      <c r="C12" s="7">
        <f>0.5*$C13</f>
        <v>400</v>
      </c>
      <c r="D12" s="7">
        <v>497</v>
      </c>
      <c r="E12" s="12">
        <v>0.39</v>
      </c>
      <c r="F12" s="12">
        <v>0.48499999999999999</v>
      </c>
      <c r="G12" s="6" t="s">
        <v>36</v>
      </c>
      <c r="H12" s="9">
        <f t="shared" si="0"/>
        <v>1025.6410256410256</v>
      </c>
      <c r="I12" s="9">
        <f t="shared" si="1"/>
        <v>1024.7422680412371</v>
      </c>
      <c r="J12" s="9">
        <f t="shared" si="2"/>
        <v>1025.1428571428571</v>
      </c>
      <c r="K12" s="9" t="s">
        <v>15</v>
      </c>
    </row>
    <row r="13" spans="2:17" x14ac:dyDescent="0.3">
      <c r="B13" s="22" t="s">
        <v>35</v>
      </c>
      <c r="C13" s="26">
        <v>800</v>
      </c>
      <c r="D13" s="26">
        <v>856</v>
      </c>
      <c r="E13" s="25">
        <v>0.42499999999999999</v>
      </c>
      <c r="F13" s="25">
        <v>0.45500000000000002</v>
      </c>
      <c r="G13" s="23" t="s">
        <v>36</v>
      </c>
      <c r="H13" s="18">
        <f t="shared" si="0"/>
        <v>1882.3529411764707</v>
      </c>
      <c r="I13" s="18">
        <f t="shared" si="1"/>
        <v>1881.3186813186812</v>
      </c>
      <c r="J13" s="18">
        <f t="shared" si="2"/>
        <v>1881.8181818181818</v>
      </c>
      <c r="K13" s="18" t="s">
        <v>16</v>
      </c>
    </row>
    <row r="14" spans="2:17" x14ac:dyDescent="0.3">
      <c r="B14" s="21" t="s">
        <v>34</v>
      </c>
      <c r="C14" s="7">
        <f>0.5*$C15</f>
        <v>499.5</v>
      </c>
      <c r="D14" s="7">
        <v>655</v>
      </c>
      <c r="E14" s="12">
        <v>0.377</v>
      </c>
      <c r="F14" s="12">
        <v>0.49399999999999999</v>
      </c>
      <c r="G14" s="6" t="s">
        <v>36</v>
      </c>
      <c r="H14" s="9">
        <f t="shared" si="0"/>
        <v>1324.9336870026525</v>
      </c>
      <c r="I14" s="9">
        <f t="shared" si="1"/>
        <v>1325.910931174089</v>
      </c>
      <c r="J14" s="9">
        <f t="shared" si="2"/>
        <v>1325.4879448909301</v>
      </c>
      <c r="K14" s="9" t="s">
        <v>15</v>
      </c>
      <c r="L14" s="2" t="s">
        <v>378</v>
      </c>
      <c r="M14" s="2" t="s">
        <v>379</v>
      </c>
      <c r="N14" s="2" t="s">
        <v>406</v>
      </c>
      <c r="O14" s="2" t="s">
        <v>380</v>
      </c>
      <c r="P14" s="2" t="s">
        <v>381</v>
      </c>
      <c r="Q14" s="2" t="s">
        <v>407</v>
      </c>
    </row>
    <row r="15" spans="2:17" x14ac:dyDescent="0.3">
      <c r="B15" s="22" t="s">
        <v>35</v>
      </c>
      <c r="C15" s="26">
        <v>999</v>
      </c>
      <c r="D15" s="26">
        <v>1102</v>
      </c>
      <c r="E15" s="25">
        <v>0.42</v>
      </c>
      <c r="F15" s="25">
        <v>0.46300000000000002</v>
      </c>
      <c r="G15" s="23" t="s">
        <v>36</v>
      </c>
      <c r="H15" s="18">
        <f t="shared" si="0"/>
        <v>2378.5714285714284</v>
      </c>
      <c r="I15" s="18">
        <f t="shared" si="1"/>
        <v>2380.1295896328293</v>
      </c>
      <c r="J15" s="18">
        <f t="shared" si="2"/>
        <v>2379.3884484711211</v>
      </c>
      <c r="K15" s="18" t="s">
        <v>16</v>
      </c>
      <c r="L15" s="26">
        <f>N15/E14</f>
        <v>1326.2599469496022</v>
      </c>
      <c r="M15" s="26">
        <f>L15*F14</f>
        <v>655.17241379310349</v>
      </c>
      <c r="N15" s="26">
        <f>Q15*C14/C15</f>
        <v>500</v>
      </c>
      <c r="O15" s="26">
        <f>Q15/E15</f>
        <v>2380.9523809523812</v>
      </c>
      <c r="P15" s="26">
        <f>O15*F15</f>
        <v>1102.3809523809525</v>
      </c>
      <c r="Q15" s="26">
        <v>1000</v>
      </c>
    </row>
    <row r="16" spans="2:17" x14ac:dyDescent="0.3">
      <c r="B16" s="21" t="s">
        <v>34</v>
      </c>
      <c r="C16" s="7">
        <f>0.5*$C17</f>
        <v>600</v>
      </c>
      <c r="D16" s="7">
        <v>731</v>
      </c>
      <c r="E16" s="12">
        <v>0.39200000000000002</v>
      </c>
      <c r="F16" s="12">
        <v>0.47799999999999998</v>
      </c>
      <c r="G16" s="6" t="s">
        <v>36</v>
      </c>
      <c r="H16" s="9">
        <f t="shared" si="0"/>
        <v>1530.612244897959</v>
      </c>
      <c r="I16" s="9">
        <f t="shared" si="1"/>
        <v>1529.2887029288704</v>
      </c>
      <c r="J16" s="9">
        <f t="shared" si="2"/>
        <v>1529.8850574712644</v>
      </c>
      <c r="K16" s="9" t="s">
        <v>15</v>
      </c>
    </row>
    <row r="17" spans="1:17" x14ac:dyDescent="0.3">
      <c r="B17" s="22" t="s">
        <v>35</v>
      </c>
      <c r="C17" s="26">
        <v>1200</v>
      </c>
      <c r="D17" s="26">
        <v>1245</v>
      </c>
      <c r="E17" s="25">
        <v>0.42599999999999999</v>
      </c>
      <c r="F17" s="25">
        <v>0.442</v>
      </c>
      <c r="G17" s="23" t="s">
        <v>36</v>
      </c>
      <c r="H17" s="18">
        <f t="shared" si="0"/>
        <v>2816.9014084507044</v>
      </c>
      <c r="I17" s="18">
        <f t="shared" si="1"/>
        <v>2816.7420814479638</v>
      </c>
      <c r="J17" s="18">
        <f t="shared" si="2"/>
        <v>2816.8202764976959</v>
      </c>
      <c r="K17" s="18" t="s">
        <v>16</v>
      </c>
    </row>
    <row r="18" spans="1:17" x14ac:dyDescent="0.3">
      <c r="B18" s="21" t="s">
        <v>34</v>
      </c>
      <c r="C18" s="7">
        <f>0.5*$C19</f>
        <v>780</v>
      </c>
      <c r="D18" s="7">
        <v>963</v>
      </c>
      <c r="E18" s="12">
        <v>0.39</v>
      </c>
      <c r="F18" s="12">
        <v>0.48199999999999998</v>
      </c>
      <c r="G18" s="6" t="s">
        <v>36</v>
      </c>
      <c r="H18" s="9">
        <f t="shared" si="0"/>
        <v>2000</v>
      </c>
      <c r="I18" s="9">
        <f t="shared" si="1"/>
        <v>1997.9253112033196</v>
      </c>
      <c r="J18" s="9">
        <f t="shared" si="2"/>
        <v>1998.8532110091744</v>
      </c>
      <c r="K18" s="9" t="s">
        <v>15</v>
      </c>
    </row>
    <row r="19" spans="1:17" x14ac:dyDescent="0.3">
      <c r="B19" s="22" t="s">
        <v>35</v>
      </c>
      <c r="C19" s="26">
        <v>1560</v>
      </c>
      <c r="D19" s="26">
        <v>1650</v>
      </c>
      <c r="E19" s="25">
        <v>0.42199999999999999</v>
      </c>
      <c r="F19" s="25">
        <v>0.44600000000000001</v>
      </c>
      <c r="G19" s="23" t="s">
        <v>36</v>
      </c>
      <c r="H19" s="18">
        <f t="shared" si="0"/>
        <v>3696.6824644549765</v>
      </c>
      <c r="I19" s="18">
        <f t="shared" si="1"/>
        <v>3699.5515695067265</v>
      </c>
      <c r="J19" s="18">
        <f t="shared" si="2"/>
        <v>3698.1566820276498</v>
      </c>
      <c r="K19" s="18" t="s">
        <v>16</v>
      </c>
    </row>
    <row r="20" spans="1:17" x14ac:dyDescent="0.3">
      <c r="B20" s="21" t="s">
        <v>34</v>
      </c>
      <c r="C20" s="7">
        <f>0.5*$C21</f>
        <v>1000</v>
      </c>
      <c r="D20" s="7">
        <v>1184</v>
      </c>
      <c r="E20" s="12">
        <v>0.39500000000000002</v>
      </c>
      <c r="F20" s="12">
        <v>0.46800000000000003</v>
      </c>
      <c r="G20" s="6" t="s">
        <v>36</v>
      </c>
      <c r="H20" s="9">
        <f t="shared" si="0"/>
        <v>2531.6455696202529</v>
      </c>
      <c r="I20" s="9">
        <f t="shared" si="1"/>
        <v>2529.9145299145298</v>
      </c>
      <c r="J20" s="9">
        <f t="shared" si="2"/>
        <v>2530.7068366164544</v>
      </c>
      <c r="K20" s="9" t="s">
        <v>15</v>
      </c>
      <c r="L20" s="2" t="s">
        <v>378</v>
      </c>
      <c r="M20" s="2" t="s">
        <v>379</v>
      </c>
      <c r="N20" s="2" t="s">
        <v>406</v>
      </c>
      <c r="O20" s="2" t="s">
        <v>380</v>
      </c>
      <c r="P20" s="2" t="s">
        <v>381</v>
      </c>
      <c r="Q20" s="2" t="s">
        <v>407</v>
      </c>
    </row>
    <row r="21" spans="1:17" x14ac:dyDescent="0.3">
      <c r="B21" s="22" t="s">
        <v>35</v>
      </c>
      <c r="C21" s="26">
        <v>2000</v>
      </c>
      <c r="D21" s="26">
        <v>2001</v>
      </c>
      <c r="E21" s="25">
        <v>0.434</v>
      </c>
      <c r="F21" s="25">
        <v>0.434</v>
      </c>
      <c r="G21" s="23" t="s">
        <v>36</v>
      </c>
      <c r="H21" s="18">
        <f t="shared" si="0"/>
        <v>4608.294930875576</v>
      </c>
      <c r="I21" s="18">
        <f t="shared" si="1"/>
        <v>4610.5990783410134</v>
      </c>
      <c r="J21" s="18">
        <f t="shared" si="2"/>
        <v>4609.4470046082952</v>
      </c>
      <c r="K21" s="18" t="s">
        <v>16</v>
      </c>
      <c r="L21" s="26">
        <f>N21/E20</f>
        <v>2531.6455696202529</v>
      </c>
      <c r="M21" s="26">
        <f>L21*F20</f>
        <v>1184.8101265822784</v>
      </c>
      <c r="N21" s="26">
        <f>Q21*C20/C21</f>
        <v>1000</v>
      </c>
      <c r="O21" s="26">
        <f>Q21/E21</f>
        <v>4608.294930875576</v>
      </c>
      <c r="P21" s="26">
        <f>O21*F21</f>
        <v>2000</v>
      </c>
      <c r="Q21" s="26">
        <v>2000</v>
      </c>
    </row>
    <row r="22" spans="1:17" x14ac:dyDescent="0.3">
      <c r="C22" s="4"/>
      <c r="D22" s="4"/>
    </row>
    <row r="23" spans="1:17" x14ac:dyDescent="0.3">
      <c r="B23" t="s">
        <v>1</v>
      </c>
      <c r="C23" t="s">
        <v>4</v>
      </c>
    </row>
    <row r="24" spans="1:17" x14ac:dyDescent="0.3">
      <c r="A24" t="s">
        <v>36</v>
      </c>
      <c r="B24" t="s">
        <v>48</v>
      </c>
      <c r="C24" s="4" t="s">
        <v>47</v>
      </c>
      <c r="D24" s="4"/>
      <c r="E24" s="4"/>
      <c r="F24" s="4"/>
    </row>
    <row r="25" spans="1:17" x14ac:dyDescent="0.3">
      <c r="C25" s="4"/>
      <c r="D25" s="4"/>
    </row>
    <row r="26" spans="1:17" x14ac:dyDescent="0.3">
      <c r="C26" s="4"/>
      <c r="D26" s="4"/>
      <c r="E26" s="9"/>
    </row>
    <row r="27" spans="1:17" x14ac:dyDescent="0.3">
      <c r="E27" s="28" t="s">
        <v>55</v>
      </c>
      <c r="F27" s="10" t="s">
        <v>18</v>
      </c>
      <c r="G27" s="28" t="s">
        <v>55</v>
      </c>
      <c r="H27" s="10" t="s">
        <v>18</v>
      </c>
      <c r="I27" s="28" t="s">
        <v>55</v>
      </c>
      <c r="J27" s="10" t="s">
        <v>18</v>
      </c>
      <c r="K27" s="9"/>
      <c r="L27" s="9"/>
    </row>
    <row r="28" spans="1:17" x14ac:dyDescent="0.3">
      <c r="B28" s="2" t="s">
        <v>13</v>
      </c>
      <c r="C28" s="2" t="s">
        <v>54</v>
      </c>
      <c r="D28" s="2" t="s">
        <v>25</v>
      </c>
      <c r="E28" s="2" t="s">
        <v>56</v>
      </c>
      <c r="F28" s="2" t="s">
        <v>17</v>
      </c>
      <c r="G28" s="2" t="s">
        <v>57</v>
      </c>
      <c r="H28" s="2" t="s">
        <v>22</v>
      </c>
      <c r="I28" s="2" t="s">
        <v>23</v>
      </c>
      <c r="J28" s="2" t="s">
        <v>23</v>
      </c>
      <c r="K28" s="9"/>
      <c r="L28" s="9"/>
    </row>
    <row r="29" spans="1:17" x14ac:dyDescent="0.3">
      <c r="B29" s="9" t="s">
        <v>15</v>
      </c>
      <c r="C29" s="9">
        <f t="shared" ref="C29" si="3">$C3</f>
        <v>260</v>
      </c>
      <c r="D29" s="9">
        <f t="shared" ref="D29:D48" si="4">$J2</f>
        <v>400.87145969498914</v>
      </c>
      <c r="E29" s="9">
        <f t="shared" ref="E29:E48" si="5">$D29*$E2</f>
        <v>129.88235294117649</v>
      </c>
      <c r="F29" s="9">
        <f t="shared" ref="F29:F48" si="6">$D29*$F2</f>
        <v>238.11764705882354</v>
      </c>
      <c r="G29" s="9">
        <f t="shared" ref="G29:G48" si="7">$B$51*$D29+$C$51*$C29+$D$51</f>
        <v>135.90093018847833</v>
      </c>
      <c r="H29" s="9">
        <f t="shared" ref="H29:H48" si="8">$F$51*$D29+$G$51*$C29+$H$51</f>
        <v>236.58744781577869</v>
      </c>
      <c r="I29" s="29">
        <f t="shared" ref="I29:I48" si="9">($E29-$G29)/$E29</f>
        <v>-4.6338683516363756E-2</v>
      </c>
      <c r="J29" s="29">
        <f t="shared" ref="J29:J48" si="10">($F29-$H29)/$F29</f>
        <v>6.4262319989531651E-3</v>
      </c>
    </row>
    <row r="30" spans="1:17" x14ac:dyDescent="0.3">
      <c r="B30" s="18" t="s">
        <v>16</v>
      </c>
      <c r="C30" s="18">
        <f t="shared" ref="C30" si="11">$C3</f>
        <v>260</v>
      </c>
      <c r="D30" s="18">
        <f t="shared" si="4"/>
        <v>684.78260869565213</v>
      </c>
      <c r="E30" s="18">
        <f t="shared" si="5"/>
        <v>260.21739130434781</v>
      </c>
      <c r="F30" s="18">
        <f t="shared" si="6"/>
        <v>369.78260869565219</v>
      </c>
      <c r="G30" s="18">
        <f t="shared" si="7"/>
        <v>268.87235279809886</v>
      </c>
      <c r="H30" s="18">
        <f t="shared" si="8"/>
        <v>352.28100267777432</v>
      </c>
      <c r="I30" s="30">
        <f t="shared" si="9"/>
        <v>-3.3260503651841945E-2</v>
      </c>
      <c r="J30" s="30">
        <f t="shared" si="10"/>
        <v>4.7329446021304032E-2</v>
      </c>
    </row>
    <row r="31" spans="1:17" x14ac:dyDescent="0.3">
      <c r="B31" s="9" t="s">
        <v>15</v>
      </c>
      <c r="C31" s="9">
        <f t="shared" ref="C31" si="12">$C5</f>
        <v>354</v>
      </c>
      <c r="D31" s="9">
        <f t="shared" si="4"/>
        <v>472.22222222222223</v>
      </c>
      <c r="E31" s="9">
        <f t="shared" si="5"/>
        <v>177.08333333333334</v>
      </c>
      <c r="F31" s="9">
        <f t="shared" si="6"/>
        <v>247.91666666666669</v>
      </c>
      <c r="G31" s="9">
        <f t="shared" si="7"/>
        <v>162.33525840315968</v>
      </c>
      <c r="H31" s="9">
        <f t="shared" si="8"/>
        <v>269.62556117702491</v>
      </c>
      <c r="I31" s="29">
        <f t="shared" si="9"/>
        <v>8.3283246664510063E-2</v>
      </c>
      <c r="J31" s="29">
        <f t="shared" si="10"/>
        <v>-8.7565288781276854E-2</v>
      </c>
    </row>
    <row r="32" spans="1:17" x14ac:dyDescent="0.3">
      <c r="B32" s="18" t="s">
        <v>16</v>
      </c>
      <c r="C32" s="18">
        <f t="shared" ref="C32" si="13">$C5</f>
        <v>354</v>
      </c>
      <c r="D32" s="18">
        <f t="shared" si="4"/>
        <v>884.18708240534522</v>
      </c>
      <c r="E32" s="18">
        <f t="shared" si="5"/>
        <v>353.67483296213811</v>
      </c>
      <c r="F32" s="18">
        <f t="shared" si="6"/>
        <v>440.32516703786195</v>
      </c>
      <c r="G32" s="18">
        <f t="shared" si="7"/>
        <v>355.28137452625481</v>
      </c>
      <c r="H32" s="18">
        <f t="shared" si="8"/>
        <v>437.5008958392055</v>
      </c>
      <c r="I32" s="30">
        <f t="shared" si="9"/>
        <v>-4.5424254552166032E-3</v>
      </c>
      <c r="J32" s="30">
        <f t="shared" si="10"/>
        <v>6.4140580872444168E-3</v>
      </c>
    </row>
    <row r="33" spans="2:10" x14ac:dyDescent="0.3">
      <c r="B33" s="9" t="s">
        <v>15</v>
      </c>
      <c r="C33" s="9">
        <f>$C7</f>
        <v>430</v>
      </c>
      <c r="D33" s="9">
        <f t="shared" si="4"/>
        <v>598.88888888888891</v>
      </c>
      <c r="E33" s="9">
        <f t="shared" si="5"/>
        <v>215.0011111111111</v>
      </c>
      <c r="F33" s="9">
        <f t="shared" si="6"/>
        <v>323.99888888888893</v>
      </c>
      <c r="G33" s="9">
        <f t="shared" si="7"/>
        <v>216.01431998254719</v>
      </c>
      <c r="H33" s="9">
        <f t="shared" si="8"/>
        <v>324.44603695410228</v>
      </c>
      <c r="I33" s="29">
        <f t="shared" si="9"/>
        <v>-4.7125750476353237E-3</v>
      </c>
      <c r="J33" s="29">
        <f t="shared" si="10"/>
        <v>-1.3800913538524462E-3</v>
      </c>
    </row>
    <row r="34" spans="2:10" x14ac:dyDescent="0.3">
      <c r="B34" s="18" t="s">
        <v>16</v>
      </c>
      <c r="C34" s="18">
        <f>$C7</f>
        <v>430</v>
      </c>
      <c r="D34" s="18">
        <f t="shared" si="4"/>
        <v>1085.7461024498887</v>
      </c>
      <c r="E34" s="18">
        <f t="shared" si="5"/>
        <v>429.95545657015595</v>
      </c>
      <c r="F34" s="18">
        <f t="shared" si="6"/>
        <v>545.04454342984411</v>
      </c>
      <c r="G34" s="18">
        <f t="shared" si="7"/>
        <v>444.03670136078182</v>
      </c>
      <c r="H34" s="18">
        <f t="shared" si="8"/>
        <v>522.83994274237523</v>
      </c>
      <c r="I34" s="30">
        <f t="shared" si="9"/>
        <v>-3.2750473509406977E-2</v>
      </c>
      <c r="J34" s="30">
        <f t="shared" si="10"/>
        <v>4.0739056936044654E-2</v>
      </c>
    </row>
    <row r="35" spans="2:10" x14ac:dyDescent="0.3">
      <c r="B35" s="9" t="s">
        <v>15</v>
      </c>
      <c r="C35" s="9">
        <f t="shared" ref="C35" si="14">$C9</f>
        <v>528</v>
      </c>
      <c r="D35" s="9">
        <f t="shared" si="4"/>
        <v>705.94837261503926</v>
      </c>
      <c r="E35" s="9">
        <f t="shared" si="5"/>
        <v>264.02469135802471</v>
      </c>
      <c r="F35" s="9">
        <f t="shared" si="6"/>
        <v>364.97530864197529</v>
      </c>
      <c r="G35" s="9">
        <f t="shared" si="7"/>
        <v>258.87587555315577</v>
      </c>
      <c r="H35" s="9">
        <f t="shared" si="8"/>
        <v>372.20405135396459</v>
      </c>
      <c r="I35" s="29">
        <f t="shared" si="9"/>
        <v>1.9501266258037248E-2</v>
      </c>
      <c r="J35" s="29">
        <f t="shared" si="10"/>
        <v>-1.9806114388632182E-2</v>
      </c>
    </row>
    <row r="36" spans="2:10" x14ac:dyDescent="0.3">
      <c r="B36" s="18" t="s">
        <v>16</v>
      </c>
      <c r="C36" s="18">
        <f t="shared" ref="C36" si="15">$C9</f>
        <v>528</v>
      </c>
      <c r="D36" s="18">
        <f t="shared" si="4"/>
        <v>1303.2329988851727</v>
      </c>
      <c r="E36" s="18">
        <f t="shared" si="5"/>
        <v>527.80936454849495</v>
      </c>
      <c r="F36" s="18">
        <f t="shared" si="6"/>
        <v>641.19063545150493</v>
      </c>
      <c r="G36" s="18">
        <f t="shared" si="7"/>
        <v>538.61757198723888</v>
      </c>
      <c r="H36" s="18">
        <f t="shared" si="8"/>
        <v>615.59703511258715</v>
      </c>
      <c r="I36" s="30">
        <f t="shared" si="9"/>
        <v>-2.0477483282225595E-2</v>
      </c>
      <c r="J36" s="30">
        <f t="shared" si="10"/>
        <v>3.9915742563669268E-2</v>
      </c>
    </row>
    <row r="37" spans="2:10" x14ac:dyDescent="0.3">
      <c r="B37" s="9" t="s">
        <v>15</v>
      </c>
      <c r="C37" s="9">
        <f t="shared" ref="C37" si="16">$C11</f>
        <v>600</v>
      </c>
      <c r="D37" s="9">
        <f t="shared" si="4"/>
        <v>771.52698048220441</v>
      </c>
      <c r="E37" s="9">
        <f t="shared" si="5"/>
        <v>300.12399540757752</v>
      </c>
      <c r="F37" s="9">
        <f t="shared" si="6"/>
        <v>371.87600459242253</v>
      </c>
      <c r="G37" s="9">
        <f t="shared" si="7"/>
        <v>284.24115076856646</v>
      </c>
      <c r="H37" s="9">
        <f t="shared" si="8"/>
        <v>401.96256732724703</v>
      </c>
      <c r="I37" s="29">
        <f t="shared" si="9"/>
        <v>5.2920942284010584E-2</v>
      </c>
      <c r="J37" s="29">
        <f t="shared" si="10"/>
        <v>-8.090482408995299E-2</v>
      </c>
    </row>
    <row r="38" spans="2:10" x14ac:dyDescent="0.3">
      <c r="B38" s="18" t="s">
        <v>16</v>
      </c>
      <c r="C38" s="18">
        <f t="shared" ref="C38" si="17">$C11</f>
        <v>600</v>
      </c>
      <c r="D38" s="18">
        <f t="shared" si="4"/>
        <v>1418.472063854048</v>
      </c>
      <c r="E38" s="18">
        <f t="shared" si="5"/>
        <v>600.0136830102623</v>
      </c>
      <c r="F38" s="18">
        <f t="shared" si="6"/>
        <v>643.98631698973782</v>
      </c>
      <c r="G38" s="18">
        <f t="shared" si="7"/>
        <v>587.24160844362848</v>
      </c>
      <c r="H38" s="18">
        <f t="shared" si="8"/>
        <v>665.59214566269998</v>
      </c>
      <c r="I38" s="30">
        <f t="shared" si="9"/>
        <v>2.128630550982847E-2</v>
      </c>
      <c r="J38" s="30">
        <f t="shared" si="10"/>
        <v>-3.3550136241957546E-2</v>
      </c>
    </row>
    <row r="39" spans="2:10" x14ac:dyDescent="0.3">
      <c r="B39" s="9" t="s">
        <v>15</v>
      </c>
      <c r="C39" s="9">
        <f t="shared" ref="C39" si="18">$C13</f>
        <v>800</v>
      </c>
      <c r="D39" s="9">
        <f t="shared" si="4"/>
        <v>1025.1428571428571</v>
      </c>
      <c r="E39" s="9">
        <f t="shared" si="5"/>
        <v>399.80571428571426</v>
      </c>
      <c r="F39" s="9">
        <f t="shared" si="6"/>
        <v>497.19428571428568</v>
      </c>
      <c r="G39" s="9">
        <f t="shared" si="7"/>
        <v>388.16570894852487</v>
      </c>
      <c r="H39" s="9">
        <f t="shared" si="8"/>
        <v>513.74218059908344</v>
      </c>
      <c r="I39" s="29">
        <f t="shared" si="9"/>
        <v>2.9114154503732441E-2</v>
      </c>
      <c r="J39" s="29">
        <f t="shared" si="10"/>
        <v>-3.3282552435260807E-2</v>
      </c>
    </row>
    <row r="40" spans="2:10" x14ac:dyDescent="0.3">
      <c r="B40" s="18" t="s">
        <v>16</v>
      </c>
      <c r="C40" s="18">
        <f t="shared" ref="C40" si="19">$C13</f>
        <v>800</v>
      </c>
      <c r="D40" s="18">
        <f t="shared" si="4"/>
        <v>1881.8181818181818</v>
      </c>
      <c r="E40" s="18">
        <f t="shared" si="5"/>
        <v>799.77272727272725</v>
      </c>
      <c r="F40" s="18">
        <f t="shared" si="6"/>
        <v>856.22727272727275</v>
      </c>
      <c r="G40" s="18">
        <f t="shared" si="7"/>
        <v>789.39453366216958</v>
      </c>
      <c r="H40" s="18">
        <f t="shared" si="8"/>
        <v>862.83665618803309</v>
      </c>
      <c r="I40" s="30">
        <f t="shared" si="9"/>
        <v>1.2976428498566003E-2</v>
      </c>
      <c r="J40" s="30">
        <f t="shared" si="10"/>
        <v>-7.7191928723643628E-3</v>
      </c>
    </row>
    <row r="41" spans="2:10" x14ac:dyDescent="0.3">
      <c r="B41" s="9" t="s">
        <v>15</v>
      </c>
      <c r="C41" s="9">
        <f t="shared" ref="C41" si="20">$C15</f>
        <v>999</v>
      </c>
      <c r="D41" s="9">
        <f t="shared" si="4"/>
        <v>1325.4879448909301</v>
      </c>
      <c r="E41" s="9">
        <f t="shared" si="5"/>
        <v>499.70895522388065</v>
      </c>
      <c r="F41" s="9">
        <f t="shared" si="6"/>
        <v>654.79104477611941</v>
      </c>
      <c r="G41" s="9">
        <f t="shared" si="7"/>
        <v>514.05045190331032</v>
      </c>
      <c r="H41" s="9">
        <f t="shared" si="8"/>
        <v>644.52175137556492</v>
      </c>
      <c r="I41" s="29">
        <f t="shared" si="9"/>
        <v>-2.8699699153889209E-2</v>
      </c>
      <c r="J41" s="29">
        <f t="shared" si="10"/>
        <v>1.5683313757086703E-2</v>
      </c>
    </row>
    <row r="42" spans="2:10" x14ac:dyDescent="0.3">
      <c r="B42" s="18" t="s">
        <v>16</v>
      </c>
      <c r="C42" s="18">
        <f t="shared" ref="C42" si="21">$C15</f>
        <v>999</v>
      </c>
      <c r="D42" s="18">
        <f t="shared" si="4"/>
        <v>2379.3884484711211</v>
      </c>
      <c r="E42" s="18">
        <f t="shared" si="5"/>
        <v>999.34314835787086</v>
      </c>
      <c r="F42" s="18">
        <f t="shared" si="6"/>
        <v>1101.6568516421291</v>
      </c>
      <c r="G42" s="18">
        <f t="shared" si="7"/>
        <v>1007.6508256234921</v>
      </c>
      <c r="H42" s="18">
        <f t="shared" si="8"/>
        <v>1073.9853217891205</v>
      </c>
      <c r="I42" s="30">
        <f t="shared" si="9"/>
        <v>-8.3131377638126433E-3</v>
      </c>
      <c r="J42" s="30">
        <f t="shared" si="10"/>
        <v>2.5118102621303096E-2</v>
      </c>
    </row>
    <row r="43" spans="2:10" x14ac:dyDescent="0.3">
      <c r="B43" s="9" t="s">
        <v>15</v>
      </c>
      <c r="C43" s="9">
        <f t="shared" ref="C43" si="22">$C17</f>
        <v>1200</v>
      </c>
      <c r="D43" s="9">
        <f t="shared" si="4"/>
        <v>1529.8850574712644</v>
      </c>
      <c r="E43" s="9">
        <f t="shared" si="5"/>
        <v>599.71494252873572</v>
      </c>
      <c r="F43" s="9">
        <f t="shared" si="6"/>
        <v>731.28505747126439</v>
      </c>
      <c r="G43" s="9">
        <f t="shared" si="7"/>
        <v>594.84882881871965</v>
      </c>
      <c r="H43" s="9">
        <f t="shared" si="8"/>
        <v>736.28691638823875</v>
      </c>
      <c r="I43" s="29">
        <f t="shared" si="9"/>
        <v>8.1140444650216522E-3</v>
      </c>
      <c r="J43" s="29">
        <f t="shared" si="10"/>
        <v>-6.8398210326769907E-3</v>
      </c>
    </row>
    <row r="44" spans="2:10" x14ac:dyDescent="0.3">
      <c r="B44" s="18" t="s">
        <v>16</v>
      </c>
      <c r="C44" s="18">
        <f t="shared" ref="C44" si="23">$C17</f>
        <v>1200</v>
      </c>
      <c r="D44" s="18">
        <f t="shared" si="4"/>
        <v>2816.8202764976959</v>
      </c>
      <c r="E44" s="18">
        <f t="shared" si="5"/>
        <v>1199.9654377880183</v>
      </c>
      <c r="F44" s="18">
        <f t="shared" si="6"/>
        <v>1245.0345622119817</v>
      </c>
      <c r="G44" s="18">
        <f t="shared" si="7"/>
        <v>1197.5923543291201</v>
      </c>
      <c r="H44" s="18">
        <f t="shared" si="8"/>
        <v>1260.7119377033443</v>
      </c>
      <c r="I44" s="30">
        <f t="shared" si="9"/>
        <v>1.977626508370699E-3</v>
      </c>
      <c r="J44" s="30">
        <f t="shared" si="10"/>
        <v>-1.2591919909042192E-2</v>
      </c>
    </row>
    <row r="45" spans="2:10" x14ac:dyDescent="0.3">
      <c r="B45" s="9" t="s">
        <v>15</v>
      </c>
      <c r="C45" s="9">
        <f t="shared" ref="C45" si="24">$C19</f>
        <v>1560</v>
      </c>
      <c r="D45" s="9">
        <f t="shared" si="4"/>
        <v>1998.8532110091744</v>
      </c>
      <c r="E45" s="9">
        <f t="shared" si="5"/>
        <v>779.55275229357801</v>
      </c>
      <c r="F45" s="9">
        <f t="shared" si="6"/>
        <v>963.44724770642199</v>
      </c>
      <c r="G45" s="9">
        <f t="shared" si="7"/>
        <v>787.74854754644139</v>
      </c>
      <c r="H45" s="9">
        <f t="shared" si="8"/>
        <v>942.56748685329762</v>
      </c>
      <c r="I45" s="29">
        <f t="shared" si="9"/>
        <v>-1.0513458170405967E-2</v>
      </c>
      <c r="J45" s="29">
        <f t="shared" si="10"/>
        <v>2.1671929524767056E-2</v>
      </c>
    </row>
    <row r="46" spans="2:10" x14ac:dyDescent="0.3">
      <c r="B46" s="18" t="s">
        <v>16</v>
      </c>
      <c r="C46" s="18">
        <f t="shared" ref="C46" si="25">$C19</f>
        <v>1560</v>
      </c>
      <c r="D46" s="18">
        <f t="shared" si="4"/>
        <v>3698.1566820276498</v>
      </c>
      <c r="E46" s="18">
        <f t="shared" si="5"/>
        <v>1560.6221198156682</v>
      </c>
      <c r="F46" s="18">
        <f t="shared" si="6"/>
        <v>1649.3778801843318</v>
      </c>
      <c r="G46" s="18">
        <f t="shared" si="7"/>
        <v>1583.6271200581014</v>
      </c>
      <c r="H46" s="18">
        <f t="shared" si="8"/>
        <v>1635.0322246540543</v>
      </c>
      <c r="I46" s="30">
        <f t="shared" si="9"/>
        <v>-1.4740916427065905E-2</v>
      </c>
      <c r="J46" s="30">
        <f t="shared" si="10"/>
        <v>8.6976160542872726E-3</v>
      </c>
    </row>
    <row r="47" spans="2:10" x14ac:dyDescent="0.3">
      <c r="B47" s="9" t="s">
        <v>15</v>
      </c>
      <c r="C47" s="9">
        <f t="shared" ref="C47" si="26">$C21</f>
        <v>2000</v>
      </c>
      <c r="D47" s="9">
        <f t="shared" si="4"/>
        <v>2530.7068366164544</v>
      </c>
      <c r="E47" s="9">
        <f t="shared" si="5"/>
        <v>999.6292004634995</v>
      </c>
      <c r="F47" s="9">
        <f t="shared" si="6"/>
        <v>1184.3707995365007</v>
      </c>
      <c r="G47" s="9">
        <f t="shared" si="7"/>
        <v>1004.1578798577008</v>
      </c>
      <c r="H47" s="9">
        <f t="shared" si="8"/>
        <v>1177.84637697321</v>
      </c>
      <c r="I47" s="29">
        <f t="shared" si="9"/>
        <v>-4.5303592493111016E-3</v>
      </c>
      <c r="J47" s="29">
        <f t="shared" si="10"/>
        <v>5.5087668201918155E-3</v>
      </c>
    </row>
    <row r="48" spans="2:10" x14ac:dyDescent="0.3">
      <c r="B48" s="18" t="s">
        <v>16</v>
      </c>
      <c r="C48" s="18">
        <f t="shared" ref="C48" si="27">$C21</f>
        <v>2000</v>
      </c>
      <c r="D48" s="18">
        <f t="shared" si="4"/>
        <v>4609.4470046082952</v>
      </c>
      <c r="E48" s="18">
        <f t="shared" si="5"/>
        <v>2000.5</v>
      </c>
      <c r="F48" s="18">
        <f t="shared" si="6"/>
        <v>2000.5</v>
      </c>
      <c r="G48" s="18">
        <f t="shared" si="7"/>
        <v>1977.7478158168246</v>
      </c>
      <c r="H48" s="18">
        <f t="shared" si="8"/>
        <v>2024.9312502369805</v>
      </c>
      <c r="I48" s="30">
        <f t="shared" si="9"/>
        <v>1.1373248779392831E-2</v>
      </c>
      <c r="J48" s="30">
        <f t="shared" si="10"/>
        <v>-1.2212571975496392E-2</v>
      </c>
    </row>
    <row r="49" spans="2:8" x14ac:dyDescent="0.3">
      <c r="B49" s="9"/>
      <c r="C49" s="9"/>
      <c r="D49" s="9"/>
      <c r="E49" s="9"/>
      <c r="F49" s="9"/>
      <c r="G49" s="9"/>
      <c r="H49" s="9"/>
    </row>
    <row r="50" spans="2:8" x14ac:dyDescent="0.3">
      <c r="B50" s="28" t="s">
        <v>58</v>
      </c>
      <c r="C50" s="28" t="s">
        <v>59</v>
      </c>
      <c r="D50" s="28" t="s">
        <v>60</v>
      </c>
      <c r="F50" s="10" t="s">
        <v>61</v>
      </c>
      <c r="G50" s="10" t="s">
        <v>62</v>
      </c>
      <c r="H50" s="10" t="s">
        <v>63</v>
      </c>
    </row>
    <row r="51" spans="2:8" x14ac:dyDescent="0.3">
      <c r="B51" cm="1">
        <f t="array" ref="B51:D51">LINEST(E29:E48,C29:D48)</f>
        <v>0.46835576227867698</v>
      </c>
      <c r="C51">
        <v>-7.4289495297082592E-2</v>
      </c>
      <c r="D51">
        <v>-32.534259115492773</v>
      </c>
      <c r="F51" cm="1">
        <f t="array" ref="F51:H51">LINEST(F29:F48,C29:D48)</f>
        <v>0.40749916045644785</v>
      </c>
      <c r="G51">
        <v>4.2156782270972491E-2</v>
      </c>
      <c r="H51">
        <v>62.271901148666984</v>
      </c>
    </row>
    <row r="52" spans="2:8" x14ac:dyDescent="0.3">
      <c r="B52" s="67">
        <v>0.46835576227867698</v>
      </c>
      <c r="C52" s="66">
        <v>-7.4289495297082592E-2</v>
      </c>
      <c r="D52" s="8">
        <v>-32.534259115492773</v>
      </c>
      <c r="E52" s="66"/>
      <c r="F52" s="67">
        <v>0.40749916045644785</v>
      </c>
      <c r="G52" s="66">
        <v>4.2156782270972491E-2</v>
      </c>
      <c r="H52" s="8">
        <v>62.271901148666984</v>
      </c>
    </row>
    <row r="54" spans="2:8" x14ac:dyDescent="0.3">
      <c r="B54" s="2" t="s">
        <v>416</v>
      </c>
      <c r="C54" s="57">
        <v>0.5</v>
      </c>
    </row>
    <row r="55" spans="2:8" x14ac:dyDescent="0.3">
      <c r="B55" s="2" t="s">
        <v>415</v>
      </c>
      <c r="C55" s="57">
        <v>1</v>
      </c>
    </row>
    <row r="57" spans="2:8" x14ac:dyDescent="0.3">
      <c r="B57" t="s">
        <v>417</v>
      </c>
    </row>
    <row r="59" spans="2:8" x14ac:dyDescent="0.3">
      <c r="B59" s="2" t="s">
        <v>378</v>
      </c>
      <c r="C59" s="2" t="s">
        <v>406</v>
      </c>
      <c r="D59" s="2" t="s">
        <v>379</v>
      </c>
      <c r="F59" s="2" t="s">
        <v>380</v>
      </c>
      <c r="G59" s="2" t="s">
        <v>407</v>
      </c>
      <c r="H59" s="2" t="s">
        <v>381</v>
      </c>
    </row>
    <row r="60" spans="2:8" x14ac:dyDescent="0.3">
      <c r="B60">
        <f>C54</f>
        <v>0.5</v>
      </c>
      <c r="C60" s="67">
        <f>B52*C54+C52</f>
        <v>0.1598883858422559</v>
      </c>
      <c r="D60" s="67">
        <f>F52*C54+G52</f>
        <v>0.24590636249919642</v>
      </c>
      <c r="F60">
        <f>C55</f>
        <v>1</v>
      </c>
      <c r="G60" s="67">
        <f>B52*C55+C52</f>
        <v>0.39406626698159442</v>
      </c>
      <c r="H60" s="67">
        <f>F52*C55+G52</f>
        <v>0.44965594272742032</v>
      </c>
    </row>
  </sheetData>
  <hyperlinks>
    <hyperlink ref="C24" r:id="rId1" xr:uid="{996712D1-C28C-4398-B8FE-214AAD8C45F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28B7-2925-4413-A953-7CA62C488DA1}">
  <sheetPr codeName="Sheet15">
    <tabColor theme="9" tint="0.59999389629810485"/>
  </sheetPr>
  <dimension ref="A2:H148"/>
  <sheetViews>
    <sheetView workbookViewId="0">
      <selection activeCell="C4" sqref="C4"/>
    </sheetView>
  </sheetViews>
  <sheetFormatPr defaultRowHeight="14.4" x14ac:dyDescent="0.3"/>
  <cols>
    <col min="3" max="3" width="13.77734375" customWidth="1"/>
    <col min="6" max="6" width="16.77734375" customWidth="1"/>
  </cols>
  <sheetData>
    <row r="2" spans="2:7" x14ac:dyDescent="0.3">
      <c r="B2" s="10" t="s">
        <v>33</v>
      </c>
      <c r="C2" s="3" t="s">
        <v>49</v>
      </c>
      <c r="D2" s="2" t="s">
        <v>43</v>
      </c>
      <c r="E2" s="5" t="s">
        <v>11</v>
      </c>
      <c r="F2" s="2" t="s">
        <v>51</v>
      </c>
    </row>
    <row r="3" spans="2:7" x14ac:dyDescent="0.3">
      <c r="B3" s="21" t="s">
        <v>34</v>
      </c>
      <c r="C3" s="7">
        <f>0.6*$C5</f>
        <v>3</v>
      </c>
      <c r="D3" s="12">
        <v>0.28599999999999998</v>
      </c>
      <c r="E3" s="6" t="s">
        <v>36</v>
      </c>
      <c r="F3" s="9">
        <f>$C3/$D3</f>
        <v>10.48951048951049</v>
      </c>
      <c r="G3" s="9" t="s">
        <v>15</v>
      </c>
    </row>
    <row r="4" spans="2:7" x14ac:dyDescent="0.3">
      <c r="B4" s="21" t="s">
        <v>34</v>
      </c>
      <c r="C4" s="7">
        <f>0.75*$C5</f>
        <v>3.75</v>
      </c>
      <c r="D4" s="12">
        <v>0.33</v>
      </c>
      <c r="E4" s="6" t="s">
        <v>36</v>
      </c>
      <c r="F4" s="9">
        <f>$C4/$D4</f>
        <v>11.363636363636363</v>
      </c>
      <c r="G4" s="9" t="s">
        <v>15</v>
      </c>
    </row>
    <row r="5" spans="2:7" x14ac:dyDescent="0.3">
      <c r="B5" s="22" t="s">
        <v>35</v>
      </c>
      <c r="C5" s="26">
        <v>5</v>
      </c>
      <c r="D5" s="25">
        <v>0.34300000000000003</v>
      </c>
      <c r="E5" s="23" t="s">
        <v>36</v>
      </c>
      <c r="F5" s="18">
        <f>$C5/$D5</f>
        <v>14.577259475218657</v>
      </c>
      <c r="G5" s="18" t="s">
        <v>16</v>
      </c>
    </row>
    <row r="24" spans="1:8" x14ac:dyDescent="0.3">
      <c r="A24" s="27"/>
      <c r="B24" s="27"/>
      <c r="C24" s="27"/>
      <c r="D24" s="27"/>
      <c r="E24" s="27"/>
      <c r="F24" s="27"/>
      <c r="G24" s="27"/>
      <c r="H24" s="27"/>
    </row>
    <row r="26" spans="1:8" x14ac:dyDescent="0.3">
      <c r="B26" s="10" t="s">
        <v>33</v>
      </c>
      <c r="C26" s="3" t="s">
        <v>49</v>
      </c>
      <c r="D26" s="2" t="s">
        <v>43</v>
      </c>
      <c r="E26" s="5" t="s">
        <v>11</v>
      </c>
      <c r="F26" s="2" t="s">
        <v>51</v>
      </c>
    </row>
    <row r="27" spans="1:8" x14ac:dyDescent="0.3">
      <c r="B27" s="21" t="s">
        <v>34</v>
      </c>
      <c r="C27" s="7">
        <f>0.5*$C29</f>
        <v>42.5</v>
      </c>
      <c r="D27" s="12">
        <v>0.27100000000000002</v>
      </c>
      <c r="E27" s="6" t="s">
        <v>36</v>
      </c>
      <c r="F27" s="9">
        <f>$C27/$D27</f>
        <v>156.82656826568265</v>
      </c>
      <c r="G27" s="9" t="s">
        <v>15</v>
      </c>
    </row>
    <row r="28" spans="1:8" x14ac:dyDescent="0.3">
      <c r="B28" s="21" t="s">
        <v>34</v>
      </c>
      <c r="C28" s="7">
        <f>0.75*$C29</f>
        <v>63.75</v>
      </c>
      <c r="D28" s="12">
        <v>0.31</v>
      </c>
      <c r="E28" s="6" t="s">
        <v>36</v>
      </c>
      <c r="F28" s="9">
        <f>$C28/$D28</f>
        <v>205.64516129032259</v>
      </c>
      <c r="G28" s="9" t="s">
        <v>15</v>
      </c>
    </row>
    <row r="29" spans="1:8" x14ac:dyDescent="0.3">
      <c r="B29" s="22" t="s">
        <v>35</v>
      </c>
      <c r="C29" s="26">
        <v>85</v>
      </c>
      <c r="D29" s="25">
        <v>0.33700000000000002</v>
      </c>
      <c r="E29" s="23" t="s">
        <v>36</v>
      </c>
      <c r="F29" s="18">
        <f>$C29/$D29</f>
        <v>252.22551928783381</v>
      </c>
      <c r="G29" s="18" t="s">
        <v>16</v>
      </c>
    </row>
    <row r="48" spans="1:8" x14ac:dyDescent="0.3">
      <c r="A48" s="27"/>
      <c r="B48" s="27"/>
      <c r="C48" s="27"/>
      <c r="D48" s="27"/>
      <c r="E48" s="27"/>
      <c r="F48" s="27"/>
      <c r="G48" s="27"/>
      <c r="H48" s="27"/>
    </row>
    <row r="50" spans="2:7" x14ac:dyDescent="0.3">
      <c r="B50" s="10" t="s">
        <v>33</v>
      </c>
      <c r="C50" s="3" t="s">
        <v>49</v>
      </c>
      <c r="D50" s="2" t="s">
        <v>43</v>
      </c>
      <c r="E50" s="5" t="s">
        <v>11</v>
      </c>
      <c r="F50" s="2" t="s">
        <v>51</v>
      </c>
    </row>
    <row r="51" spans="2:7" x14ac:dyDescent="0.3">
      <c r="B51" s="21" t="s">
        <v>34</v>
      </c>
      <c r="C51" s="7">
        <f>0.5*$C53</f>
        <v>66.5</v>
      </c>
      <c r="D51" s="12">
        <v>0.30599999999999999</v>
      </c>
      <c r="E51" s="6" t="s">
        <v>36</v>
      </c>
      <c r="F51" s="9">
        <f>$C51/$D51</f>
        <v>217.3202614379085</v>
      </c>
      <c r="G51" s="9" t="s">
        <v>15</v>
      </c>
    </row>
    <row r="52" spans="2:7" x14ac:dyDescent="0.3">
      <c r="B52" s="21" t="s">
        <v>34</v>
      </c>
      <c r="C52" s="7">
        <f>0.75*$C53</f>
        <v>99.75</v>
      </c>
      <c r="D52" s="12">
        <v>0.35499999999999998</v>
      </c>
      <c r="E52" s="6" t="s">
        <v>36</v>
      </c>
      <c r="F52" s="9">
        <f>$C52/$D52</f>
        <v>280.98591549295776</v>
      </c>
      <c r="G52" s="9" t="s">
        <v>15</v>
      </c>
    </row>
    <row r="53" spans="2:7" x14ac:dyDescent="0.3">
      <c r="B53" s="22" t="s">
        <v>35</v>
      </c>
      <c r="C53" s="26">
        <v>133</v>
      </c>
      <c r="D53" s="25">
        <v>0.378</v>
      </c>
      <c r="E53" s="23" t="s">
        <v>36</v>
      </c>
      <c r="F53" s="18">
        <f>$C53/$D53</f>
        <v>351.85185185185185</v>
      </c>
      <c r="G53" s="18" t="s">
        <v>16</v>
      </c>
    </row>
    <row r="72" spans="1:8" x14ac:dyDescent="0.3">
      <c r="A72" s="27"/>
      <c r="B72" s="27"/>
      <c r="C72" s="27"/>
      <c r="D72" s="27"/>
      <c r="E72" s="27"/>
      <c r="F72" s="27"/>
      <c r="G72" s="27"/>
      <c r="H72" s="27"/>
    </row>
    <row r="74" spans="1:8" x14ac:dyDescent="0.3">
      <c r="B74" s="10" t="s">
        <v>33</v>
      </c>
      <c r="C74" s="3" t="s">
        <v>49</v>
      </c>
      <c r="D74" s="2" t="s">
        <v>43</v>
      </c>
      <c r="E74" s="5" t="s">
        <v>11</v>
      </c>
      <c r="F74" s="2" t="s">
        <v>51</v>
      </c>
    </row>
    <row r="75" spans="1:8" x14ac:dyDescent="0.3">
      <c r="B75" s="21" t="s">
        <v>34</v>
      </c>
      <c r="C75" s="7">
        <f>0.5*$C77</f>
        <v>105</v>
      </c>
      <c r="D75" s="12">
        <v>0.35699999999999998</v>
      </c>
      <c r="E75" s="6" t="s">
        <v>36</v>
      </c>
      <c r="F75" s="9">
        <f>$C75/$D75</f>
        <v>294.11764705882354</v>
      </c>
      <c r="G75" s="9" t="s">
        <v>15</v>
      </c>
    </row>
    <row r="76" spans="1:8" x14ac:dyDescent="0.3">
      <c r="B76" s="21" t="s">
        <v>34</v>
      </c>
      <c r="C76" s="7">
        <f>0.75*$C77</f>
        <v>157.5</v>
      </c>
      <c r="D76" s="12">
        <v>0.38600000000000001</v>
      </c>
      <c r="E76" s="6" t="s">
        <v>36</v>
      </c>
      <c r="F76" s="9">
        <f>$C76/$D76</f>
        <v>408.03108808290153</v>
      </c>
      <c r="G76" s="9" t="s">
        <v>15</v>
      </c>
    </row>
    <row r="77" spans="1:8" x14ac:dyDescent="0.3">
      <c r="B77" s="22" t="s">
        <v>35</v>
      </c>
      <c r="C77" s="26">
        <v>210</v>
      </c>
      <c r="D77" s="25">
        <v>0.39700000000000002</v>
      </c>
      <c r="E77" s="23" t="s">
        <v>36</v>
      </c>
      <c r="F77" s="18">
        <f>$C77/$D77</f>
        <v>528.9672544080604</v>
      </c>
      <c r="G77" s="18" t="s">
        <v>16</v>
      </c>
    </row>
    <row r="96" spans="1:8" x14ac:dyDescent="0.3">
      <c r="A96" s="27"/>
      <c r="B96" s="27"/>
      <c r="C96" s="27"/>
      <c r="D96" s="27"/>
      <c r="E96" s="27"/>
      <c r="F96" s="27"/>
      <c r="G96" s="27"/>
      <c r="H96" s="27"/>
    </row>
    <row r="98" spans="2:7" x14ac:dyDescent="0.3">
      <c r="B98" s="10" t="s">
        <v>33</v>
      </c>
      <c r="C98" s="3" t="s">
        <v>49</v>
      </c>
      <c r="D98" s="2" t="s">
        <v>43</v>
      </c>
      <c r="E98" s="5" t="s">
        <v>11</v>
      </c>
      <c r="F98" s="2" t="s">
        <v>51</v>
      </c>
    </row>
    <row r="99" spans="2:7" x14ac:dyDescent="0.3">
      <c r="B99" s="21" t="s">
        <v>34</v>
      </c>
      <c r="C99" s="7">
        <f>0.5*$C101</f>
        <v>130</v>
      </c>
      <c r="D99" s="12">
        <v>0.32400000000000001</v>
      </c>
      <c r="E99" s="6" t="s">
        <v>36</v>
      </c>
      <c r="F99" s="9">
        <f>$C99/$D99</f>
        <v>401.23456790123453</v>
      </c>
      <c r="G99" s="9" t="s">
        <v>15</v>
      </c>
    </row>
    <row r="100" spans="2:7" x14ac:dyDescent="0.3">
      <c r="B100" s="21" t="s">
        <v>34</v>
      </c>
      <c r="C100" s="7">
        <f>0.75*$C101</f>
        <v>195</v>
      </c>
      <c r="D100" s="12">
        <v>0.36399999999999999</v>
      </c>
      <c r="E100" s="6" t="s">
        <v>36</v>
      </c>
      <c r="F100" s="9">
        <f>$C100/$D100</f>
        <v>535.71428571428578</v>
      </c>
      <c r="G100" s="9" t="s">
        <v>15</v>
      </c>
    </row>
    <row r="101" spans="2:7" x14ac:dyDescent="0.3">
      <c r="B101" s="22" t="s">
        <v>35</v>
      </c>
      <c r="C101" s="26">
        <v>260</v>
      </c>
      <c r="D101" s="25">
        <v>0.38</v>
      </c>
      <c r="E101" s="23" t="s">
        <v>36</v>
      </c>
      <c r="F101" s="18">
        <f>$C101/$D101</f>
        <v>684.21052631578948</v>
      </c>
      <c r="G101" s="18" t="s">
        <v>16</v>
      </c>
    </row>
    <row r="120" spans="1:8" x14ac:dyDescent="0.3">
      <c r="A120" s="27"/>
      <c r="B120" s="27"/>
      <c r="C120" s="27"/>
      <c r="D120" s="27"/>
      <c r="E120" s="27"/>
      <c r="F120" s="27"/>
      <c r="G120" s="27"/>
      <c r="H120" s="27"/>
    </row>
    <row r="121" spans="1:8" x14ac:dyDescent="0.3">
      <c r="B121" s="10" t="s">
        <v>33</v>
      </c>
      <c r="C121" s="3" t="s">
        <v>49</v>
      </c>
      <c r="D121" s="2" t="s">
        <v>43</v>
      </c>
      <c r="E121" s="5" t="s">
        <v>11</v>
      </c>
      <c r="F121" s="2" t="s">
        <v>51</v>
      </c>
    </row>
    <row r="122" spans="1:8" x14ac:dyDescent="0.3">
      <c r="B122" s="21" t="s">
        <v>34</v>
      </c>
      <c r="C122" s="7">
        <f>0.5*$C124</f>
        <v>300</v>
      </c>
      <c r="D122" s="12">
        <v>0.38900000000000001</v>
      </c>
      <c r="E122" s="6" t="s">
        <v>36</v>
      </c>
      <c r="F122" s="9">
        <f>$C122/$D122</f>
        <v>771.20822622107971</v>
      </c>
      <c r="G122" s="9" t="s">
        <v>15</v>
      </c>
    </row>
    <row r="123" spans="1:8" x14ac:dyDescent="0.3">
      <c r="B123" s="21" t="s">
        <v>34</v>
      </c>
      <c r="C123" s="7">
        <f>0.75*$C124</f>
        <v>450</v>
      </c>
      <c r="D123" s="12">
        <v>0.41199999999999998</v>
      </c>
      <c r="E123" s="6" t="s">
        <v>36</v>
      </c>
      <c r="F123" s="9">
        <f>$C123/$D123</f>
        <v>1092.2330097087379</v>
      </c>
      <c r="G123" s="9" t="s">
        <v>15</v>
      </c>
    </row>
    <row r="124" spans="1:8" x14ac:dyDescent="0.3">
      <c r="B124" s="22" t="s">
        <v>35</v>
      </c>
      <c r="C124" s="26">
        <v>600</v>
      </c>
      <c r="D124" s="25">
        <v>0.42299999999999999</v>
      </c>
      <c r="E124" s="23" t="s">
        <v>36</v>
      </c>
      <c r="F124" s="18">
        <f>$C124/$D124</f>
        <v>1418.4397163120568</v>
      </c>
      <c r="G124" s="18" t="s">
        <v>16</v>
      </c>
    </row>
    <row r="144" spans="1:8" x14ac:dyDescent="0.3">
      <c r="A144" s="27"/>
      <c r="B144" s="27"/>
      <c r="C144" s="27"/>
      <c r="D144" s="27"/>
      <c r="E144" s="27"/>
      <c r="F144" s="27"/>
      <c r="G144" s="27"/>
      <c r="H144" s="27"/>
    </row>
    <row r="145" spans="2:7" x14ac:dyDescent="0.3">
      <c r="B145" s="10" t="s">
        <v>33</v>
      </c>
      <c r="C145" s="3" t="s">
        <v>49</v>
      </c>
      <c r="D145" s="2" t="s">
        <v>43</v>
      </c>
      <c r="E145" s="5" t="s">
        <v>11</v>
      </c>
      <c r="F145" s="2" t="s">
        <v>51</v>
      </c>
    </row>
    <row r="146" spans="2:7" x14ac:dyDescent="0.3">
      <c r="B146" s="21" t="s">
        <v>34</v>
      </c>
      <c r="C146" s="7">
        <f>0.5*$C148</f>
        <v>1000</v>
      </c>
      <c r="D146" s="12">
        <v>0.39500000000000002</v>
      </c>
      <c r="E146" s="6" t="s">
        <v>36</v>
      </c>
      <c r="F146" s="9">
        <f>$C146/$D146</f>
        <v>2531.6455696202529</v>
      </c>
      <c r="G146" s="9" t="s">
        <v>15</v>
      </c>
    </row>
    <row r="147" spans="2:7" x14ac:dyDescent="0.3">
      <c r="B147" s="21" t="s">
        <v>34</v>
      </c>
      <c r="C147" s="7">
        <f>0.75*$C148</f>
        <v>1500</v>
      </c>
      <c r="D147" s="12">
        <v>0.42299999999999999</v>
      </c>
      <c r="E147" s="6" t="s">
        <v>36</v>
      </c>
      <c r="F147" s="9">
        <f>$C147/$D147</f>
        <v>3546.0992907801419</v>
      </c>
      <c r="G147" s="9" t="s">
        <v>15</v>
      </c>
    </row>
    <row r="148" spans="2:7" x14ac:dyDescent="0.3">
      <c r="B148" s="22" t="s">
        <v>35</v>
      </c>
      <c r="C148" s="26">
        <v>2000</v>
      </c>
      <c r="D148" s="25">
        <v>0.434</v>
      </c>
      <c r="E148" s="23" t="s">
        <v>36</v>
      </c>
      <c r="F148" s="18">
        <f>$C148/$D148</f>
        <v>4608.294930875576</v>
      </c>
      <c r="G148" s="18" t="s">
        <v>16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BF80-AFFD-47D8-B3EE-AE96B59BEC85}">
  <sheetPr>
    <tabColor rgb="FF00B050"/>
  </sheetPr>
  <dimension ref="A1:Q73"/>
  <sheetViews>
    <sheetView topLeftCell="A19" zoomScaleNormal="100" workbookViewId="0">
      <selection activeCell="I34" sqref="I34"/>
    </sheetView>
  </sheetViews>
  <sheetFormatPr defaultRowHeight="14.4" x14ac:dyDescent="0.3"/>
  <cols>
    <col min="2" max="2" width="16.44140625" customWidth="1"/>
    <col min="3" max="3" width="15.33203125" customWidth="1"/>
    <col min="4" max="4" width="15.21875" customWidth="1"/>
    <col min="5" max="6" width="18.44140625" customWidth="1"/>
    <col min="7" max="7" width="19.77734375" customWidth="1"/>
    <col min="8" max="8" width="17.5546875" customWidth="1"/>
    <col min="9" max="9" width="17.33203125" customWidth="1"/>
    <col min="10" max="11" width="18.88671875" customWidth="1"/>
    <col min="12" max="12" width="8.5546875" customWidth="1"/>
    <col min="13" max="13" width="14.88671875" customWidth="1"/>
    <col min="14" max="14" width="6.77734375" customWidth="1"/>
    <col min="15" max="15" width="14.6640625" customWidth="1"/>
  </cols>
  <sheetData>
    <row r="1" spans="1:17" x14ac:dyDescent="0.3">
      <c r="B1" s="10" t="s">
        <v>64</v>
      </c>
      <c r="C1" s="3" t="s">
        <v>75</v>
      </c>
      <c r="D1" s="3" t="s">
        <v>76</v>
      </c>
      <c r="E1" s="2" t="s">
        <v>43</v>
      </c>
      <c r="F1" s="2" t="s">
        <v>44</v>
      </c>
      <c r="G1" s="5" t="s">
        <v>11</v>
      </c>
      <c r="H1" s="2" t="s">
        <v>81</v>
      </c>
      <c r="I1" s="2" t="s">
        <v>77</v>
      </c>
      <c r="J1" s="2" t="s">
        <v>80</v>
      </c>
    </row>
    <row r="2" spans="1:17" x14ac:dyDescent="0.3">
      <c r="B2" s="31" t="s">
        <v>65</v>
      </c>
      <c r="C2" s="35">
        <f>$C3/10</f>
        <v>9.64E-2</v>
      </c>
      <c r="D2" s="8">
        <f>$H2*$F2</f>
        <v>1.0510157303370786</v>
      </c>
      <c r="E2" s="58">
        <f>0.445*$E3</f>
        <v>7.9814140227183708E-2</v>
      </c>
      <c r="F2" s="58">
        <f t="shared" ref="F2:F9" si="0">$J2-$E2</f>
        <v>0.87018585977281626</v>
      </c>
      <c r="G2" s="15" t="s">
        <v>349</v>
      </c>
      <c r="H2" s="8">
        <f>$C2/$E2</f>
        <v>1.2078060319337669</v>
      </c>
      <c r="I2" t="s">
        <v>79</v>
      </c>
      <c r="J2" s="37">
        <v>0.95</v>
      </c>
      <c r="K2" s="9" t="s">
        <v>15</v>
      </c>
      <c r="L2" s="2" t="s">
        <v>408</v>
      </c>
      <c r="M2" s="2" t="s">
        <v>379</v>
      </c>
      <c r="N2" s="2" t="s">
        <v>406</v>
      </c>
      <c r="O2" s="2" t="s">
        <v>409</v>
      </c>
      <c r="P2" s="2" t="s">
        <v>381</v>
      </c>
      <c r="Q2" s="2" t="s">
        <v>407</v>
      </c>
    </row>
    <row r="3" spans="1:17" x14ac:dyDescent="0.3">
      <c r="B3" s="32" t="s">
        <v>66</v>
      </c>
      <c r="C3" s="34">
        <v>0.96399999999999997</v>
      </c>
      <c r="D3" s="34">
        <v>4.1420000000000003</v>
      </c>
      <c r="E3" s="51">
        <f>$C3/$H3</f>
        <v>0.17935761848805326</v>
      </c>
      <c r="F3" s="51">
        <f t="shared" si="0"/>
        <v>0.77064238151194675</v>
      </c>
      <c r="G3" s="33" t="s">
        <v>350</v>
      </c>
      <c r="H3" s="34">
        <f>($C3+$D3)/$J3</f>
        <v>5.3747368421052633</v>
      </c>
      <c r="I3" s="18"/>
      <c r="J3" s="36">
        <v>0.95</v>
      </c>
      <c r="K3" s="18" t="s">
        <v>16</v>
      </c>
      <c r="L3" s="34">
        <f>N3/E2</f>
        <v>1.2529108215080571</v>
      </c>
      <c r="M3" s="34">
        <f>L3*F2</f>
        <v>1.0902652804326542</v>
      </c>
      <c r="N3" s="34">
        <f>Q3*C2/C3</f>
        <v>0.1</v>
      </c>
      <c r="O3" s="34">
        <f>Q3/E3</f>
        <v>5.5754531557108544</v>
      </c>
      <c r="P3" s="34">
        <f>O3*F3</f>
        <v>4.2966804979253119</v>
      </c>
      <c r="Q3" s="34">
        <v>1</v>
      </c>
    </row>
    <row r="4" spans="1:17" x14ac:dyDescent="0.3">
      <c r="B4" s="31" t="s">
        <v>65</v>
      </c>
      <c r="C4" s="35">
        <f>$C5/10</f>
        <v>0.1236</v>
      </c>
      <c r="D4" s="8">
        <f>$H4*$F4</f>
        <v>1.3761752808988761</v>
      </c>
      <c r="E4" s="58">
        <f>0.445*$E5</f>
        <v>7.8291729097992216E-2</v>
      </c>
      <c r="F4" s="58">
        <f t="shared" si="0"/>
        <v>0.87170827090200775</v>
      </c>
      <c r="G4" s="15" t="s">
        <v>349</v>
      </c>
      <c r="H4" s="8">
        <f>$C4/$E4</f>
        <v>1.5787108219988171</v>
      </c>
      <c r="I4" t="s">
        <v>79</v>
      </c>
      <c r="J4" s="37">
        <v>0.95</v>
      </c>
      <c r="K4" s="9" t="s">
        <v>15</v>
      </c>
    </row>
    <row r="5" spans="1:17" x14ac:dyDescent="0.3">
      <c r="B5" s="32" t="s">
        <v>66</v>
      </c>
      <c r="C5" s="34">
        <v>1.236</v>
      </c>
      <c r="D5" s="34">
        <v>5.4379999999999997</v>
      </c>
      <c r="E5" s="51">
        <f>$C5/$H5</f>
        <v>0.17593646988312858</v>
      </c>
      <c r="F5" s="51">
        <f t="shared" si="0"/>
        <v>0.77406353011687135</v>
      </c>
      <c r="G5" s="33" t="s">
        <v>350</v>
      </c>
      <c r="H5" s="34">
        <f>($C5+$D5)/$J5</f>
        <v>7.0252631578947362</v>
      </c>
      <c r="I5" s="18"/>
      <c r="J5" s="36">
        <v>0.95</v>
      </c>
      <c r="K5" s="18" t="s">
        <v>16</v>
      </c>
    </row>
    <row r="6" spans="1:17" x14ac:dyDescent="0.3">
      <c r="B6" s="31" t="s">
        <v>65</v>
      </c>
      <c r="C6" s="35">
        <f>$C7/10</f>
        <v>0.17499999999999999</v>
      </c>
      <c r="D6" s="8">
        <f>$H6*$F6</f>
        <v>2.0609550561797749</v>
      </c>
      <c r="E6" s="58">
        <f>0.445*$E7</f>
        <v>7.435301507537688E-2</v>
      </c>
      <c r="F6" s="58">
        <f t="shared" si="0"/>
        <v>0.87564698492462312</v>
      </c>
      <c r="G6" s="15" t="s">
        <v>349</v>
      </c>
      <c r="H6" s="8">
        <f>$C6/$E6</f>
        <v>2.3536369012418685</v>
      </c>
      <c r="I6" t="s">
        <v>79</v>
      </c>
      <c r="J6" s="37">
        <v>0.95</v>
      </c>
      <c r="K6" s="9" t="s">
        <v>15</v>
      </c>
    </row>
    <row r="7" spans="1:17" x14ac:dyDescent="0.3">
      <c r="B7" s="32" t="s">
        <v>66</v>
      </c>
      <c r="C7" s="34">
        <v>1.75</v>
      </c>
      <c r="D7" s="34">
        <v>8.1999999999999993</v>
      </c>
      <c r="E7" s="51">
        <f>$C7/$H7</f>
        <v>0.16708542713567839</v>
      </c>
      <c r="F7" s="51">
        <f t="shared" si="0"/>
        <v>0.78291457286432153</v>
      </c>
      <c r="G7" s="33" t="s">
        <v>351</v>
      </c>
      <c r="H7" s="34">
        <f>($C7+$D7)/$J7</f>
        <v>10.473684210526315</v>
      </c>
      <c r="I7" s="18"/>
      <c r="J7" s="36">
        <v>0.95</v>
      </c>
      <c r="K7" s="18" t="s">
        <v>16</v>
      </c>
    </row>
    <row r="8" spans="1:17" x14ac:dyDescent="0.3">
      <c r="B8" s="31" t="s">
        <v>65</v>
      </c>
      <c r="C8" s="35">
        <f>$C9/10</f>
        <v>0.1862</v>
      </c>
      <c r="D8" s="8">
        <f>$H8*$F8</f>
        <v>1.9964966292134829</v>
      </c>
      <c r="E8" s="58">
        <f>0.445*$E9</f>
        <v>8.1041954082157933E-2</v>
      </c>
      <c r="F8" s="58">
        <f t="shared" si="0"/>
        <v>0.86895804591784198</v>
      </c>
      <c r="G8" s="15" t="s">
        <v>349</v>
      </c>
      <c r="H8" s="8">
        <f>$C8/$E8</f>
        <v>2.2975753991720875</v>
      </c>
      <c r="I8" t="s">
        <v>79</v>
      </c>
      <c r="J8" s="37">
        <v>0.95</v>
      </c>
      <c r="K8" s="9" t="s">
        <v>15</v>
      </c>
      <c r="L8" s="2"/>
      <c r="M8" s="2"/>
      <c r="N8" s="2"/>
      <c r="O8" s="2"/>
      <c r="P8" s="2"/>
      <c r="Q8" s="2"/>
    </row>
    <row r="9" spans="1:17" x14ac:dyDescent="0.3">
      <c r="B9" s="32" t="s">
        <v>66</v>
      </c>
      <c r="C9" s="34">
        <v>1.8620000000000001</v>
      </c>
      <c r="D9" s="34">
        <v>7.851</v>
      </c>
      <c r="E9" s="51">
        <f>$C9/$H9</f>
        <v>0.18211675074642231</v>
      </c>
      <c r="F9" s="51">
        <f t="shared" si="0"/>
        <v>0.76788324925357765</v>
      </c>
      <c r="G9" s="33" t="s">
        <v>350</v>
      </c>
      <c r="H9" s="34">
        <f>($C9+$D9)/$J9</f>
        <v>10.22421052631579</v>
      </c>
      <c r="I9" s="18"/>
      <c r="J9" s="36">
        <v>0.95</v>
      </c>
      <c r="K9" s="18" t="s">
        <v>16</v>
      </c>
      <c r="L9" s="34"/>
      <c r="M9" s="34"/>
      <c r="N9" s="34"/>
      <c r="O9" s="34"/>
      <c r="P9" s="34"/>
      <c r="Q9" s="34"/>
    </row>
    <row r="10" spans="1:17" x14ac:dyDescent="0.3">
      <c r="C10" s="4"/>
      <c r="D10" s="4"/>
      <c r="O10" s="9"/>
    </row>
    <row r="11" spans="1:17" x14ac:dyDescent="0.3">
      <c r="B11" t="s">
        <v>1</v>
      </c>
      <c r="C11" t="s">
        <v>4</v>
      </c>
      <c r="I11" s="2"/>
      <c r="J11" t="s">
        <v>79</v>
      </c>
      <c r="K11" t="s">
        <v>78</v>
      </c>
      <c r="O11" s="9"/>
    </row>
    <row r="12" spans="1:17" x14ac:dyDescent="0.3">
      <c r="A12" t="s">
        <v>39</v>
      </c>
      <c r="B12" t="s">
        <v>72</v>
      </c>
      <c r="C12" s="4" t="s">
        <v>69</v>
      </c>
      <c r="D12" s="4"/>
      <c r="E12" s="4"/>
      <c r="F12" s="4"/>
      <c r="O12" s="9"/>
    </row>
    <row r="13" spans="1:17" x14ac:dyDescent="0.3">
      <c r="A13" t="s">
        <v>41</v>
      </c>
      <c r="B13" t="s">
        <v>71</v>
      </c>
      <c r="C13" s="4" t="s">
        <v>70</v>
      </c>
      <c r="D13" s="4"/>
      <c r="O13" s="9"/>
    </row>
    <row r="14" spans="1:17" x14ac:dyDescent="0.3">
      <c r="A14" t="s">
        <v>42</v>
      </c>
      <c r="B14" t="s">
        <v>74</v>
      </c>
      <c r="C14" s="4" t="s">
        <v>73</v>
      </c>
      <c r="D14" s="4"/>
      <c r="O14" s="9"/>
    </row>
    <row r="15" spans="1:17" x14ac:dyDescent="0.3">
      <c r="A15" t="s">
        <v>352</v>
      </c>
      <c r="B15" t="s">
        <v>353</v>
      </c>
      <c r="D15" s="4"/>
      <c r="E15" s="9"/>
      <c r="O15" s="9"/>
    </row>
    <row r="16" spans="1:17" x14ac:dyDescent="0.3">
      <c r="C16" s="4"/>
      <c r="D16" s="4"/>
      <c r="E16" s="9"/>
      <c r="O16" s="9"/>
    </row>
    <row r="17" spans="2:14" x14ac:dyDescent="0.3">
      <c r="E17" s="28" t="s">
        <v>55</v>
      </c>
      <c r="F17" s="10" t="s">
        <v>18</v>
      </c>
      <c r="G17" s="28" t="s">
        <v>55</v>
      </c>
      <c r="H17" s="10" t="s">
        <v>18</v>
      </c>
      <c r="I17" s="28" t="s">
        <v>55</v>
      </c>
      <c r="J17" s="10" t="s">
        <v>18</v>
      </c>
      <c r="K17" s="10"/>
      <c r="L17" s="10"/>
      <c r="M17" s="10"/>
      <c r="N17" s="9"/>
    </row>
    <row r="18" spans="2:14" x14ac:dyDescent="0.3">
      <c r="B18" s="2" t="s">
        <v>13</v>
      </c>
      <c r="C18" s="2" t="s">
        <v>54</v>
      </c>
      <c r="D18" s="2" t="s">
        <v>25</v>
      </c>
      <c r="E18" s="2" t="s">
        <v>56</v>
      </c>
      <c r="F18" s="2" t="s">
        <v>17</v>
      </c>
      <c r="G18" s="2" t="s">
        <v>57</v>
      </c>
      <c r="H18" s="2" t="s">
        <v>22</v>
      </c>
      <c r="I18" s="2" t="s">
        <v>23</v>
      </c>
      <c r="J18" s="2" t="s">
        <v>23</v>
      </c>
      <c r="L18" s="2"/>
      <c r="M18" s="2"/>
      <c r="N18" s="9"/>
    </row>
    <row r="19" spans="2:14" x14ac:dyDescent="0.3">
      <c r="B19" s="9" t="s">
        <v>15</v>
      </c>
      <c r="C19" s="8">
        <f>$C3</f>
        <v>0.96399999999999997</v>
      </c>
      <c r="D19" s="8">
        <f t="shared" ref="D19:D26" si="1">$H2</f>
        <v>1.2078060319337669</v>
      </c>
      <c r="E19" s="8">
        <f t="shared" ref="E19:E26" si="2">$D19*$E2</f>
        <v>9.64E-2</v>
      </c>
      <c r="F19" s="8">
        <f t="shared" ref="F19:F26" si="3">$D19*$F2</f>
        <v>1.0510157303370786</v>
      </c>
      <c r="G19" s="9">
        <f t="shared" ref="G19:G26" si="4">$B$29*$D19+$C$29*$C19+$D$29</f>
        <v>9.9889289787851165E-2</v>
      </c>
      <c r="H19" s="9">
        <f t="shared" ref="H19:H26" si="5">$F$29*$D19+$G$29*$C19+$H$29</f>
        <v>1.0475264405492273</v>
      </c>
      <c r="I19" s="29">
        <f>($E19-$G19)/$E19</f>
        <v>-3.6195952156132423E-2</v>
      </c>
      <c r="J19" s="29">
        <f>($F19-$H19)/$F19</f>
        <v>3.3199215645728459E-3</v>
      </c>
      <c r="N19" s="9"/>
    </row>
    <row r="20" spans="2:14" x14ac:dyDescent="0.3">
      <c r="B20" s="18" t="s">
        <v>16</v>
      </c>
      <c r="C20" s="34">
        <f>$C3</f>
        <v>0.96399999999999997</v>
      </c>
      <c r="D20" s="34">
        <f t="shared" si="1"/>
        <v>5.3747368421052633</v>
      </c>
      <c r="E20" s="34">
        <f t="shared" si="2"/>
        <v>0.96399999999999997</v>
      </c>
      <c r="F20" s="34">
        <f t="shared" si="3"/>
        <v>4.1420000000000003</v>
      </c>
      <c r="G20" s="18">
        <f t="shared" si="4"/>
        <v>0.94424949183094675</v>
      </c>
      <c r="H20" s="18">
        <f t="shared" si="5"/>
        <v>4.1617505081690531</v>
      </c>
      <c r="I20" s="30">
        <f t="shared" ref="I20:I26" si="6">($E20-$G20)/$E20</f>
        <v>2.0488079013540682E-2</v>
      </c>
      <c r="J20" s="30">
        <f>($F20-$H20)/$F20</f>
        <v>-4.7683505961015858E-3</v>
      </c>
      <c r="N20" s="9"/>
    </row>
    <row r="21" spans="2:14" x14ac:dyDescent="0.3">
      <c r="B21" s="9" t="s">
        <v>15</v>
      </c>
      <c r="C21" s="8">
        <f>$C5</f>
        <v>1.236</v>
      </c>
      <c r="D21" s="8">
        <f t="shared" si="1"/>
        <v>1.5787108219988171</v>
      </c>
      <c r="E21" s="8">
        <f t="shared" si="2"/>
        <v>0.1236</v>
      </c>
      <c r="F21" s="8">
        <f t="shared" si="3"/>
        <v>1.3761752808988761</v>
      </c>
      <c r="G21" s="9">
        <f t="shared" si="4"/>
        <v>0.129028368003449</v>
      </c>
      <c r="H21" s="9">
        <f t="shared" si="5"/>
        <v>1.3707469128954268</v>
      </c>
      <c r="I21" s="29">
        <f t="shared" si="6"/>
        <v>-4.3918834979360791E-2</v>
      </c>
      <c r="J21" s="29">
        <f t="shared" ref="J21:J26" si="7">($F21-$H21)/$F21</f>
        <v>3.9445324144346001E-3</v>
      </c>
      <c r="N21" s="9"/>
    </row>
    <row r="22" spans="2:14" x14ac:dyDescent="0.3">
      <c r="B22" s="18" t="s">
        <v>16</v>
      </c>
      <c r="C22" s="34">
        <f>$C5</f>
        <v>1.236</v>
      </c>
      <c r="D22" s="34">
        <f t="shared" si="1"/>
        <v>7.0252631578947362</v>
      </c>
      <c r="E22" s="34">
        <f t="shared" si="2"/>
        <v>1.236</v>
      </c>
      <c r="F22" s="34">
        <f t="shared" si="3"/>
        <v>5.4379999999999988</v>
      </c>
      <c r="G22" s="18">
        <f t="shared" si="4"/>
        <v>1.2326828898278948</v>
      </c>
      <c r="H22" s="18">
        <f t="shared" si="5"/>
        <v>5.4413171101721041</v>
      </c>
      <c r="I22" s="30">
        <f t="shared" si="6"/>
        <v>2.683746093936271E-3</v>
      </c>
      <c r="J22" s="30">
        <f t="shared" si="7"/>
        <v>-6.0998715926907534E-4</v>
      </c>
      <c r="N22" s="9"/>
    </row>
    <row r="23" spans="2:14" x14ac:dyDescent="0.3">
      <c r="B23" s="9" t="s">
        <v>15</v>
      </c>
      <c r="C23" s="8">
        <f>$C7</f>
        <v>1.75</v>
      </c>
      <c r="D23" s="8">
        <f t="shared" si="1"/>
        <v>2.3536369012418685</v>
      </c>
      <c r="E23" s="8">
        <f t="shared" si="2"/>
        <v>0.17499999999999999</v>
      </c>
      <c r="F23" s="8">
        <f t="shared" si="3"/>
        <v>2.0609550561797749</v>
      </c>
      <c r="G23" s="9">
        <f t="shared" si="4"/>
        <v>0.1990926313871646</v>
      </c>
      <c r="H23" s="9">
        <f t="shared" si="5"/>
        <v>2.0368624247926097</v>
      </c>
      <c r="I23" s="29">
        <f t="shared" si="6"/>
        <v>-0.13767217935522635</v>
      </c>
      <c r="J23" s="29">
        <f t="shared" si="7"/>
        <v>1.169003240265888E-2</v>
      </c>
      <c r="N23" s="9"/>
    </row>
    <row r="24" spans="2:14" x14ac:dyDescent="0.3">
      <c r="B24" s="18" t="s">
        <v>16</v>
      </c>
      <c r="C24" s="34">
        <f>$C7</f>
        <v>1.75</v>
      </c>
      <c r="D24" s="34">
        <f t="shared" si="1"/>
        <v>10.473684210526315</v>
      </c>
      <c r="E24" s="34">
        <f t="shared" si="2"/>
        <v>1.75</v>
      </c>
      <c r="F24" s="34">
        <f t="shared" si="3"/>
        <v>8.1999999999999993</v>
      </c>
      <c r="G24" s="18">
        <f t="shared" si="4"/>
        <v>1.8444870713262171</v>
      </c>
      <c r="H24" s="18">
        <f t="shared" si="5"/>
        <v>8.1055129286737806</v>
      </c>
      <c r="I24" s="30">
        <f t="shared" si="6"/>
        <v>-5.3992612186409793E-2</v>
      </c>
      <c r="J24" s="30">
        <f t="shared" si="7"/>
        <v>1.1522813576368135E-2</v>
      </c>
      <c r="N24" s="9"/>
    </row>
    <row r="25" spans="2:14" x14ac:dyDescent="0.3">
      <c r="B25" s="9" t="s">
        <v>15</v>
      </c>
      <c r="C25" s="8">
        <f>$C9</f>
        <v>1.8620000000000001</v>
      </c>
      <c r="D25" s="8">
        <f t="shared" si="1"/>
        <v>2.2975753991720875</v>
      </c>
      <c r="E25" s="8">
        <f t="shared" si="2"/>
        <v>0.1862</v>
      </c>
      <c r="F25" s="8">
        <f t="shared" si="3"/>
        <v>1.9964966292134829</v>
      </c>
      <c r="G25" s="9">
        <f t="shared" si="4"/>
        <v>0.16878381258014752</v>
      </c>
      <c r="H25" s="9">
        <f t="shared" si="5"/>
        <v>2.0139128166333347</v>
      </c>
      <c r="I25" s="29">
        <f t="shared" si="6"/>
        <v>9.3534841137768443E-2</v>
      </c>
      <c r="J25" s="29">
        <f t="shared" si="7"/>
        <v>-8.7233743172974044E-3</v>
      </c>
      <c r="N25" s="9"/>
    </row>
    <row r="26" spans="2:14" x14ac:dyDescent="0.3">
      <c r="B26" s="18" t="s">
        <v>16</v>
      </c>
      <c r="C26" s="34">
        <f>$C9</f>
        <v>1.8620000000000001</v>
      </c>
      <c r="D26" s="34">
        <f t="shared" si="1"/>
        <v>10.22421052631579</v>
      </c>
      <c r="E26" s="34">
        <f t="shared" si="2"/>
        <v>1.8620000000000001</v>
      </c>
      <c r="F26" s="34">
        <f t="shared" si="3"/>
        <v>7.851</v>
      </c>
      <c r="G26" s="18">
        <f t="shared" si="4"/>
        <v>1.7749864452563302</v>
      </c>
      <c r="H26" s="18">
        <f t="shared" si="5"/>
        <v>7.9380135547436694</v>
      </c>
      <c r="I26" s="30">
        <f t="shared" si="6"/>
        <v>4.6731232407985976E-2</v>
      </c>
      <c r="J26" s="30">
        <f t="shared" si="7"/>
        <v>-1.1083117404619723E-2</v>
      </c>
      <c r="N26" s="9"/>
    </row>
    <row r="27" spans="2:14" x14ac:dyDescent="0.3">
      <c r="B27" s="9"/>
      <c r="C27" s="9"/>
      <c r="D27" s="9"/>
      <c r="E27" s="9"/>
      <c r="F27" s="9"/>
      <c r="G27" s="9"/>
      <c r="H27" s="9"/>
    </row>
    <row r="28" spans="2:14" x14ac:dyDescent="0.3">
      <c r="B28" s="28" t="s">
        <v>58</v>
      </c>
      <c r="C28" s="28" t="s">
        <v>59</v>
      </c>
      <c r="D28" s="28" t="s">
        <v>60</v>
      </c>
      <c r="F28" s="10" t="s">
        <v>61</v>
      </c>
      <c r="G28" s="10" t="s">
        <v>62</v>
      </c>
      <c r="H28" s="10" t="s">
        <v>63</v>
      </c>
    </row>
    <row r="29" spans="2:14" x14ac:dyDescent="0.3">
      <c r="B29" cm="1">
        <f t="array" ref="B29:D29">LINEST(E19:E26,C19:D26)</f>
        <v>0.20263360264634314</v>
      </c>
      <c r="C29">
        <v>-0.16918638100760608</v>
      </c>
      <c r="D29">
        <v>1.8242873530460058E-2</v>
      </c>
      <c r="F29" cm="1">
        <f t="array" ref="F29:H29">LINEST(F19:F26,C19:D26)</f>
        <v>0.74736639735365684</v>
      </c>
      <c r="G29">
        <v>0.16918638100760525</v>
      </c>
      <c r="H29">
        <v>-1.8242873530459391E-2</v>
      </c>
    </row>
    <row r="30" spans="2:14" x14ac:dyDescent="0.3">
      <c r="B30" s="67">
        <v>0.20263360264634314</v>
      </c>
      <c r="C30" s="67">
        <v>-0.16918638100760608</v>
      </c>
      <c r="D30" s="66">
        <v>1.8242873530460058E-2</v>
      </c>
      <c r="E30" s="67"/>
      <c r="F30" s="67">
        <v>0.74736639735365684</v>
      </c>
      <c r="G30" s="67">
        <v>0.16918638100760525</v>
      </c>
      <c r="H30" s="66">
        <v>-1.8242873530459391E-2</v>
      </c>
    </row>
    <row r="32" spans="2:14" x14ac:dyDescent="0.3">
      <c r="B32" s="2" t="s">
        <v>416</v>
      </c>
      <c r="C32" s="57">
        <v>0.1</v>
      </c>
    </row>
    <row r="33" spans="2:8" x14ac:dyDescent="0.3">
      <c r="B33" s="2" t="s">
        <v>415</v>
      </c>
      <c r="C33" s="57">
        <v>1</v>
      </c>
    </row>
    <row r="35" spans="2:8" x14ac:dyDescent="0.3">
      <c r="B35" t="s">
        <v>417</v>
      </c>
    </row>
    <row r="37" spans="2:8" x14ac:dyDescent="0.3">
      <c r="B37" s="2" t="s">
        <v>378</v>
      </c>
      <c r="C37" s="2" t="s">
        <v>406</v>
      </c>
      <c r="D37" s="2" t="s">
        <v>379</v>
      </c>
      <c r="F37" s="2" t="s">
        <v>380</v>
      </c>
      <c r="G37" s="2" t="s">
        <v>407</v>
      </c>
      <c r="H37" s="2" t="s">
        <v>381</v>
      </c>
    </row>
    <row r="38" spans="2:8" x14ac:dyDescent="0.3">
      <c r="B38">
        <f>C32</f>
        <v>0.1</v>
      </c>
      <c r="C38" s="67">
        <f>B30*C32+C30</f>
        <v>-0.14892302074297176</v>
      </c>
      <c r="D38" s="67">
        <f>F30*C32+G30</f>
        <v>0.24392302074297095</v>
      </c>
      <c r="F38">
        <f>C33</f>
        <v>1</v>
      </c>
      <c r="G38" s="67">
        <f>B30*C33+C30</f>
        <v>3.3447221638737062E-2</v>
      </c>
      <c r="H38" s="67">
        <f>F30*C33+G30</f>
        <v>0.91655277836126214</v>
      </c>
    </row>
    <row r="61" spans="2:2" x14ac:dyDescent="0.3">
      <c r="B61" t="s">
        <v>67</v>
      </c>
    </row>
    <row r="62" spans="2:2" x14ac:dyDescent="0.3">
      <c r="B62" s="4" t="s">
        <v>69</v>
      </c>
    </row>
    <row r="63" spans="2:2" x14ac:dyDescent="0.3">
      <c r="B63" s="4" t="s">
        <v>68</v>
      </c>
    </row>
    <row r="73" spans="2:2" x14ac:dyDescent="0.3">
      <c r="B73" s="4"/>
    </row>
  </sheetData>
  <hyperlinks>
    <hyperlink ref="B62" r:id="rId1" xr:uid="{2DCF1984-12A9-489D-8E87-E47EA339C2DF}"/>
    <hyperlink ref="B63" r:id="rId2" xr:uid="{9EB9F59B-B9B1-41E1-A345-963AB4A13F2F}"/>
    <hyperlink ref="C13" r:id="rId3" xr:uid="{D80796FE-DD12-44B6-A8B8-D0273D7729AC}"/>
    <hyperlink ref="C12" r:id="rId4" xr:uid="{0510772F-15D7-4152-87FE-0A0E154C1D62}"/>
    <hyperlink ref="C14" r:id="rId5" xr:uid="{262396A6-2E4B-4071-B1EB-B1C4BC86D574}"/>
  </hyperlinks>
  <pageMargins left="0.7" right="0.7" top="0.75" bottom="0.75" header="0.3" footer="0.3"/>
  <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2AC7-A48F-41C6-B3B9-2F5E95831FCD}">
  <sheetPr>
    <tabColor rgb="FF00B050"/>
  </sheetPr>
  <dimension ref="A1:Q69"/>
  <sheetViews>
    <sheetView topLeftCell="A10" zoomScaleNormal="100" workbookViewId="0">
      <selection activeCell="A42" sqref="A42"/>
    </sheetView>
  </sheetViews>
  <sheetFormatPr defaultRowHeight="14.4" x14ac:dyDescent="0.3"/>
  <cols>
    <col min="2" max="2" width="16.44140625" customWidth="1"/>
    <col min="3" max="3" width="15.33203125" customWidth="1"/>
    <col min="4" max="4" width="15.21875" customWidth="1"/>
    <col min="5" max="6" width="18.44140625" customWidth="1"/>
    <col min="7" max="7" width="19.77734375" customWidth="1"/>
    <col min="8" max="8" width="17.5546875" customWidth="1"/>
    <col min="9" max="9" width="17.33203125" customWidth="1"/>
    <col min="10" max="11" width="18.88671875" customWidth="1"/>
    <col min="12" max="12" width="8.5546875" customWidth="1"/>
    <col min="13" max="13" width="14.88671875" customWidth="1"/>
    <col min="14" max="14" width="6.77734375" customWidth="1"/>
    <col min="15" max="15" width="14.6640625" customWidth="1"/>
  </cols>
  <sheetData>
    <row r="1" spans="1:17" x14ac:dyDescent="0.3">
      <c r="B1" s="10" t="s">
        <v>64</v>
      </c>
      <c r="C1" s="3" t="s">
        <v>75</v>
      </c>
      <c r="D1" s="3" t="s">
        <v>76</v>
      </c>
      <c r="E1" s="2" t="s">
        <v>43</v>
      </c>
      <c r="F1" s="2" t="s">
        <v>44</v>
      </c>
      <c r="G1" s="5" t="s">
        <v>11</v>
      </c>
      <c r="H1" s="2" t="s">
        <v>81</v>
      </c>
      <c r="I1" s="2" t="s">
        <v>77</v>
      </c>
      <c r="J1" s="2" t="s">
        <v>80</v>
      </c>
    </row>
    <row r="2" spans="1:17" x14ac:dyDescent="0.3">
      <c r="B2" s="31" t="s">
        <v>65</v>
      </c>
      <c r="C2" s="35">
        <f>$C3/10</f>
        <v>0.2</v>
      </c>
      <c r="D2" s="8">
        <f>$H2*$F2</f>
        <v>2.4966292134831463</v>
      </c>
      <c r="E2" s="58">
        <f>0.445*$E3</f>
        <v>7.0458333333333331E-2</v>
      </c>
      <c r="F2" s="58">
        <f t="shared" ref="F2:F7" si="0">$J2-$E2</f>
        <v>0.87954166666666667</v>
      </c>
      <c r="G2" s="15" t="s">
        <v>349</v>
      </c>
      <c r="H2" s="8">
        <f>$C2/$E2</f>
        <v>2.8385570668243645</v>
      </c>
      <c r="I2" t="s">
        <v>79</v>
      </c>
      <c r="J2" s="37">
        <v>0.95</v>
      </c>
      <c r="K2" s="9" t="s">
        <v>15</v>
      </c>
      <c r="N2" s="9"/>
    </row>
    <row r="3" spans="1:17" x14ac:dyDescent="0.3">
      <c r="B3" s="32" t="s">
        <v>66</v>
      </c>
      <c r="C3" s="34">
        <v>2</v>
      </c>
      <c r="D3" s="34">
        <v>10</v>
      </c>
      <c r="E3" s="51">
        <f>$C3/$H3</f>
        <v>0.15833333333333333</v>
      </c>
      <c r="F3" s="51">
        <f t="shared" si="0"/>
        <v>0.79166666666666663</v>
      </c>
      <c r="G3" s="33" t="s">
        <v>350</v>
      </c>
      <c r="H3" s="34">
        <f>($C3+$D3)/$J3</f>
        <v>12.631578947368421</v>
      </c>
      <c r="I3" s="18"/>
      <c r="J3" s="36">
        <v>0.95</v>
      </c>
      <c r="K3" s="18" t="s">
        <v>16</v>
      </c>
      <c r="N3" s="9"/>
    </row>
    <row r="4" spans="1:17" x14ac:dyDescent="0.3">
      <c r="B4" s="31" t="s">
        <v>65</v>
      </c>
      <c r="C4" s="35">
        <f>$C5/10</f>
        <v>0.21000000000000002</v>
      </c>
      <c r="D4" s="8">
        <f>$H4*$F4</f>
        <v>2.475393258426966</v>
      </c>
      <c r="E4" s="58">
        <f>0.445*$E5</f>
        <v>7.4290794979079505E-2</v>
      </c>
      <c r="F4" s="58">
        <f t="shared" si="0"/>
        <v>0.87570920502092042</v>
      </c>
      <c r="G4" s="15" t="s">
        <v>349</v>
      </c>
      <c r="H4" s="8">
        <f>$C4/$E4</f>
        <v>2.8267297457125959</v>
      </c>
      <c r="I4" t="s">
        <v>79</v>
      </c>
      <c r="J4" s="37">
        <v>0.95</v>
      </c>
      <c r="K4" s="9" t="s">
        <v>15</v>
      </c>
      <c r="N4" s="9"/>
    </row>
    <row r="5" spans="1:17" x14ac:dyDescent="0.3">
      <c r="B5" s="32" t="s">
        <v>66</v>
      </c>
      <c r="C5" s="34">
        <v>2.1</v>
      </c>
      <c r="D5" s="34">
        <v>9.85</v>
      </c>
      <c r="E5" s="51">
        <f>$C5/$H5</f>
        <v>0.16694560669456068</v>
      </c>
      <c r="F5" s="51">
        <f t="shared" si="0"/>
        <v>0.78305439330543924</v>
      </c>
      <c r="G5" s="33" t="s">
        <v>351</v>
      </c>
      <c r="H5" s="34">
        <f>($C5+$D5)/$J5</f>
        <v>12.578947368421053</v>
      </c>
      <c r="I5" s="18"/>
      <c r="J5" s="36">
        <v>0.95</v>
      </c>
      <c r="K5" s="18" t="s">
        <v>16</v>
      </c>
      <c r="N5" s="9"/>
    </row>
    <row r="6" spans="1:17" x14ac:dyDescent="0.3">
      <c r="B6" s="31" t="s">
        <v>65</v>
      </c>
      <c r="C6" s="35">
        <f>$C7/10</f>
        <v>0.3</v>
      </c>
      <c r="D6" s="8">
        <f>$H6*$F6</f>
        <v>3.5831460674157305</v>
      </c>
      <c r="E6" s="58">
        <f>0.445*$E7</f>
        <v>7.3394097222222204E-2</v>
      </c>
      <c r="F6" s="58">
        <f t="shared" si="0"/>
        <v>0.87660590277777772</v>
      </c>
      <c r="G6" s="15" t="s">
        <v>349</v>
      </c>
      <c r="H6" s="8">
        <f>$C6/$E6</f>
        <v>4.0875221762270852</v>
      </c>
      <c r="I6" t="s">
        <v>79</v>
      </c>
      <c r="J6" s="37">
        <v>0.95</v>
      </c>
      <c r="K6" s="9" t="s">
        <v>15</v>
      </c>
      <c r="L6" s="2" t="s">
        <v>408</v>
      </c>
      <c r="M6" s="2" t="s">
        <v>379</v>
      </c>
      <c r="N6" s="2" t="s">
        <v>406</v>
      </c>
      <c r="O6" s="2" t="s">
        <v>409</v>
      </c>
      <c r="P6" s="2" t="s">
        <v>381</v>
      </c>
      <c r="Q6" s="2" t="s">
        <v>407</v>
      </c>
    </row>
    <row r="7" spans="1:17" x14ac:dyDescent="0.3">
      <c r="B7" s="32" t="s">
        <v>66</v>
      </c>
      <c r="C7" s="34">
        <v>3</v>
      </c>
      <c r="D7" s="34">
        <v>14.28</v>
      </c>
      <c r="E7" s="51">
        <f>$C7/$H7</f>
        <v>0.16493055555555552</v>
      </c>
      <c r="F7" s="51">
        <f t="shared" si="0"/>
        <v>0.78506944444444438</v>
      </c>
      <c r="G7" s="33" t="s">
        <v>350</v>
      </c>
      <c r="H7" s="34">
        <f>($C7+$D7)/$J7</f>
        <v>18.18947368421053</v>
      </c>
      <c r="I7" s="18"/>
      <c r="J7" s="36">
        <v>0.95</v>
      </c>
      <c r="K7" s="18" t="s">
        <v>16</v>
      </c>
      <c r="L7" s="34">
        <f>N7/E6</f>
        <v>13.625073920756952</v>
      </c>
      <c r="M7" s="34">
        <f>L7*F6</f>
        <v>11.943820224719103</v>
      </c>
      <c r="N7" s="34">
        <f>Q7*C6/C7</f>
        <v>1</v>
      </c>
      <c r="O7" s="34">
        <f>Q7/E7</f>
        <v>60.631578947368432</v>
      </c>
      <c r="P7" s="34">
        <f>O7*F7</f>
        <v>47.6</v>
      </c>
      <c r="Q7" s="34">
        <v>10</v>
      </c>
    </row>
    <row r="8" spans="1:17" x14ac:dyDescent="0.3">
      <c r="C8" s="4"/>
      <c r="D8" s="4"/>
      <c r="O8" s="9"/>
    </row>
    <row r="9" spans="1:17" x14ac:dyDescent="0.3">
      <c r="B9" t="s">
        <v>1</v>
      </c>
      <c r="C9" t="s">
        <v>4</v>
      </c>
      <c r="I9" s="2"/>
      <c r="J9" t="s">
        <v>79</v>
      </c>
      <c r="K9" t="s">
        <v>78</v>
      </c>
      <c r="O9" s="9"/>
    </row>
    <row r="10" spans="1:17" x14ac:dyDescent="0.3">
      <c r="A10" t="s">
        <v>39</v>
      </c>
      <c r="B10" t="s">
        <v>72</v>
      </c>
      <c r="C10" s="4" t="s">
        <v>69</v>
      </c>
      <c r="D10" s="4"/>
      <c r="E10" s="4"/>
      <c r="F10" s="4"/>
      <c r="O10" s="9"/>
    </row>
    <row r="11" spans="1:17" x14ac:dyDescent="0.3">
      <c r="A11" t="s">
        <v>41</v>
      </c>
      <c r="B11" t="s">
        <v>71</v>
      </c>
      <c r="C11" s="4" t="s">
        <v>70</v>
      </c>
      <c r="D11" s="4"/>
      <c r="O11" s="9"/>
    </row>
    <row r="12" spans="1:17" x14ac:dyDescent="0.3">
      <c r="A12" t="s">
        <v>42</v>
      </c>
      <c r="B12" t="s">
        <v>74</v>
      </c>
      <c r="C12" s="4" t="s">
        <v>73</v>
      </c>
      <c r="D12" s="4"/>
      <c r="O12" s="9"/>
    </row>
    <row r="13" spans="1:17" x14ac:dyDescent="0.3">
      <c r="A13" t="s">
        <v>352</v>
      </c>
      <c r="B13" t="s">
        <v>353</v>
      </c>
      <c r="D13" s="4"/>
      <c r="E13" s="9"/>
      <c r="O13" s="9"/>
    </row>
    <row r="14" spans="1:17" x14ac:dyDescent="0.3">
      <c r="C14" s="4"/>
      <c r="D14" s="4"/>
      <c r="E14" s="9"/>
      <c r="O14" s="9"/>
    </row>
    <row r="15" spans="1:17" x14ac:dyDescent="0.3">
      <c r="E15" s="28" t="s">
        <v>55</v>
      </c>
      <c r="F15" s="10" t="s">
        <v>18</v>
      </c>
      <c r="G15" s="28" t="s">
        <v>55</v>
      </c>
      <c r="H15" s="10" t="s">
        <v>18</v>
      </c>
      <c r="I15" s="28" t="s">
        <v>55</v>
      </c>
      <c r="J15" s="10" t="s">
        <v>18</v>
      </c>
      <c r="K15" s="10"/>
      <c r="L15" s="10"/>
      <c r="M15" s="10"/>
      <c r="N15" s="9"/>
    </row>
    <row r="16" spans="1:17" x14ac:dyDescent="0.3">
      <c r="B16" s="2" t="s">
        <v>13</v>
      </c>
      <c r="C16" s="2" t="s">
        <v>54</v>
      </c>
      <c r="D16" s="2" t="s">
        <v>25</v>
      </c>
      <c r="E16" s="2" t="s">
        <v>56</v>
      </c>
      <c r="F16" s="2" t="s">
        <v>17</v>
      </c>
      <c r="G16" s="2" t="s">
        <v>57</v>
      </c>
      <c r="H16" s="2" t="s">
        <v>22</v>
      </c>
      <c r="I16" s="2" t="s">
        <v>23</v>
      </c>
      <c r="J16" s="2" t="s">
        <v>23</v>
      </c>
      <c r="L16" s="2"/>
      <c r="M16" s="2"/>
      <c r="N16" s="9"/>
    </row>
    <row r="17" spans="2:10" x14ac:dyDescent="0.3">
      <c r="B17" s="9" t="s">
        <v>15</v>
      </c>
      <c r="C17" s="8">
        <f>$C3</f>
        <v>2</v>
      </c>
      <c r="D17" s="8">
        <f t="shared" ref="D17:D22" si="1">$H2</f>
        <v>2.8385570668243645</v>
      </c>
      <c r="E17" s="8">
        <f t="shared" ref="E17:E22" si="2">$D17*$E2</f>
        <v>0.2</v>
      </c>
      <c r="F17" s="8">
        <f t="shared" ref="F17:F22" si="3">$D17*$F2</f>
        <v>2.4966292134831463</v>
      </c>
      <c r="G17" s="9">
        <f t="shared" ref="G17:G22" si="4">$B$25*$D17+$C$25*$C17+$D$25</f>
        <v>0.20466396780804719</v>
      </c>
      <c r="H17" s="9">
        <f t="shared" ref="H17:H22" si="5">$F$25*$D17+$G$25*$C17+$H$25</f>
        <v>2.4919652456750994</v>
      </c>
      <c r="I17" s="29">
        <f t="shared" ref="I17:I22" si="6">($E17-$G17)/$E17</f>
        <v>-2.3319839040235879E-2</v>
      </c>
      <c r="J17" s="29">
        <f t="shared" ref="J17:J22" si="7">($F17-$H17)/$F17</f>
        <v>1.868105917714554E-3</v>
      </c>
    </row>
    <row r="18" spans="2:10" x14ac:dyDescent="0.3">
      <c r="B18" s="18" t="s">
        <v>16</v>
      </c>
      <c r="C18" s="34">
        <f>$C3</f>
        <v>2</v>
      </c>
      <c r="D18" s="34">
        <f t="shared" si="1"/>
        <v>12.631578947368421</v>
      </c>
      <c r="E18" s="34">
        <f t="shared" si="2"/>
        <v>2</v>
      </c>
      <c r="F18" s="34">
        <f t="shared" si="3"/>
        <v>10</v>
      </c>
      <c r="G18" s="18">
        <f t="shared" si="4"/>
        <v>2.0653472407203948</v>
      </c>
      <c r="H18" s="18">
        <f t="shared" si="5"/>
        <v>9.9346527592796043</v>
      </c>
      <c r="I18" s="30">
        <f t="shared" si="6"/>
        <v>-3.2673620360197386E-2</v>
      </c>
      <c r="J18" s="30">
        <f t="shared" si="7"/>
        <v>6.5347240720395657E-3</v>
      </c>
    </row>
    <row r="19" spans="2:10" x14ac:dyDescent="0.3">
      <c r="B19" s="9" t="s">
        <v>15</v>
      </c>
      <c r="C19" s="8">
        <f>$C5</f>
        <v>2.1</v>
      </c>
      <c r="D19" s="8">
        <f t="shared" si="1"/>
        <v>2.8267297457125959</v>
      </c>
      <c r="E19" s="8">
        <f t="shared" si="2"/>
        <v>0.21000000000000002</v>
      </c>
      <c r="F19" s="8">
        <f t="shared" si="3"/>
        <v>2.475393258426966</v>
      </c>
      <c r="G19" s="9">
        <f t="shared" si="4"/>
        <v>0.18963967117992542</v>
      </c>
      <c r="H19" s="9">
        <f t="shared" si="5"/>
        <v>2.4957535872470409</v>
      </c>
      <c r="I19" s="29">
        <f t="shared" si="6"/>
        <v>9.6953946762260004E-2</v>
      </c>
      <c r="J19" s="29">
        <f t="shared" si="7"/>
        <v>-8.2250885796680342E-3</v>
      </c>
    </row>
    <row r="20" spans="2:10" x14ac:dyDescent="0.3">
      <c r="B20" s="18" t="s">
        <v>16</v>
      </c>
      <c r="C20" s="34">
        <f>$C5</f>
        <v>2.1</v>
      </c>
      <c r="D20" s="34">
        <f t="shared" si="1"/>
        <v>12.578947368421053</v>
      </c>
      <c r="E20" s="34">
        <f t="shared" si="2"/>
        <v>2.1</v>
      </c>
      <c r="F20" s="34">
        <f t="shared" si="3"/>
        <v>9.85</v>
      </c>
      <c r="G20" s="18">
        <f t="shared" si="4"/>
        <v>2.0425700971218053</v>
      </c>
      <c r="H20" s="18">
        <f t="shared" si="5"/>
        <v>9.907429902878194</v>
      </c>
      <c r="I20" s="30">
        <f t="shared" si="6"/>
        <v>2.7347572799140393E-2</v>
      </c>
      <c r="J20" s="30">
        <f t="shared" si="7"/>
        <v>-5.8304469927100899E-3</v>
      </c>
    </row>
    <row r="21" spans="2:10" x14ac:dyDescent="0.3">
      <c r="B21" s="9" t="s">
        <v>15</v>
      </c>
      <c r="C21" s="8">
        <f>$C7</f>
        <v>3</v>
      </c>
      <c r="D21" s="8">
        <f t="shared" si="1"/>
        <v>4.0875221762270852</v>
      </c>
      <c r="E21" s="8">
        <f t="shared" si="2"/>
        <v>0.3</v>
      </c>
      <c r="F21" s="8">
        <f t="shared" si="3"/>
        <v>3.5831460674157305</v>
      </c>
      <c r="G21" s="9">
        <f t="shared" si="4"/>
        <v>0.31419755508802283</v>
      </c>
      <c r="H21" s="9">
        <f t="shared" si="5"/>
        <v>3.568948512327708</v>
      </c>
      <c r="I21" s="29">
        <f t="shared" si="6"/>
        <v>-4.7325183626742803E-2</v>
      </c>
      <c r="J21" s="29">
        <f t="shared" si="7"/>
        <v>3.9623154682784508E-3</v>
      </c>
    </row>
    <row r="22" spans="2:10" x14ac:dyDescent="0.3">
      <c r="B22" s="18" t="s">
        <v>16</v>
      </c>
      <c r="C22" s="34">
        <f>$C7</f>
        <v>3</v>
      </c>
      <c r="D22" s="34">
        <f t="shared" si="1"/>
        <v>18.18947368421053</v>
      </c>
      <c r="E22" s="34">
        <f t="shared" si="2"/>
        <v>3</v>
      </c>
      <c r="F22" s="34">
        <f t="shared" si="3"/>
        <v>14.280000000000001</v>
      </c>
      <c r="G22" s="18">
        <f t="shared" si="4"/>
        <v>2.9935814680818034</v>
      </c>
      <c r="H22" s="18">
        <f t="shared" si="5"/>
        <v>14.286418531918196</v>
      </c>
      <c r="I22" s="30">
        <f t="shared" si="6"/>
        <v>2.1395106393988783E-3</v>
      </c>
      <c r="J22" s="30">
        <f t="shared" si="7"/>
        <v>-4.4947702508367352E-4</v>
      </c>
    </row>
    <row r="23" spans="2:10" x14ac:dyDescent="0.3">
      <c r="B23" s="9"/>
      <c r="C23" s="9"/>
      <c r="D23" s="9"/>
      <c r="E23" s="9"/>
      <c r="F23" s="9"/>
      <c r="G23" s="9"/>
      <c r="H23" s="9"/>
    </row>
    <row r="24" spans="2:10" x14ac:dyDescent="0.3">
      <c r="B24" s="28" t="s">
        <v>58</v>
      </c>
      <c r="C24" s="28" t="s">
        <v>59</v>
      </c>
      <c r="D24" s="28" t="s">
        <v>60</v>
      </c>
      <c r="F24" s="10" t="s">
        <v>61</v>
      </c>
      <c r="G24" s="10" t="s">
        <v>62</v>
      </c>
      <c r="H24" s="10" t="s">
        <v>63</v>
      </c>
    </row>
    <row r="25" spans="2:10" x14ac:dyDescent="0.3">
      <c r="B25" cm="1">
        <f t="array" ref="B25:D25">LINEST(E17:E22,C17:D22)</f>
        <v>0.19000093082697944</v>
      </c>
      <c r="C25">
        <v>-0.1277709460769616</v>
      </c>
      <c r="D25">
        <v>-7.9122624940159314E-2</v>
      </c>
      <c r="F25" cm="1">
        <f t="array" ref="F25:H25">LINEST(F17:F22,C17:D22)</f>
        <v>0.7599990691730204</v>
      </c>
      <c r="G25">
        <v>0.12777094607696157</v>
      </c>
      <c r="H25">
        <v>7.912262494015998E-2</v>
      </c>
    </row>
    <row r="26" spans="2:10" x14ac:dyDescent="0.3">
      <c r="B26" s="67">
        <v>0.19000093082697944</v>
      </c>
      <c r="C26" s="67">
        <v>-0.1277709460769616</v>
      </c>
      <c r="D26" s="66">
        <v>-7.9122624940159314E-2</v>
      </c>
      <c r="E26" s="67"/>
      <c r="F26" s="67">
        <v>0.7599990691730204</v>
      </c>
      <c r="G26" s="67">
        <v>0.12777094607696157</v>
      </c>
      <c r="H26" s="66">
        <v>7.912262494015998E-2</v>
      </c>
    </row>
    <row r="28" spans="2:10" x14ac:dyDescent="0.3">
      <c r="B28" s="2" t="s">
        <v>416</v>
      </c>
      <c r="C28" s="57">
        <v>0.1</v>
      </c>
    </row>
    <row r="29" spans="2:10" x14ac:dyDescent="0.3">
      <c r="B29" s="2" t="s">
        <v>415</v>
      </c>
      <c r="C29" s="57">
        <v>1</v>
      </c>
    </row>
    <row r="31" spans="2:10" x14ac:dyDescent="0.3">
      <c r="B31" t="s">
        <v>417</v>
      </c>
    </row>
    <row r="33" spans="2:8" x14ac:dyDescent="0.3">
      <c r="B33" s="2" t="s">
        <v>378</v>
      </c>
      <c r="C33" s="2" t="s">
        <v>406</v>
      </c>
      <c r="D33" s="2" t="s">
        <v>379</v>
      </c>
      <c r="F33" s="2" t="s">
        <v>380</v>
      </c>
      <c r="G33" s="2" t="s">
        <v>407</v>
      </c>
      <c r="H33" s="2" t="s">
        <v>381</v>
      </c>
    </row>
    <row r="34" spans="2:8" x14ac:dyDescent="0.3">
      <c r="B34">
        <f>C28</f>
        <v>0.1</v>
      </c>
      <c r="C34" s="67">
        <f>B26*C28+C26</f>
        <v>-0.10877085299426366</v>
      </c>
      <c r="D34" s="67">
        <f>F26*C28+G26</f>
        <v>0.20377085299426362</v>
      </c>
      <c r="F34">
        <f>C29</f>
        <v>1</v>
      </c>
      <c r="G34" s="67">
        <f>B26*C29+C26</f>
        <v>6.2229984750017842E-2</v>
      </c>
      <c r="H34" s="67">
        <f>F26*C29+G26</f>
        <v>0.887770015249982</v>
      </c>
    </row>
    <row r="57" spans="2:2" x14ac:dyDescent="0.3">
      <c r="B57" t="s">
        <v>67</v>
      </c>
    </row>
    <row r="58" spans="2:2" x14ac:dyDescent="0.3">
      <c r="B58" s="4" t="s">
        <v>69</v>
      </c>
    </row>
    <row r="59" spans="2:2" x14ac:dyDescent="0.3">
      <c r="B59" s="4" t="s">
        <v>68</v>
      </c>
    </row>
    <row r="69" spans="2:2" x14ac:dyDescent="0.3">
      <c r="B69" s="4"/>
    </row>
  </sheetData>
  <hyperlinks>
    <hyperlink ref="B58" r:id="rId1" xr:uid="{0E32FA8E-222F-4CC4-85CB-D302769B7053}"/>
    <hyperlink ref="B59" r:id="rId2" xr:uid="{C7D6E3C0-2601-49BF-AA8A-06D9CE979FA1}"/>
    <hyperlink ref="C11" r:id="rId3" xr:uid="{88273601-2F58-48A7-A971-2788A9AF6A0E}"/>
    <hyperlink ref="C10" r:id="rId4" xr:uid="{DBE02AEE-3AC8-4D36-9058-C9B3EBF42AE0}"/>
    <hyperlink ref="C12" r:id="rId5" xr:uid="{106BFF2E-F9F0-41C5-A36B-9530B3E92092}"/>
  </hyperlinks>
  <pageMargins left="0.7" right="0.7" top="0.75" bottom="0.75" header="0.3" footer="0.3"/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B1EC-F616-46CA-8771-108475132292}">
  <sheetPr codeName="Sheet17">
    <tabColor theme="9" tint="0.59999389629810485"/>
  </sheetPr>
  <dimension ref="B2:F25"/>
  <sheetViews>
    <sheetView workbookViewId="0">
      <selection activeCell="H11" sqref="H11"/>
    </sheetView>
  </sheetViews>
  <sheetFormatPr defaultRowHeight="14.4" x14ac:dyDescent="0.3"/>
  <cols>
    <col min="2" max="2" width="14.88671875" customWidth="1"/>
    <col min="3" max="3" width="14.109375" customWidth="1"/>
  </cols>
  <sheetData>
    <row r="2" spans="2:6" x14ac:dyDescent="0.3">
      <c r="B2" t="s">
        <v>239</v>
      </c>
      <c r="C2" t="s">
        <v>240</v>
      </c>
    </row>
    <row r="3" spans="2:6" x14ac:dyDescent="0.3">
      <c r="B3" s="11">
        <v>0.1</v>
      </c>
      <c r="C3">
        <v>0.44500000000000001</v>
      </c>
    </row>
    <row r="4" spans="2:6" ht="13.8" customHeight="1" x14ac:dyDescent="0.3">
      <c r="B4" s="57">
        <v>0.2</v>
      </c>
      <c r="C4">
        <v>0.67500000000000004</v>
      </c>
    </row>
    <row r="5" spans="2:6" x14ac:dyDescent="0.3">
      <c r="B5" s="11">
        <v>0.3</v>
      </c>
      <c r="C5">
        <v>0.77800000000000002</v>
      </c>
    </row>
    <row r="6" spans="2:6" x14ac:dyDescent="0.3">
      <c r="B6" s="57">
        <v>0.4</v>
      </c>
      <c r="C6">
        <v>0.86199999999999999</v>
      </c>
    </row>
    <row r="7" spans="2:6" x14ac:dyDescent="0.3">
      <c r="B7" s="11">
        <v>0.5</v>
      </c>
      <c r="C7" s="8">
        <v>0.92</v>
      </c>
    </row>
    <row r="8" spans="2:6" x14ac:dyDescent="0.3">
      <c r="B8" s="57">
        <v>0.6</v>
      </c>
      <c r="C8" s="8">
        <v>0.96</v>
      </c>
    </row>
    <row r="9" spans="2:6" x14ac:dyDescent="0.3">
      <c r="B9" s="11">
        <v>0.7</v>
      </c>
      <c r="C9">
        <v>0.98199999999999998</v>
      </c>
    </row>
    <row r="10" spans="2:6" x14ac:dyDescent="0.3">
      <c r="B10" s="57">
        <v>0.8</v>
      </c>
      <c r="C10">
        <v>0.995</v>
      </c>
    </row>
    <row r="11" spans="2:6" x14ac:dyDescent="0.3">
      <c r="B11" s="11">
        <v>0.9</v>
      </c>
      <c r="C11">
        <v>0.998</v>
      </c>
    </row>
    <row r="12" spans="2:6" x14ac:dyDescent="0.3">
      <c r="B12" s="11">
        <v>1</v>
      </c>
      <c r="C12">
        <v>1</v>
      </c>
    </row>
    <row r="15" spans="2:6" x14ac:dyDescent="0.3">
      <c r="B15" s="10" t="s">
        <v>64</v>
      </c>
      <c r="C15" s="3" t="s">
        <v>75</v>
      </c>
      <c r="D15" s="2" t="s">
        <v>43</v>
      </c>
      <c r="E15" s="5" t="s">
        <v>11</v>
      </c>
      <c r="F15" s="2" t="s">
        <v>81</v>
      </c>
    </row>
    <row r="16" spans="2:6" x14ac:dyDescent="0.3">
      <c r="B16" s="31" t="s">
        <v>65</v>
      </c>
      <c r="C16" s="9">
        <f>$B3*$C$25</f>
        <v>0.30000000000000004</v>
      </c>
      <c r="D16" s="12">
        <f>$C3*$D$25</f>
        <v>7.3396008576612243E-2</v>
      </c>
      <c r="E16" s="15" t="s">
        <v>39</v>
      </c>
      <c r="F16" s="9">
        <f>$C16/$D16</f>
        <v>4.0874157303370788</v>
      </c>
    </row>
    <row r="17" spans="2:6" x14ac:dyDescent="0.3">
      <c r="B17" s="31" t="s">
        <v>65</v>
      </c>
      <c r="C17" s="9">
        <f t="shared" ref="C17:C24" si="0">$B4*$C$25</f>
        <v>0.60000000000000009</v>
      </c>
      <c r="D17" s="12">
        <f t="shared" ref="D17:D24" si="1">$C4*$D$25</f>
        <v>0.11133102424542306</v>
      </c>
      <c r="E17" s="15" t="s">
        <v>39</v>
      </c>
      <c r="F17" s="9">
        <f t="shared" ref="F17:F24" si="2">$C17/$D17</f>
        <v>5.389333333333334</v>
      </c>
    </row>
    <row r="18" spans="2:6" x14ac:dyDescent="0.3">
      <c r="B18" s="31" t="s">
        <v>65</v>
      </c>
      <c r="C18" s="9">
        <f t="shared" si="0"/>
        <v>0.89999999999999991</v>
      </c>
      <c r="D18" s="12">
        <f t="shared" si="1"/>
        <v>0.12831931387102094</v>
      </c>
      <c r="E18" s="15" t="s">
        <v>39</v>
      </c>
      <c r="F18" s="9">
        <f t="shared" si="2"/>
        <v>7.0137532133676093</v>
      </c>
    </row>
    <row r="19" spans="2:6" x14ac:dyDescent="0.3">
      <c r="B19" s="31" t="s">
        <v>65</v>
      </c>
      <c r="C19" s="9">
        <f t="shared" si="0"/>
        <v>1.2000000000000002</v>
      </c>
      <c r="D19" s="12">
        <f t="shared" si="1"/>
        <v>0.14217384133267358</v>
      </c>
      <c r="E19" s="15" t="s">
        <v>39</v>
      </c>
      <c r="F19" s="9">
        <f t="shared" si="2"/>
        <v>8.4403712296983784</v>
      </c>
    </row>
    <row r="20" spans="2:6" x14ac:dyDescent="0.3">
      <c r="B20" s="31" t="s">
        <v>65</v>
      </c>
      <c r="C20" s="9">
        <f t="shared" si="0"/>
        <v>1.5</v>
      </c>
      <c r="D20" s="12">
        <f t="shared" si="1"/>
        <v>0.15174006267524329</v>
      </c>
      <c r="E20" s="15" t="s">
        <v>39</v>
      </c>
      <c r="F20" s="9">
        <f t="shared" si="2"/>
        <v>9.8853260869565212</v>
      </c>
    </row>
    <row r="21" spans="2:6" x14ac:dyDescent="0.3">
      <c r="B21" s="31" t="s">
        <v>65</v>
      </c>
      <c r="C21" s="9">
        <f t="shared" si="0"/>
        <v>1.7999999999999998</v>
      </c>
      <c r="D21" s="12">
        <f t="shared" si="1"/>
        <v>0.15833745670460167</v>
      </c>
      <c r="E21" s="15" t="s">
        <v>39</v>
      </c>
      <c r="F21" s="9">
        <f t="shared" si="2"/>
        <v>11.368124999999999</v>
      </c>
    </row>
    <row r="22" spans="2:6" x14ac:dyDescent="0.3">
      <c r="B22" s="31" t="s">
        <v>65</v>
      </c>
      <c r="C22" s="9">
        <f t="shared" si="0"/>
        <v>2.0999999999999996</v>
      </c>
      <c r="D22" s="12">
        <f t="shared" si="1"/>
        <v>0.16196602342074878</v>
      </c>
      <c r="E22" s="15" t="s">
        <v>39</v>
      </c>
      <c r="F22" s="9">
        <f t="shared" si="2"/>
        <v>12.965682281059063</v>
      </c>
    </row>
    <row r="23" spans="2:6" x14ac:dyDescent="0.3">
      <c r="B23" s="31" t="s">
        <v>65</v>
      </c>
      <c r="C23" s="9">
        <f t="shared" si="0"/>
        <v>2.4000000000000004</v>
      </c>
      <c r="D23" s="12">
        <f t="shared" si="1"/>
        <v>0.16411017648029028</v>
      </c>
      <c r="E23" s="15" t="s">
        <v>39</v>
      </c>
      <c r="F23" s="9">
        <f t="shared" si="2"/>
        <v>14.624321608040203</v>
      </c>
    </row>
    <row r="24" spans="2:6" x14ac:dyDescent="0.3">
      <c r="B24" s="31" t="s">
        <v>65</v>
      </c>
      <c r="C24" s="9">
        <f t="shared" si="0"/>
        <v>2.7</v>
      </c>
      <c r="D24" s="12">
        <f t="shared" si="1"/>
        <v>0.16460498103249216</v>
      </c>
      <c r="E24" s="15" t="s">
        <v>39</v>
      </c>
      <c r="F24" s="9">
        <f t="shared" si="2"/>
        <v>16.402905811623249</v>
      </c>
    </row>
    <row r="25" spans="2:6" x14ac:dyDescent="0.3">
      <c r="B25" s="32" t="s">
        <v>66</v>
      </c>
      <c r="C25" s="26">
        <v>3</v>
      </c>
      <c r="D25" s="25">
        <f>$C25/$F25</f>
        <v>0.16493485073396008</v>
      </c>
      <c r="E25" s="33" t="s">
        <v>42</v>
      </c>
      <c r="F25" s="34">
        <v>18.189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6E92-C839-48E1-B09B-77BD5A64EEE2}">
  <sheetPr>
    <tabColor rgb="FF00B050"/>
  </sheetPr>
  <dimension ref="A1:P54"/>
  <sheetViews>
    <sheetView workbookViewId="0">
      <selection activeCell="J24" sqref="J24"/>
    </sheetView>
  </sheetViews>
  <sheetFormatPr defaultRowHeight="14.4" x14ac:dyDescent="0.3"/>
  <cols>
    <col min="2" max="2" width="14.44140625" customWidth="1"/>
    <col min="3" max="4" width="15.33203125" customWidth="1"/>
    <col min="5" max="6" width="18.44140625" customWidth="1"/>
    <col min="7" max="7" width="19.77734375" customWidth="1"/>
    <col min="8" max="10" width="23" customWidth="1"/>
    <col min="11" max="11" width="14.5546875" customWidth="1"/>
    <col min="12" max="12" width="14.6640625" customWidth="1"/>
  </cols>
  <sheetData>
    <row r="1" spans="1:16" x14ac:dyDescent="0.3">
      <c r="B1" s="10" t="s">
        <v>101</v>
      </c>
      <c r="C1" s="3" t="s">
        <v>49</v>
      </c>
      <c r="D1" s="3" t="s">
        <v>50</v>
      </c>
      <c r="E1" s="2" t="s">
        <v>43</v>
      </c>
      <c r="F1" s="2" t="s">
        <v>44</v>
      </c>
      <c r="G1" s="2" t="s">
        <v>116</v>
      </c>
      <c r="H1" s="5" t="s">
        <v>11</v>
      </c>
      <c r="I1" s="2" t="s">
        <v>24</v>
      </c>
    </row>
    <row r="2" spans="1:16" x14ac:dyDescent="0.3">
      <c r="B2" s="41" t="s">
        <v>102</v>
      </c>
      <c r="C2" s="7">
        <v>0.5</v>
      </c>
      <c r="D2" s="9">
        <f>$I2*$F2</f>
        <v>0.69544773502502477</v>
      </c>
      <c r="E2" s="12">
        <f>$E3*0.6604</f>
        <v>0.37642799999999998</v>
      </c>
      <c r="F2" s="12">
        <f>$G2-$E2</f>
        <v>0.52357200000000004</v>
      </c>
      <c r="G2" s="12">
        <v>0.9</v>
      </c>
      <c r="H2" s="6" t="s">
        <v>363</v>
      </c>
      <c r="I2" s="9">
        <f>$C2/$E2</f>
        <v>1.3282752611389164</v>
      </c>
      <c r="J2" s="9" t="s">
        <v>15</v>
      </c>
      <c r="K2" s="2" t="s">
        <v>378</v>
      </c>
      <c r="L2" s="2" t="s">
        <v>379</v>
      </c>
      <c r="M2" s="2" t="s">
        <v>406</v>
      </c>
      <c r="N2" s="2" t="s">
        <v>380</v>
      </c>
      <c r="O2" s="2" t="s">
        <v>381</v>
      </c>
      <c r="P2" s="2" t="s">
        <v>407</v>
      </c>
    </row>
    <row r="3" spans="1:16" x14ac:dyDescent="0.3">
      <c r="B3" s="42" t="s">
        <v>103</v>
      </c>
      <c r="C3" s="26">
        <v>1.5</v>
      </c>
      <c r="D3" s="18">
        <f>$I3*$F3</f>
        <v>0.8684210526315792</v>
      </c>
      <c r="E3" s="25">
        <v>0.56999999999999995</v>
      </c>
      <c r="F3" s="25">
        <f>$G3-$E3</f>
        <v>0.33000000000000007</v>
      </c>
      <c r="G3" s="25">
        <v>0.9</v>
      </c>
      <c r="H3" s="23" t="s">
        <v>363</v>
      </c>
      <c r="I3" s="18">
        <f>$C3/$E3</f>
        <v>2.6315789473684212</v>
      </c>
      <c r="J3" s="18" t="s">
        <v>16</v>
      </c>
      <c r="K3" s="34">
        <f>M3/E2</f>
        <v>1.3282752611389164</v>
      </c>
      <c r="L3" s="34">
        <f>K3*F2</f>
        <v>0.69544773502502477</v>
      </c>
      <c r="M3" s="34">
        <f>P3*C2/C3</f>
        <v>0.5</v>
      </c>
      <c r="N3" s="34">
        <f>P3/E3</f>
        <v>2.6315789473684212</v>
      </c>
      <c r="O3" s="34">
        <f>N3*F3</f>
        <v>0.8684210526315792</v>
      </c>
      <c r="P3" s="34">
        <v>1.5</v>
      </c>
    </row>
    <row r="4" spans="1:16" x14ac:dyDescent="0.3">
      <c r="B4" s="41" t="s">
        <v>102</v>
      </c>
      <c r="C4" s="7">
        <f>10%*$C5</f>
        <v>5</v>
      </c>
      <c r="D4" s="9">
        <f t="shared" ref="D4:D5" si="0">$I4*$F4</f>
        <v>28.332938276287098</v>
      </c>
      <c r="E4" s="12">
        <f>$E5*0.25472</f>
        <v>0.1350016</v>
      </c>
      <c r="F4" s="12">
        <f t="shared" ref="F4:F5" si="1">$G4-$E4</f>
        <v>0.76499840000000008</v>
      </c>
      <c r="G4" s="12">
        <v>0.9</v>
      </c>
      <c r="H4" s="6" t="s">
        <v>364</v>
      </c>
      <c r="I4" s="9">
        <f t="shared" ref="I4:I5" si="2">$C4/$E4</f>
        <v>37.03659808476344</v>
      </c>
      <c r="J4" s="9" t="s">
        <v>15</v>
      </c>
      <c r="K4" s="2" t="s">
        <v>378</v>
      </c>
      <c r="L4" s="2" t="s">
        <v>379</v>
      </c>
      <c r="M4" s="2" t="s">
        <v>406</v>
      </c>
      <c r="N4" s="2" t="s">
        <v>380</v>
      </c>
      <c r="O4" s="2" t="s">
        <v>381</v>
      </c>
      <c r="P4" s="2" t="s">
        <v>407</v>
      </c>
    </row>
    <row r="5" spans="1:16" x14ac:dyDescent="0.3">
      <c r="B5" s="42" t="s">
        <v>103</v>
      </c>
      <c r="C5" s="26">
        <v>50</v>
      </c>
      <c r="D5" s="18">
        <f t="shared" si="0"/>
        <v>34.905660377358494</v>
      </c>
      <c r="E5" s="25">
        <v>0.53</v>
      </c>
      <c r="F5" s="25">
        <f t="shared" si="1"/>
        <v>0.37</v>
      </c>
      <c r="G5" s="25">
        <v>0.9</v>
      </c>
      <c r="H5" s="23" t="s">
        <v>364</v>
      </c>
      <c r="I5" s="18">
        <f t="shared" si="2"/>
        <v>94.339622641509436</v>
      </c>
      <c r="J5" s="18" t="s">
        <v>16</v>
      </c>
      <c r="K5" s="18">
        <f>M5/E4</f>
        <v>37.03659808476344</v>
      </c>
      <c r="L5" s="18">
        <f>K5*F4</f>
        <v>28.332938276287098</v>
      </c>
      <c r="M5" s="18">
        <f>P5*C4/C5</f>
        <v>5</v>
      </c>
      <c r="N5" s="18">
        <f>P5/E5</f>
        <v>94.339622641509436</v>
      </c>
      <c r="O5" s="18">
        <f>N5*F5</f>
        <v>34.905660377358494</v>
      </c>
      <c r="P5" s="18">
        <v>50</v>
      </c>
    </row>
    <row r="6" spans="1:16" x14ac:dyDescent="0.3">
      <c r="C6" s="4"/>
      <c r="D6" s="4"/>
    </row>
    <row r="7" spans="1:16" x14ac:dyDescent="0.3">
      <c r="B7" t="s">
        <v>1</v>
      </c>
      <c r="C7" t="s">
        <v>4</v>
      </c>
      <c r="J7" s="9" t="s">
        <v>120</v>
      </c>
      <c r="L7" s="9"/>
    </row>
    <row r="8" spans="1:16" x14ac:dyDescent="0.3">
      <c r="A8" t="s">
        <v>106</v>
      </c>
      <c r="B8" t="s">
        <v>105</v>
      </c>
      <c r="C8" s="4" t="s">
        <v>104</v>
      </c>
      <c r="D8" s="4"/>
      <c r="E8" s="4"/>
      <c r="F8" s="4"/>
      <c r="J8" s="9"/>
      <c r="L8" s="9"/>
    </row>
    <row r="9" spans="1:16" x14ac:dyDescent="0.3">
      <c r="A9" t="s">
        <v>107</v>
      </c>
      <c r="B9" t="s">
        <v>108</v>
      </c>
      <c r="C9" s="4" t="s">
        <v>109</v>
      </c>
      <c r="D9" s="4"/>
      <c r="J9" s="9"/>
      <c r="L9" s="9"/>
    </row>
    <row r="10" spans="1:16" x14ac:dyDescent="0.3">
      <c r="A10" t="s">
        <v>111</v>
      </c>
      <c r="B10" t="s">
        <v>110</v>
      </c>
      <c r="C10" s="4" t="s">
        <v>112</v>
      </c>
      <c r="D10" s="4"/>
      <c r="E10" s="9"/>
      <c r="J10" s="9"/>
      <c r="L10" s="9"/>
    </row>
    <row r="11" spans="1:16" x14ac:dyDescent="0.3">
      <c r="A11" t="s">
        <v>113</v>
      </c>
      <c r="B11" t="s">
        <v>114</v>
      </c>
      <c r="C11" s="4" t="s">
        <v>115</v>
      </c>
      <c r="D11" s="4"/>
      <c r="E11" s="9"/>
      <c r="J11" s="9"/>
      <c r="L11" s="9"/>
    </row>
    <row r="12" spans="1:16" x14ac:dyDescent="0.3">
      <c r="A12" t="s">
        <v>117</v>
      </c>
      <c r="B12" t="s">
        <v>119</v>
      </c>
      <c r="C12" s="4" t="s">
        <v>118</v>
      </c>
      <c r="D12" s="4"/>
      <c r="E12" s="9"/>
      <c r="L12" s="9"/>
    </row>
    <row r="13" spans="1:16" x14ac:dyDescent="0.3">
      <c r="A13" t="s">
        <v>357</v>
      </c>
      <c r="B13" t="s">
        <v>360</v>
      </c>
      <c r="C13" s="4" t="s">
        <v>359</v>
      </c>
      <c r="D13" s="4"/>
      <c r="E13" s="9"/>
      <c r="L13" s="9"/>
    </row>
    <row r="14" spans="1:16" x14ac:dyDescent="0.3">
      <c r="A14" t="s">
        <v>358</v>
      </c>
      <c r="B14" t="s">
        <v>362</v>
      </c>
      <c r="C14" s="4" t="s">
        <v>361</v>
      </c>
      <c r="D14" s="4"/>
      <c r="E14" s="9"/>
      <c r="L14" s="9"/>
    </row>
    <row r="15" spans="1:16" x14ac:dyDescent="0.3">
      <c r="C15" s="4"/>
      <c r="D15" s="4"/>
      <c r="E15" s="9"/>
      <c r="L15" s="9"/>
    </row>
    <row r="16" spans="1:16" x14ac:dyDescent="0.3">
      <c r="E16" s="28" t="s">
        <v>55</v>
      </c>
      <c r="F16" s="10" t="s">
        <v>18</v>
      </c>
      <c r="G16" s="28" t="s">
        <v>55</v>
      </c>
      <c r="H16" s="10" t="s">
        <v>18</v>
      </c>
      <c r="I16" s="28" t="s">
        <v>55</v>
      </c>
      <c r="J16" s="10" t="s">
        <v>18</v>
      </c>
      <c r="K16" s="9"/>
      <c r="L16" s="9"/>
    </row>
    <row r="17" spans="2:12" x14ac:dyDescent="0.3">
      <c r="B17" s="2" t="s">
        <v>13</v>
      </c>
      <c r="C17" s="2" t="s">
        <v>54</v>
      </c>
      <c r="D17" s="2" t="s">
        <v>25</v>
      </c>
      <c r="E17" s="2" t="s">
        <v>56</v>
      </c>
      <c r="F17" s="2" t="s">
        <v>17</v>
      </c>
      <c r="G17" s="2" t="s">
        <v>57</v>
      </c>
      <c r="H17" s="2" t="s">
        <v>22</v>
      </c>
      <c r="I17" s="2" t="s">
        <v>23</v>
      </c>
      <c r="J17" s="2" t="s">
        <v>23</v>
      </c>
      <c r="K17" s="9"/>
      <c r="L17" s="9"/>
    </row>
    <row r="18" spans="2:12" x14ac:dyDescent="0.3">
      <c r="B18" s="9" t="s">
        <v>15</v>
      </c>
      <c r="C18" s="9">
        <f>$C3</f>
        <v>1.5</v>
      </c>
      <c r="D18" s="9">
        <f>$I2</f>
        <v>1.3282752611389164</v>
      </c>
      <c r="E18" s="9">
        <f>$D18*$E2</f>
        <v>0.5</v>
      </c>
      <c r="F18" s="9">
        <f>$D18*$F2</f>
        <v>0.69544773502502477</v>
      </c>
      <c r="G18" s="9">
        <f>$B$24*$D18+$C$24*$C18+$D$24</f>
        <v>0.48826461950518407</v>
      </c>
      <c r="H18" s="9">
        <f>$F$24*$D18+$G$24*$C18+$H$24</f>
        <v>0.70718311551984125</v>
      </c>
      <c r="I18" s="29">
        <f>($E18-$G18)/$E18</f>
        <v>2.3470760989631856E-2</v>
      </c>
      <c r="J18" s="29">
        <f>($F18-$H18)/$F18</f>
        <v>-1.6874568574724313E-2</v>
      </c>
      <c r="K18" s="9"/>
      <c r="L18" s="9"/>
    </row>
    <row r="19" spans="2:12" x14ac:dyDescent="0.3">
      <c r="B19" s="18" t="s">
        <v>16</v>
      </c>
      <c r="C19" s="18">
        <f>$C3</f>
        <v>1.5</v>
      </c>
      <c r="D19" s="18">
        <f>$I3</f>
        <v>2.6315789473684212</v>
      </c>
      <c r="E19" s="18">
        <f>$D19*$E3</f>
        <v>1.5</v>
      </c>
      <c r="F19" s="18">
        <f>$D19*$F3</f>
        <v>0.8684210526315792</v>
      </c>
      <c r="G19" s="18">
        <f>$B$24*$D19+$C$24*$C19+$D$24</f>
        <v>1.5117353804948113</v>
      </c>
      <c r="H19" s="18">
        <f>$F$24*$D19+$G$24*$C19+$H$24</f>
        <v>0.85668567213676883</v>
      </c>
      <c r="I19" s="30">
        <f t="shared" ref="I19:I21" si="3">($E19-$G19)/$E19</f>
        <v>-7.8235869965408433E-3</v>
      </c>
      <c r="J19" s="30">
        <f t="shared" ref="J19:J21" si="4">($F19-$H19)/$F19</f>
        <v>1.3513468448569521E-2</v>
      </c>
      <c r="K19" s="9"/>
      <c r="L19" s="9"/>
    </row>
    <row r="20" spans="2:12" x14ac:dyDescent="0.3">
      <c r="B20" s="9" t="s">
        <v>15</v>
      </c>
      <c r="C20" s="9">
        <f>$C5</f>
        <v>50</v>
      </c>
      <c r="D20" s="9">
        <f>$I4</f>
        <v>37.03659808476344</v>
      </c>
      <c r="E20" s="9">
        <f>$D20*$E4</f>
        <v>5</v>
      </c>
      <c r="F20" s="9">
        <f>$D20*$F4</f>
        <v>28.332938276287098</v>
      </c>
      <c r="G20" s="9">
        <f>$B$24*$D20+$C$24*$C20+$D$24</f>
        <v>5.0002669102508293</v>
      </c>
      <c r="H20" s="9">
        <f>$F$24*$D20+$G$24*$C20+$H$24</f>
        <v>28.332671366036262</v>
      </c>
      <c r="I20" s="29">
        <f t="shared" si="3"/>
        <v>-5.3382050165851072E-5</v>
      </c>
      <c r="J20" s="29">
        <f t="shared" si="4"/>
        <v>9.420493145949074E-6</v>
      </c>
      <c r="K20" s="9"/>
      <c r="L20" s="9"/>
    </row>
    <row r="21" spans="2:12" ht="13.2" customHeight="1" x14ac:dyDescent="0.3">
      <c r="B21" s="18" t="s">
        <v>16</v>
      </c>
      <c r="C21" s="18">
        <f>$C5</f>
        <v>50</v>
      </c>
      <c r="D21" s="18">
        <f>$I5</f>
        <v>94.339622641509436</v>
      </c>
      <c r="E21" s="18">
        <f>$D21*$E5</f>
        <v>50.000000000000007</v>
      </c>
      <c r="F21" s="18">
        <f>$D21*$F5</f>
        <v>34.905660377358494</v>
      </c>
      <c r="G21" s="18">
        <f>$B$24*$D21+$C$24*$C21+$D$24</f>
        <v>49.999733089749157</v>
      </c>
      <c r="H21" s="18">
        <f>$F$24*$D21+$G$24*$C21+$H$24</f>
        <v>34.905927287609337</v>
      </c>
      <c r="I21" s="30">
        <f t="shared" si="3"/>
        <v>5.3382050170114314E-6</v>
      </c>
      <c r="J21" s="30">
        <f t="shared" si="4"/>
        <v>-7.6466179971371386E-6</v>
      </c>
      <c r="K21" s="9"/>
      <c r="L21" s="9"/>
    </row>
    <row r="22" spans="2:12" x14ac:dyDescent="0.3">
      <c r="B22" s="9"/>
      <c r="C22" s="9"/>
      <c r="D22" s="9"/>
      <c r="E22" s="9"/>
      <c r="F22" s="9"/>
      <c r="G22" s="9"/>
      <c r="H22" s="9"/>
    </row>
    <row r="23" spans="2:12" x14ac:dyDescent="0.3">
      <c r="B23" s="28" t="s">
        <v>58</v>
      </c>
      <c r="C23" s="28" t="s">
        <v>59</v>
      </c>
      <c r="D23" s="28" t="s">
        <v>60</v>
      </c>
      <c r="F23" s="10" t="s">
        <v>61</v>
      </c>
      <c r="G23" s="10" t="s">
        <v>62</v>
      </c>
      <c r="H23" s="10" t="s">
        <v>63</v>
      </c>
    </row>
    <row r="24" spans="2:12" x14ac:dyDescent="0.3">
      <c r="B24" cm="1">
        <f t="array" ref="B24:D24">LINEST(E18:E21,C18:D21)</f>
        <v>0.78528954671382656</v>
      </c>
      <c r="C24">
        <v>-0.48514165676967924</v>
      </c>
      <c r="D24">
        <v>0.17289642692873386</v>
      </c>
      <c r="F24" cm="1">
        <f t="array" ref="F24:H24">LINEST(F18:F21,C18:D21)</f>
        <v>0.11471045328617363</v>
      </c>
      <c r="G24">
        <v>0.48514165676967896</v>
      </c>
      <c r="H24">
        <v>-0.17289642692873297</v>
      </c>
    </row>
    <row r="25" spans="2:12" x14ac:dyDescent="0.3">
      <c r="B25" s="67">
        <v>0.78528954671382656</v>
      </c>
      <c r="C25" s="67">
        <v>-0.48514165676967924</v>
      </c>
      <c r="D25" s="67">
        <v>0.17289642692873386</v>
      </c>
      <c r="E25" s="67"/>
      <c r="F25" s="67">
        <v>0.11471045328617363</v>
      </c>
      <c r="G25" s="67">
        <v>0.48514165676967896</v>
      </c>
      <c r="H25" s="67">
        <v>-0.17289642692873297</v>
      </c>
    </row>
    <row r="27" spans="2:12" x14ac:dyDescent="0.3">
      <c r="B27" s="2" t="s">
        <v>416</v>
      </c>
      <c r="C27" s="57">
        <v>0.1</v>
      </c>
    </row>
    <row r="28" spans="2:12" x14ac:dyDescent="0.3">
      <c r="B28" s="2" t="s">
        <v>415</v>
      </c>
      <c r="C28" s="57">
        <v>1</v>
      </c>
    </row>
    <row r="30" spans="2:12" x14ac:dyDescent="0.3">
      <c r="B30" t="s">
        <v>417</v>
      </c>
    </row>
    <row r="32" spans="2:12" x14ac:dyDescent="0.3">
      <c r="B32" s="2" t="s">
        <v>378</v>
      </c>
      <c r="C32" s="2" t="s">
        <v>406</v>
      </c>
      <c r="D32" s="2" t="s">
        <v>379</v>
      </c>
      <c r="F32" s="2" t="s">
        <v>380</v>
      </c>
      <c r="G32" s="2" t="s">
        <v>407</v>
      </c>
      <c r="H32" s="2" t="s">
        <v>381</v>
      </c>
    </row>
    <row r="33" spans="2:8" x14ac:dyDescent="0.3">
      <c r="B33">
        <f>C27</f>
        <v>0.1</v>
      </c>
      <c r="C33" s="66">
        <f>B25*C27+C25</f>
        <v>-0.40661270209829659</v>
      </c>
      <c r="D33" s="67">
        <f>F25*C27+G25</f>
        <v>0.49661270209829633</v>
      </c>
      <c r="F33">
        <f>C28</f>
        <v>1</v>
      </c>
      <c r="G33" s="67">
        <f>B25*C28+C25</f>
        <v>0.30014788994414732</v>
      </c>
      <c r="H33" s="67">
        <f>F25*C28+G25</f>
        <v>0.59985211005585259</v>
      </c>
    </row>
    <row r="54" spans="2:2" x14ac:dyDescent="0.3">
      <c r="B54" s="4" t="s">
        <v>104</v>
      </c>
    </row>
  </sheetData>
  <hyperlinks>
    <hyperlink ref="C9" r:id="rId1" xr:uid="{DB5BF437-5B6D-43AA-B56A-9EB23AE73438}"/>
    <hyperlink ref="C10" r:id="rId2" xr:uid="{5A3F9236-46DF-428A-8944-7E8FFF2BF60D}"/>
    <hyperlink ref="C11" r:id="rId3" xr:uid="{E8BBCD32-DF24-4C3F-8BD4-59513940994F}"/>
    <hyperlink ref="C12" r:id="rId4" xr:uid="{B4C6B3DD-4990-4D87-B4B4-E261FEB08DFB}"/>
    <hyperlink ref="C8" r:id="rId5" xr:uid="{56355A82-3F99-45C6-A27E-5FB8365F05DB}"/>
    <hyperlink ref="B54" r:id="rId6" xr:uid="{54A3DE00-E6EF-43A4-A051-DA267D67C039}"/>
    <hyperlink ref="C13" r:id="rId7" xr:uid="{B4AF0DCE-F1FF-499F-8C40-B6DFD9583F72}"/>
    <hyperlink ref="C14" r:id="rId8" xr:uid="{98018F8E-8FB1-4E5C-A910-609BCA114460}"/>
  </hyperlinks>
  <pageMargins left="0.7" right="0.7" top="0.75" bottom="0.75" header="0.3" footer="0.3"/>
  <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E607-929B-4A3D-84C7-51A1D3C8FC5D}">
  <sheetPr>
    <tabColor rgb="FF00B050"/>
  </sheetPr>
  <dimension ref="A1:P54"/>
  <sheetViews>
    <sheetView workbookViewId="0">
      <selection activeCell="G34" sqref="G34"/>
    </sheetView>
  </sheetViews>
  <sheetFormatPr defaultRowHeight="14.4" x14ac:dyDescent="0.3"/>
  <cols>
    <col min="2" max="2" width="14.44140625" customWidth="1"/>
    <col min="3" max="4" width="15.33203125" customWidth="1"/>
    <col min="5" max="6" width="18.44140625" customWidth="1"/>
    <col min="7" max="7" width="19.77734375" customWidth="1"/>
    <col min="8" max="10" width="23" customWidth="1"/>
    <col min="11" max="11" width="14.5546875" customWidth="1"/>
    <col min="12" max="12" width="14.6640625" customWidth="1"/>
  </cols>
  <sheetData>
    <row r="1" spans="1:16" x14ac:dyDescent="0.3">
      <c r="B1" s="10" t="s">
        <v>101</v>
      </c>
      <c r="C1" s="3" t="s">
        <v>49</v>
      </c>
      <c r="D1" s="3" t="s">
        <v>50</v>
      </c>
      <c r="E1" s="2" t="s">
        <v>43</v>
      </c>
      <c r="F1" s="2" t="s">
        <v>44</v>
      </c>
      <c r="G1" s="2" t="s">
        <v>116</v>
      </c>
      <c r="H1" s="5" t="s">
        <v>11</v>
      </c>
      <c r="I1" s="2" t="s">
        <v>24</v>
      </c>
    </row>
    <row r="2" spans="1:16" x14ac:dyDescent="0.3">
      <c r="B2" s="41" t="s">
        <v>102</v>
      </c>
      <c r="C2" s="7">
        <f>10%*$C3</f>
        <v>25</v>
      </c>
      <c r="D2" s="9">
        <f t="shared" ref="D2:D5" si="0">$I2*$F2</f>
        <v>135.60415714938327</v>
      </c>
      <c r="E2" s="12">
        <f>$E3*0.25472</f>
        <v>0.14009600000000003</v>
      </c>
      <c r="F2" s="12">
        <f t="shared" ref="F2:F5" si="1">$G2-$E2</f>
        <v>0.75990400000000002</v>
      </c>
      <c r="G2" s="12">
        <v>0.9</v>
      </c>
      <c r="H2" s="6" t="s">
        <v>364</v>
      </c>
      <c r="I2" s="9">
        <f t="shared" ref="I2:I5" si="2">$C2/$E2</f>
        <v>178.44906349931472</v>
      </c>
      <c r="J2" s="9" t="s">
        <v>15</v>
      </c>
    </row>
    <row r="3" spans="1:16" x14ac:dyDescent="0.3">
      <c r="B3" s="42" t="s">
        <v>103</v>
      </c>
      <c r="C3" s="26">
        <v>250</v>
      </c>
      <c r="D3" s="18">
        <f t="shared" si="0"/>
        <v>159.09090909090907</v>
      </c>
      <c r="E3" s="25">
        <v>0.55000000000000004</v>
      </c>
      <c r="F3" s="25">
        <f t="shared" si="1"/>
        <v>0.35</v>
      </c>
      <c r="G3" s="25">
        <v>0.9</v>
      </c>
      <c r="H3" s="23" t="s">
        <v>354</v>
      </c>
      <c r="I3" s="18">
        <f t="shared" si="2"/>
        <v>454.5454545454545</v>
      </c>
      <c r="J3" s="18" t="s">
        <v>16</v>
      </c>
    </row>
    <row r="4" spans="1:16" x14ac:dyDescent="0.3">
      <c r="B4" s="41" t="s">
        <v>102</v>
      </c>
      <c r="C4" s="7">
        <f>10%*$C5</f>
        <v>32.5</v>
      </c>
      <c r="D4" s="9">
        <f t="shared" si="0"/>
        <v>184.16409879586615</v>
      </c>
      <c r="E4" s="12">
        <f>$E5*0.25472</f>
        <v>0.1350016</v>
      </c>
      <c r="F4" s="12">
        <f t="shared" si="1"/>
        <v>0.76499840000000008</v>
      </c>
      <c r="G4" s="12">
        <v>0.9</v>
      </c>
      <c r="H4" s="6" t="s">
        <v>364</v>
      </c>
      <c r="I4" s="9">
        <f t="shared" si="2"/>
        <v>240.73788755096237</v>
      </c>
      <c r="J4" s="9" t="s">
        <v>15</v>
      </c>
      <c r="K4" s="2" t="s">
        <v>378</v>
      </c>
      <c r="L4" s="2" t="s">
        <v>379</v>
      </c>
      <c r="M4" s="2" t="s">
        <v>406</v>
      </c>
      <c r="N4" s="2" t="s">
        <v>380</v>
      </c>
      <c r="O4" s="2" t="s">
        <v>381</v>
      </c>
      <c r="P4" s="2" t="s">
        <v>407</v>
      </c>
    </row>
    <row r="5" spans="1:16" x14ac:dyDescent="0.3">
      <c r="B5" s="42" t="s">
        <v>103</v>
      </c>
      <c r="C5" s="26">
        <v>325</v>
      </c>
      <c r="D5" s="18">
        <f t="shared" si="0"/>
        <v>226.88679245283018</v>
      </c>
      <c r="E5" s="25">
        <v>0.53</v>
      </c>
      <c r="F5" s="25">
        <f t="shared" si="1"/>
        <v>0.37</v>
      </c>
      <c r="G5" s="25">
        <v>0.9</v>
      </c>
      <c r="H5" s="23" t="s">
        <v>354</v>
      </c>
      <c r="I5" s="18">
        <f t="shared" si="2"/>
        <v>613.20754716981128</v>
      </c>
      <c r="J5" s="18" t="s">
        <v>16</v>
      </c>
      <c r="K5" s="26">
        <f>M5/E4</f>
        <v>370.36598084763438</v>
      </c>
      <c r="L5" s="26">
        <f>K5*F4</f>
        <v>283.32938276287098</v>
      </c>
      <c r="M5" s="26">
        <f>P5*C4/C5</f>
        <v>50</v>
      </c>
      <c r="N5" s="26">
        <f>P5/E5</f>
        <v>943.39622641509425</v>
      </c>
      <c r="O5" s="26">
        <f>N5*F5</f>
        <v>349.05660377358487</v>
      </c>
      <c r="P5" s="26">
        <v>500</v>
      </c>
    </row>
    <row r="6" spans="1:16" x14ac:dyDescent="0.3">
      <c r="C6" s="4"/>
      <c r="D6" s="4"/>
    </row>
    <row r="7" spans="1:16" x14ac:dyDescent="0.3">
      <c r="B7" t="s">
        <v>1</v>
      </c>
      <c r="C7" t="s">
        <v>4</v>
      </c>
      <c r="J7" s="9" t="s">
        <v>120</v>
      </c>
      <c r="L7" s="9"/>
    </row>
    <row r="8" spans="1:16" x14ac:dyDescent="0.3">
      <c r="A8" t="s">
        <v>106</v>
      </c>
      <c r="B8" t="s">
        <v>105</v>
      </c>
      <c r="C8" s="4" t="s">
        <v>104</v>
      </c>
      <c r="D8" s="4"/>
      <c r="E8" s="4"/>
      <c r="F8" s="4"/>
      <c r="J8" s="9"/>
      <c r="L8" s="9"/>
    </row>
    <row r="9" spans="1:16" x14ac:dyDescent="0.3">
      <c r="A9" t="s">
        <v>107</v>
      </c>
      <c r="B9" t="s">
        <v>108</v>
      </c>
      <c r="C9" s="4" t="s">
        <v>109</v>
      </c>
      <c r="D9" s="4"/>
      <c r="J9" s="9"/>
      <c r="L9" s="9"/>
    </row>
    <row r="10" spans="1:16" x14ac:dyDescent="0.3">
      <c r="A10" t="s">
        <v>111</v>
      </c>
      <c r="B10" t="s">
        <v>110</v>
      </c>
      <c r="C10" s="4" t="s">
        <v>112</v>
      </c>
      <c r="D10" s="4"/>
      <c r="E10" s="9"/>
      <c r="J10" s="9"/>
      <c r="L10" s="9"/>
    </row>
    <row r="11" spans="1:16" x14ac:dyDescent="0.3">
      <c r="A11" t="s">
        <v>113</v>
      </c>
      <c r="B11" t="s">
        <v>114</v>
      </c>
      <c r="C11" s="4" t="s">
        <v>115</v>
      </c>
      <c r="D11" s="4"/>
      <c r="E11" s="9"/>
      <c r="J11" s="9"/>
      <c r="L11" s="9"/>
    </row>
    <row r="12" spans="1:16" x14ac:dyDescent="0.3">
      <c r="A12" t="s">
        <v>117</v>
      </c>
      <c r="B12" t="s">
        <v>119</v>
      </c>
      <c r="C12" s="4" t="s">
        <v>118</v>
      </c>
      <c r="D12" s="4"/>
      <c r="E12" s="9"/>
      <c r="L12" s="9"/>
    </row>
    <row r="13" spans="1:16" x14ac:dyDescent="0.3">
      <c r="A13" t="s">
        <v>357</v>
      </c>
      <c r="B13" t="s">
        <v>360</v>
      </c>
      <c r="C13" s="4" t="s">
        <v>359</v>
      </c>
      <c r="D13" s="4"/>
      <c r="E13" s="9"/>
      <c r="L13" s="9"/>
    </row>
    <row r="14" spans="1:16" x14ac:dyDescent="0.3">
      <c r="A14" t="s">
        <v>358</v>
      </c>
      <c r="B14" t="s">
        <v>362</v>
      </c>
      <c r="C14" s="4" t="s">
        <v>361</v>
      </c>
      <c r="D14" s="4"/>
      <c r="E14" s="9"/>
      <c r="L14" s="9"/>
    </row>
    <row r="15" spans="1:16" x14ac:dyDescent="0.3">
      <c r="C15" s="4"/>
      <c r="D15" s="4"/>
      <c r="E15" s="9"/>
      <c r="L15" s="9"/>
    </row>
    <row r="16" spans="1:16" x14ac:dyDescent="0.3">
      <c r="E16" s="28" t="s">
        <v>55</v>
      </c>
      <c r="F16" s="10" t="s">
        <v>18</v>
      </c>
      <c r="G16" s="28" t="s">
        <v>55</v>
      </c>
      <c r="H16" s="10" t="s">
        <v>18</v>
      </c>
      <c r="I16" s="28" t="s">
        <v>55</v>
      </c>
      <c r="J16" s="10" t="s">
        <v>18</v>
      </c>
      <c r="K16" s="9"/>
      <c r="L16" s="9"/>
    </row>
    <row r="17" spans="2:12" x14ac:dyDescent="0.3">
      <c r="B17" s="2" t="s">
        <v>13</v>
      </c>
      <c r="C17" s="2" t="s">
        <v>54</v>
      </c>
      <c r="D17" s="2" t="s">
        <v>25</v>
      </c>
      <c r="E17" s="2" t="s">
        <v>56</v>
      </c>
      <c r="F17" s="2" t="s">
        <v>17</v>
      </c>
      <c r="G17" s="2" t="s">
        <v>57</v>
      </c>
      <c r="H17" s="2" t="s">
        <v>22</v>
      </c>
      <c r="I17" s="2" t="s">
        <v>23</v>
      </c>
      <c r="J17" s="2" t="s">
        <v>23</v>
      </c>
      <c r="K17" s="9"/>
      <c r="L17" s="9"/>
    </row>
    <row r="18" spans="2:12" x14ac:dyDescent="0.3">
      <c r="B18" s="9" t="s">
        <v>15</v>
      </c>
      <c r="C18" s="9">
        <f>$C3</f>
        <v>250</v>
      </c>
      <c r="D18" s="9">
        <f>$I2</f>
        <v>178.44906349931472</v>
      </c>
      <c r="E18" s="9">
        <f>$D18*$E2</f>
        <v>25</v>
      </c>
      <c r="F18" s="9">
        <f>$D18*$F2</f>
        <v>135.60415714938327</v>
      </c>
      <c r="G18" s="9">
        <f>$B$24*$D18+$C$24*$C18+$D$24</f>
        <v>27.640208300457658</v>
      </c>
      <c r="H18" s="9">
        <f>$F$24*$D18+$G$24*$C18+$H$24</f>
        <v>132.96394884892567</v>
      </c>
      <c r="I18" s="29">
        <f t="shared" ref="I18:I21" si="3">($E18-$G18)/$E18</f>
        <v>-0.10560833201830633</v>
      </c>
      <c r="J18" s="29">
        <f t="shared" ref="J18:J21" si="4">($F18-$H18)/$F18</f>
        <v>1.9469965788357906E-2</v>
      </c>
      <c r="K18" s="9"/>
    </row>
    <row r="19" spans="2:12" x14ac:dyDescent="0.3">
      <c r="B19" s="18" t="s">
        <v>16</v>
      </c>
      <c r="C19" s="18">
        <f>$C3</f>
        <v>250</v>
      </c>
      <c r="D19" s="18">
        <f>$I3</f>
        <v>454.5454545454545</v>
      </c>
      <c r="E19" s="18">
        <f>$D19*$E3</f>
        <v>250</v>
      </c>
      <c r="F19" s="26">
        <f>$D19*$F3</f>
        <v>159.09090909090907</v>
      </c>
      <c r="G19" s="18">
        <f>$B$24*$D19+$C$24*$C19+$D$24</f>
        <v>247.35979169954246</v>
      </c>
      <c r="H19" s="18">
        <f>$F$24*$D19+$G$24*$C19+$H$24</f>
        <v>161.73111739136669</v>
      </c>
      <c r="I19" s="30">
        <f t="shared" si="3"/>
        <v>1.0560833201830178E-2</v>
      </c>
      <c r="J19" s="30">
        <f t="shared" si="4"/>
        <v>-1.659559503144796E-2</v>
      </c>
      <c r="K19" s="9"/>
    </row>
    <row r="20" spans="2:12" x14ac:dyDescent="0.3">
      <c r="B20" s="9" t="s">
        <v>15</v>
      </c>
      <c r="C20" s="9">
        <f>$C5</f>
        <v>325</v>
      </c>
      <c r="D20" s="9">
        <f>$I4</f>
        <v>240.73788755096237</v>
      </c>
      <c r="E20" s="9">
        <f>$D20*$E4</f>
        <v>32.5</v>
      </c>
      <c r="F20" s="9">
        <f>$D20*$F4</f>
        <v>184.16409879586615</v>
      </c>
      <c r="G20" s="9">
        <f>$B$24*$D20+$C$24*$C20+$D$24</f>
        <v>30.542922518541928</v>
      </c>
      <c r="H20" s="9">
        <f>$F$24*$D20+$G$24*$C20+$H$24</f>
        <v>186.12117627732425</v>
      </c>
      <c r="I20" s="29">
        <f t="shared" si="3"/>
        <v>6.0217768660248354E-2</v>
      </c>
      <c r="J20" s="29">
        <f t="shared" si="4"/>
        <v>-1.0626813229365579E-2</v>
      </c>
      <c r="K20" s="9"/>
    </row>
    <row r="21" spans="2:12" x14ac:dyDescent="0.3">
      <c r="B21" s="18" t="s">
        <v>16</v>
      </c>
      <c r="C21" s="18">
        <f>$C5</f>
        <v>325</v>
      </c>
      <c r="D21" s="18">
        <f>$I5</f>
        <v>613.20754716981128</v>
      </c>
      <c r="E21" s="18">
        <f>$D21*$E5</f>
        <v>325</v>
      </c>
      <c r="F21" s="26">
        <f>$D21*$F5</f>
        <v>226.88679245283018</v>
      </c>
      <c r="G21" s="18">
        <f>$B$24*$D21+$C$24*$C21+$D$24</f>
        <v>326.95707748145821</v>
      </c>
      <c r="H21" s="18">
        <f>$F$24*$D21+$G$24*$C21+$H$24</f>
        <v>224.92971497137211</v>
      </c>
      <c r="I21" s="30">
        <f t="shared" si="3"/>
        <v>-6.0217768660252727E-3</v>
      </c>
      <c r="J21" s="30">
        <f t="shared" si="4"/>
        <v>8.6257884837653061E-3</v>
      </c>
      <c r="K21" s="9"/>
    </row>
    <row r="22" spans="2:12" x14ac:dyDescent="0.3">
      <c r="B22" s="9"/>
      <c r="C22" s="9"/>
      <c r="D22" s="9"/>
      <c r="E22" s="9"/>
      <c r="F22" s="9"/>
      <c r="G22" s="9"/>
      <c r="H22" s="9"/>
    </row>
    <row r="23" spans="2:12" x14ac:dyDescent="0.3">
      <c r="B23" s="28" t="s">
        <v>58</v>
      </c>
      <c r="C23" s="28" t="s">
        <v>59</v>
      </c>
      <c r="D23" s="28" t="s">
        <v>60</v>
      </c>
      <c r="F23" s="10" t="s">
        <v>61</v>
      </c>
      <c r="G23" s="10" t="s">
        <v>62</v>
      </c>
      <c r="H23" s="10" t="s">
        <v>63</v>
      </c>
    </row>
    <row r="24" spans="2:12" x14ac:dyDescent="0.3">
      <c r="B24" cm="1">
        <f t="array" ref="B24:D24">LINEST(E18:E21,C18:D21)</f>
        <v>0.79580751695651974</v>
      </c>
      <c r="C24">
        <v>-0.62222933579465334</v>
      </c>
      <c r="D24">
        <v>41.186436122515033</v>
      </c>
      <c r="F24" cm="1">
        <f t="array" ref="F24:H24">LINEST(F18:F21,C18:D21)</f>
        <v>0.10419248304348036</v>
      </c>
      <c r="G24">
        <v>0.62222933579465312</v>
      </c>
      <c r="H24">
        <v>-41.186436122514934</v>
      </c>
    </row>
    <row r="25" spans="2:12" x14ac:dyDescent="0.3">
      <c r="B25" s="67">
        <v>0.79580751695651974</v>
      </c>
      <c r="C25" s="67">
        <v>-0.62222933579465334</v>
      </c>
      <c r="D25" s="8">
        <v>41.186436122515033</v>
      </c>
      <c r="E25" s="67"/>
      <c r="F25" s="67">
        <v>0.10419248304348036</v>
      </c>
      <c r="G25" s="67">
        <v>0.62222933579465312</v>
      </c>
      <c r="H25" s="8">
        <v>-41.186436122514934</v>
      </c>
    </row>
    <row r="27" spans="2:12" x14ac:dyDescent="0.3">
      <c r="B27" s="2" t="s">
        <v>416</v>
      </c>
      <c r="C27" s="57">
        <v>0.1</v>
      </c>
    </row>
    <row r="28" spans="2:12" x14ac:dyDescent="0.3">
      <c r="B28" s="2" t="s">
        <v>415</v>
      </c>
      <c r="C28" s="57">
        <v>1</v>
      </c>
    </row>
    <row r="30" spans="2:12" x14ac:dyDescent="0.3">
      <c r="B30" t="s">
        <v>417</v>
      </c>
    </row>
    <row r="32" spans="2:12" x14ac:dyDescent="0.3">
      <c r="B32" s="2" t="s">
        <v>378</v>
      </c>
      <c r="C32" s="2" t="s">
        <v>406</v>
      </c>
      <c r="D32" s="2" t="s">
        <v>379</v>
      </c>
      <c r="F32" s="2" t="s">
        <v>380</v>
      </c>
      <c r="G32" s="2" t="s">
        <v>407</v>
      </c>
      <c r="H32" s="2" t="s">
        <v>381</v>
      </c>
    </row>
    <row r="33" spans="2:8" x14ac:dyDescent="0.3">
      <c r="B33">
        <f>C27</f>
        <v>0.1</v>
      </c>
      <c r="C33" s="67">
        <f>B25*C27+C25</f>
        <v>-0.54264858409900141</v>
      </c>
      <c r="D33" s="67">
        <f>F25*C27+G25</f>
        <v>0.63264858409900115</v>
      </c>
      <c r="F33">
        <f>C28</f>
        <v>1</v>
      </c>
      <c r="G33" s="67">
        <f>B25*C28+C25</f>
        <v>0.17357818116186641</v>
      </c>
      <c r="H33" s="67">
        <f>F25*C28+G25</f>
        <v>0.7264218188381335</v>
      </c>
    </row>
    <row r="54" spans="2:2" x14ac:dyDescent="0.3">
      <c r="B54" s="4" t="s">
        <v>104</v>
      </c>
    </row>
  </sheetData>
  <hyperlinks>
    <hyperlink ref="C9" r:id="rId1" xr:uid="{222B3F6D-46B1-4551-AD6A-ECDEA2B001CA}"/>
    <hyperlink ref="C10" r:id="rId2" xr:uid="{1B0417F1-FFF7-47B1-BD30-16E2B58A87CD}"/>
    <hyperlink ref="C11" r:id="rId3" xr:uid="{F61B2D45-B197-4D01-9184-F26AC0E8915E}"/>
    <hyperlink ref="C12" r:id="rId4" xr:uid="{F2E8966A-C8B3-45FD-8AC3-56A2C986C142}"/>
    <hyperlink ref="C8" r:id="rId5" xr:uid="{EA53CCD1-1E49-4C45-8103-B4DCCF98FAF5}"/>
    <hyperlink ref="B54" r:id="rId6" xr:uid="{E55BD62D-4132-44B8-ADF6-47210A5E4615}"/>
    <hyperlink ref="C13" r:id="rId7" xr:uid="{F917FC4E-442A-482B-BEB3-6A69CD86C79C}"/>
    <hyperlink ref="C14" r:id="rId8" xr:uid="{C0FBEE6B-D794-4B0D-BE23-B909CCAE49CD}"/>
  </hyperlinks>
  <pageMargins left="0.7" right="0.7" top="0.75" bottom="0.75" header="0.3" footer="0.3"/>
  <drawing r:id="rId9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F932-5C1A-49A1-85D7-AA547B68AE49}">
  <sheetPr codeName="Sheet19">
    <tabColor theme="9" tint="0.59999389629810485"/>
  </sheetPr>
  <dimension ref="B2:F25"/>
  <sheetViews>
    <sheetView workbookViewId="0">
      <selection activeCell="F3" sqref="F3"/>
    </sheetView>
  </sheetViews>
  <sheetFormatPr defaultRowHeight="14.4" x14ac:dyDescent="0.3"/>
  <cols>
    <col min="2" max="2" width="16.33203125" customWidth="1"/>
    <col min="5" max="5" width="21" customWidth="1"/>
    <col min="9" max="9" width="20.21875" bestFit="1" customWidth="1"/>
  </cols>
  <sheetData>
    <row r="2" spans="2:6" x14ac:dyDescent="0.3">
      <c r="B2" t="s">
        <v>239</v>
      </c>
      <c r="C2" s="2" t="s">
        <v>355</v>
      </c>
      <c r="D2" s="3" t="s">
        <v>356</v>
      </c>
      <c r="E2" s="2" t="s">
        <v>276</v>
      </c>
    </row>
    <row r="3" spans="2:6" x14ac:dyDescent="0.3">
      <c r="B3" s="11">
        <v>0.1</v>
      </c>
      <c r="C3">
        <f t="shared" ref="C3:C6" si="0">50*$B3</f>
        <v>5</v>
      </c>
      <c r="D3" s="53">
        <v>0.13500000000000001</v>
      </c>
      <c r="E3">
        <f>$D3/$D$12</f>
        <v>0.25471698113207547</v>
      </c>
      <c r="F3">
        <v>0.25472</v>
      </c>
    </row>
    <row r="4" spans="2:6" x14ac:dyDescent="0.3">
      <c r="B4" s="57">
        <v>0.2</v>
      </c>
      <c r="C4">
        <f t="shared" si="0"/>
        <v>10</v>
      </c>
      <c r="D4" s="53">
        <v>0.25</v>
      </c>
      <c r="E4">
        <f t="shared" ref="E4:E12" si="1">$D4/$D$12</f>
        <v>0.47169811320754712</v>
      </c>
    </row>
    <row r="5" spans="2:6" x14ac:dyDescent="0.3">
      <c r="B5" s="11">
        <v>0.3</v>
      </c>
      <c r="C5">
        <f t="shared" si="0"/>
        <v>15</v>
      </c>
      <c r="D5" s="53">
        <v>0.35</v>
      </c>
      <c r="E5">
        <f t="shared" si="1"/>
        <v>0.660377358490566</v>
      </c>
    </row>
    <row r="6" spans="2:6" x14ac:dyDescent="0.3">
      <c r="B6" s="11">
        <v>0.4</v>
      </c>
      <c r="C6">
        <f t="shared" si="0"/>
        <v>20</v>
      </c>
      <c r="D6" s="53">
        <v>0.42499999999999999</v>
      </c>
      <c r="E6">
        <f t="shared" si="1"/>
        <v>0.80188679245283012</v>
      </c>
    </row>
    <row r="7" spans="2:6" x14ac:dyDescent="0.3">
      <c r="B7" s="11">
        <v>0.5</v>
      </c>
      <c r="C7">
        <f t="shared" ref="C7:C11" si="2">50*$B7</f>
        <v>25</v>
      </c>
      <c r="D7" s="53">
        <v>0.495</v>
      </c>
      <c r="E7">
        <f t="shared" si="1"/>
        <v>0.9339622641509433</v>
      </c>
    </row>
    <row r="8" spans="2:6" x14ac:dyDescent="0.3">
      <c r="B8" s="57">
        <v>0.6</v>
      </c>
      <c r="C8">
        <f t="shared" si="2"/>
        <v>30</v>
      </c>
      <c r="D8" s="53">
        <v>0.53500000000000003</v>
      </c>
      <c r="E8">
        <f t="shared" si="1"/>
        <v>1.0094339622641511</v>
      </c>
    </row>
    <row r="9" spans="2:6" x14ac:dyDescent="0.3">
      <c r="B9" s="11">
        <v>0.7</v>
      </c>
      <c r="C9">
        <f t="shared" si="2"/>
        <v>35</v>
      </c>
      <c r="D9" s="53">
        <v>0.55500000000000005</v>
      </c>
      <c r="E9">
        <f t="shared" si="1"/>
        <v>1.0471698113207548</v>
      </c>
    </row>
    <row r="10" spans="2:6" x14ac:dyDescent="0.3">
      <c r="B10" s="57">
        <v>0.8</v>
      </c>
      <c r="C10">
        <f t="shared" si="2"/>
        <v>40</v>
      </c>
      <c r="D10" s="53">
        <v>0.56499999999999995</v>
      </c>
      <c r="E10">
        <f t="shared" si="1"/>
        <v>1.0660377358490565</v>
      </c>
    </row>
    <row r="11" spans="2:6" x14ac:dyDescent="0.3">
      <c r="B11" s="11">
        <v>0.9</v>
      </c>
      <c r="C11">
        <f t="shared" si="2"/>
        <v>45</v>
      </c>
      <c r="D11" s="53">
        <v>0.55000000000000004</v>
      </c>
      <c r="E11">
        <f t="shared" si="1"/>
        <v>1.0377358490566038</v>
      </c>
    </row>
    <row r="12" spans="2:6" x14ac:dyDescent="0.3">
      <c r="B12" s="11">
        <v>1</v>
      </c>
      <c r="C12">
        <f>50*$B12</f>
        <v>50</v>
      </c>
      <c r="D12" s="53">
        <v>0.53</v>
      </c>
      <c r="E12">
        <f t="shared" si="1"/>
        <v>1</v>
      </c>
    </row>
    <row r="15" spans="2:6" x14ac:dyDescent="0.3">
      <c r="B15" s="10" t="s">
        <v>101</v>
      </c>
      <c r="C15" s="3" t="s">
        <v>49</v>
      </c>
      <c r="D15" s="2" t="s">
        <v>43</v>
      </c>
      <c r="E15" s="2" t="s">
        <v>81</v>
      </c>
    </row>
    <row r="16" spans="2:6" x14ac:dyDescent="0.3">
      <c r="B16" s="41" t="s">
        <v>102</v>
      </c>
      <c r="C16" s="9">
        <f t="shared" ref="C16:C24" si="3">$B3*$C$25</f>
        <v>25</v>
      </c>
      <c r="D16" s="12">
        <f>$D$25*$E3</f>
        <v>0.14009433962264153</v>
      </c>
      <c r="E16" s="9">
        <f t="shared" ref="E16:E25" si="4">$C16/$D16</f>
        <v>178.45117845117841</v>
      </c>
    </row>
    <row r="17" spans="2:5" x14ac:dyDescent="0.3">
      <c r="B17" s="41" t="s">
        <v>102</v>
      </c>
      <c r="C17" s="9">
        <f t="shared" si="3"/>
        <v>50</v>
      </c>
      <c r="D17" s="12">
        <f t="shared" ref="D17:D24" si="5">$D$25*$E4</f>
        <v>0.25943396226415094</v>
      </c>
      <c r="E17" s="9">
        <f t="shared" si="4"/>
        <v>192.72727272727272</v>
      </c>
    </row>
    <row r="18" spans="2:5" x14ac:dyDescent="0.3">
      <c r="B18" s="41" t="s">
        <v>102</v>
      </c>
      <c r="C18" s="9">
        <f t="shared" si="3"/>
        <v>75</v>
      </c>
      <c r="D18" s="12">
        <f t="shared" si="5"/>
        <v>0.36320754716981135</v>
      </c>
      <c r="E18" s="9">
        <f t="shared" si="4"/>
        <v>206.49350649350649</v>
      </c>
    </row>
    <row r="19" spans="2:5" x14ac:dyDescent="0.3">
      <c r="B19" s="41" t="s">
        <v>102</v>
      </c>
      <c r="C19" s="9">
        <f t="shared" si="3"/>
        <v>100</v>
      </c>
      <c r="D19" s="12">
        <f t="shared" si="5"/>
        <v>0.44103773584905659</v>
      </c>
      <c r="E19" s="9">
        <f t="shared" si="4"/>
        <v>226.73796791443851</v>
      </c>
    </row>
    <row r="20" spans="2:5" x14ac:dyDescent="0.3">
      <c r="B20" s="41" t="s">
        <v>102</v>
      </c>
      <c r="C20" s="9">
        <f t="shared" si="3"/>
        <v>125</v>
      </c>
      <c r="D20" s="12">
        <f t="shared" si="5"/>
        <v>0.51367924528301889</v>
      </c>
      <c r="E20" s="9">
        <f t="shared" si="4"/>
        <v>243.34251606978879</v>
      </c>
    </row>
    <row r="21" spans="2:5" x14ac:dyDescent="0.3">
      <c r="B21" s="41" t="s">
        <v>102</v>
      </c>
      <c r="C21" s="9">
        <f t="shared" si="3"/>
        <v>150</v>
      </c>
      <c r="D21" s="12">
        <f t="shared" si="5"/>
        <v>0.55518867924528315</v>
      </c>
      <c r="E21" s="9">
        <f t="shared" si="4"/>
        <v>270.17841971112995</v>
      </c>
    </row>
    <row r="22" spans="2:5" x14ac:dyDescent="0.3">
      <c r="B22" s="41" t="s">
        <v>102</v>
      </c>
      <c r="C22" s="9">
        <f t="shared" si="3"/>
        <v>175</v>
      </c>
      <c r="D22" s="12">
        <f t="shared" si="5"/>
        <v>0.57594339622641522</v>
      </c>
      <c r="E22" s="9">
        <f t="shared" si="4"/>
        <v>303.84930384930379</v>
      </c>
    </row>
    <row r="23" spans="2:5" x14ac:dyDescent="0.3">
      <c r="B23" s="41" t="s">
        <v>102</v>
      </c>
      <c r="C23" s="9">
        <f t="shared" si="3"/>
        <v>200</v>
      </c>
      <c r="D23" s="12">
        <f t="shared" si="5"/>
        <v>0.58632075471698109</v>
      </c>
      <c r="E23" s="9">
        <f t="shared" si="4"/>
        <v>341.11021721641191</v>
      </c>
    </row>
    <row r="24" spans="2:5" x14ac:dyDescent="0.3">
      <c r="B24" s="41" t="s">
        <v>102</v>
      </c>
      <c r="C24" s="9">
        <f t="shared" si="3"/>
        <v>225</v>
      </c>
      <c r="D24" s="12">
        <f t="shared" si="5"/>
        <v>0.57075471698113212</v>
      </c>
      <c r="E24" s="9">
        <f t="shared" si="4"/>
        <v>394.21487603305781</v>
      </c>
    </row>
    <row r="25" spans="2:5" x14ac:dyDescent="0.3">
      <c r="B25" s="41" t="s">
        <v>103</v>
      </c>
      <c r="C25" s="26">
        <v>250</v>
      </c>
      <c r="D25" s="25">
        <v>0.55000000000000004</v>
      </c>
      <c r="E25" s="18">
        <f t="shared" si="4"/>
        <v>454.5454545454545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F9E9-6A48-4CF8-91F0-34BC934A8D50}">
  <sheetPr>
    <tabColor rgb="FF00B050"/>
  </sheetPr>
  <dimension ref="A1:P48"/>
  <sheetViews>
    <sheetView workbookViewId="0">
      <selection activeCell="B18" sqref="B18"/>
    </sheetView>
  </sheetViews>
  <sheetFormatPr defaultRowHeight="14.4" x14ac:dyDescent="0.3"/>
  <cols>
    <col min="2" max="2" width="14.44140625" customWidth="1"/>
    <col min="3" max="4" width="15.33203125" customWidth="1"/>
    <col min="5" max="6" width="18.44140625" customWidth="1"/>
    <col min="7" max="7" width="19.77734375" customWidth="1"/>
    <col min="8" max="10" width="23" customWidth="1"/>
    <col min="11" max="11" width="14.5546875" customWidth="1"/>
    <col min="12" max="12" width="14.6640625" customWidth="1"/>
  </cols>
  <sheetData>
    <row r="1" spans="1:16" x14ac:dyDescent="0.3">
      <c r="B1" s="10" t="s">
        <v>122</v>
      </c>
      <c r="C1" s="3" t="s">
        <v>49</v>
      </c>
      <c r="D1" s="3" t="s">
        <v>50</v>
      </c>
      <c r="E1" s="2" t="s">
        <v>43</v>
      </c>
      <c r="F1" s="2" t="s">
        <v>44</v>
      </c>
      <c r="G1" s="2" t="s">
        <v>116</v>
      </c>
      <c r="H1" s="5" t="s">
        <v>11</v>
      </c>
      <c r="I1" s="2" t="s">
        <v>24</v>
      </c>
    </row>
    <row r="2" spans="1:16" x14ac:dyDescent="0.3">
      <c r="B2" s="43" t="s">
        <v>121</v>
      </c>
      <c r="C2" s="7">
        <v>0.8</v>
      </c>
      <c r="D2" s="9">
        <f>$I2*$F2</f>
        <v>0.89411764705882368</v>
      </c>
      <c r="E2" s="12">
        <v>0.42499999999999999</v>
      </c>
      <c r="F2" s="12">
        <f>$G2-$E2</f>
        <v>0.47500000000000003</v>
      </c>
      <c r="G2" s="12">
        <v>0.9</v>
      </c>
      <c r="H2" s="6" t="s">
        <v>125</v>
      </c>
      <c r="I2" s="9">
        <f>$C2/$E2</f>
        <v>1.8823529411764708</v>
      </c>
      <c r="J2" s="9" t="s">
        <v>15</v>
      </c>
      <c r="K2" s="2" t="s">
        <v>400</v>
      </c>
      <c r="L2" s="2" t="s">
        <v>379</v>
      </c>
      <c r="M2" s="2" t="s">
        <v>406</v>
      </c>
      <c r="N2" s="2" t="s">
        <v>401</v>
      </c>
      <c r="O2" s="2" t="s">
        <v>381</v>
      </c>
      <c r="P2" s="2" t="s">
        <v>407</v>
      </c>
    </row>
    <row r="3" spans="1:16" x14ac:dyDescent="0.3">
      <c r="B3" s="44" t="s">
        <v>123</v>
      </c>
      <c r="C3" s="26">
        <v>5</v>
      </c>
      <c r="D3" s="18">
        <f>$I3*$F3</f>
        <v>5.7142857142857153</v>
      </c>
      <c r="E3" s="25">
        <v>0.42</v>
      </c>
      <c r="F3" s="25">
        <f>$G3-$E3</f>
        <v>0.48000000000000004</v>
      </c>
      <c r="G3" s="25">
        <v>0.9</v>
      </c>
      <c r="H3" s="23" t="s">
        <v>125</v>
      </c>
      <c r="I3" s="18">
        <f>$C3/$E3</f>
        <v>11.904761904761905</v>
      </c>
      <c r="J3" s="18" t="s">
        <v>16</v>
      </c>
      <c r="K3" s="34">
        <f>M3/E2</f>
        <v>1.8823529411764708</v>
      </c>
      <c r="L3" s="34">
        <f>K3*F2</f>
        <v>0.89411764705882368</v>
      </c>
      <c r="M3" s="34">
        <f>P3*C2/C3</f>
        <v>0.8</v>
      </c>
      <c r="N3" s="34">
        <f>P3/E3</f>
        <v>11.904761904761905</v>
      </c>
      <c r="O3" s="34">
        <f>N3*F3</f>
        <v>5.7142857142857153</v>
      </c>
      <c r="P3" s="34">
        <v>5</v>
      </c>
    </row>
    <row r="4" spans="1:16" x14ac:dyDescent="0.3">
      <c r="B4" s="43" t="s">
        <v>121</v>
      </c>
      <c r="C4" s="7">
        <v>15</v>
      </c>
      <c r="D4" s="9">
        <f t="shared" ref="D4:D5" si="0">$I4*$F4</f>
        <v>10.092936802973977</v>
      </c>
      <c r="E4" s="12">
        <v>0.53800000000000003</v>
      </c>
      <c r="F4" s="12">
        <f t="shared" ref="F4:F5" si="1">$G4-$E4</f>
        <v>0.36199999999999999</v>
      </c>
      <c r="G4" s="12">
        <v>0.9</v>
      </c>
      <c r="H4" s="6" t="s">
        <v>125</v>
      </c>
      <c r="I4" s="9">
        <f t="shared" ref="I4:I5" si="2">$C4/$E4</f>
        <v>27.881040892193308</v>
      </c>
      <c r="J4" s="9" t="s">
        <v>15</v>
      </c>
    </row>
    <row r="5" spans="1:16" x14ac:dyDescent="0.3">
      <c r="B5" s="44" t="s">
        <v>123</v>
      </c>
      <c r="C5" s="26">
        <v>60</v>
      </c>
      <c r="D5" s="18">
        <f t="shared" si="0"/>
        <v>60.000000000000007</v>
      </c>
      <c r="E5" s="25">
        <v>0.45</v>
      </c>
      <c r="F5" s="25">
        <f t="shared" si="1"/>
        <v>0.45</v>
      </c>
      <c r="G5" s="25">
        <v>0.9</v>
      </c>
      <c r="H5" s="23" t="s">
        <v>125</v>
      </c>
      <c r="I5" s="18">
        <f t="shared" si="2"/>
        <v>133.33333333333334</v>
      </c>
      <c r="J5" s="18" t="s">
        <v>16</v>
      </c>
    </row>
    <row r="6" spans="1:16" x14ac:dyDescent="0.3">
      <c r="C6" s="4"/>
      <c r="D6" s="4"/>
      <c r="L6" s="9"/>
    </row>
    <row r="7" spans="1:16" x14ac:dyDescent="0.3">
      <c r="B7" t="s">
        <v>1</v>
      </c>
      <c r="C7" t="s">
        <v>4</v>
      </c>
      <c r="L7" s="9"/>
    </row>
    <row r="8" spans="1:16" x14ac:dyDescent="0.3">
      <c r="A8" t="s">
        <v>125</v>
      </c>
      <c r="B8" t="s">
        <v>127</v>
      </c>
      <c r="C8" s="4" t="s">
        <v>126</v>
      </c>
      <c r="D8" s="4"/>
      <c r="E8" s="4"/>
      <c r="F8" s="4"/>
      <c r="J8" s="9"/>
      <c r="L8" s="9"/>
    </row>
    <row r="9" spans="1:16" x14ac:dyDescent="0.3">
      <c r="C9" s="4"/>
      <c r="D9" s="4"/>
      <c r="E9" s="9"/>
      <c r="K9" s="9"/>
      <c r="L9" s="9"/>
    </row>
    <row r="10" spans="1:16" x14ac:dyDescent="0.3">
      <c r="E10" s="28" t="s">
        <v>55</v>
      </c>
      <c r="F10" s="10" t="s">
        <v>18</v>
      </c>
      <c r="G10" s="28" t="s">
        <v>55</v>
      </c>
      <c r="H10" s="10" t="s">
        <v>18</v>
      </c>
      <c r="I10" s="28" t="s">
        <v>55</v>
      </c>
      <c r="J10" s="10" t="s">
        <v>18</v>
      </c>
      <c r="K10" s="9"/>
      <c r="L10" s="9"/>
    </row>
    <row r="11" spans="1:16" x14ac:dyDescent="0.3">
      <c r="B11" s="2" t="s">
        <v>13</v>
      </c>
      <c r="C11" s="2" t="s">
        <v>54</v>
      </c>
      <c r="D11" s="2" t="s">
        <v>25</v>
      </c>
      <c r="E11" s="2" t="s">
        <v>56</v>
      </c>
      <c r="F11" s="2" t="s">
        <v>17</v>
      </c>
      <c r="G11" s="2" t="s">
        <v>57</v>
      </c>
      <c r="H11" s="2" t="s">
        <v>22</v>
      </c>
      <c r="I11" s="2" t="s">
        <v>23</v>
      </c>
      <c r="J11" s="2" t="s">
        <v>23</v>
      </c>
      <c r="K11" s="9"/>
      <c r="L11" s="9"/>
    </row>
    <row r="12" spans="1:16" x14ac:dyDescent="0.3">
      <c r="B12" s="9" t="s">
        <v>15</v>
      </c>
      <c r="C12" s="9">
        <f>$C3</f>
        <v>5</v>
      </c>
      <c r="D12" s="9">
        <f>$I2</f>
        <v>1.8823529411764708</v>
      </c>
      <c r="E12" s="9">
        <f>$D12*$E2</f>
        <v>0.8</v>
      </c>
      <c r="F12" s="9">
        <f>$D12*$F2</f>
        <v>0.89411764705882368</v>
      </c>
      <c r="G12" s="9">
        <f>$B$18*$D12+$C$18*$C12+$D$18</f>
        <v>0.76189658830339102</v>
      </c>
      <c r="H12" s="9">
        <f>$F$18*$D12+$G$18*$C12+$H$18</f>
        <v>0.93222105875542949</v>
      </c>
      <c r="I12" s="29">
        <f>($E12-$G12)/$E12</f>
        <v>4.762926462076128E-2</v>
      </c>
      <c r="J12" s="29">
        <f>($F12-$H12)/$F12</f>
        <v>-4.2615657818572274E-2</v>
      </c>
      <c r="K12" s="9"/>
      <c r="L12" s="9"/>
    </row>
    <row r="13" spans="1:16" x14ac:dyDescent="0.3">
      <c r="B13" s="18" t="s">
        <v>16</v>
      </c>
      <c r="C13" s="18">
        <f>$C3</f>
        <v>5</v>
      </c>
      <c r="D13" s="18">
        <f>$I3</f>
        <v>11.904761904761905</v>
      </c>
      <c r="E13" s="18">
        <f>$D13*$E3</f>
        <v>5</v>
      </c>
      <c r="F13" s="18">
        <f>$D13*$F3</f>
        <v>5.7142857142857153</v>
      </c>
      <c r="G13" s="18">
        <f>$B$18*$D13+$C$18*$C13+$D$18</f>
        <v>5.038103411696615</v>
      </c>
      <c r="H13" s="18">
        <f>$F$18*$D13+$G$18*$C13+$H$18</f>
        <v>5.6761823025890985</v>
      </c>
      <c r="I13" s="30">
        <f t="shared" ref="I13:I15" si="3">($E13-$G13)/$E13</f>
        <v>-7.6206823393230039E-3</v>
      </c>
      <c r="J13" s="30">
        <f t="shared" ref="J13:J15" si="4">($F13-$H13)/$F13</f>
        <v>6.668097046907938E-3</v>
      </c>
      <c r="K13" s="9"/>
      <c r="L13" s="9"/>
    </row>
    <row r="14" spans="1:16" x14ac:dyDescent="0.3">
      <c r="B14" s="9" t="s">
        <v>15</v>
      </c>
      <c r="C14" s="9">
        <f>$C5</f>
        <v>60</v>
      </c>
      <c r="D14" s="9">
        <f>$I4</f>
        <v>27.881040892193308</v>
      </c>
      <c r="E14" s="9">
        <f>$D14*$E4</f>
        <v>15</v>
      </c>
      <c r="F14" s="9">
        <f>$D14*$F4</f>
        <v>10.092936802973977</v>
      </c>
      <c r="G14" s="9">
        <f>$B$18*$D14+$C$18*$C14+$D$18</f>
        <v>15.003621428857459</v>
      </c>
      <c r="H14" s="9">
        <f>$F$18*$D14+$G$18*$C14+$H$18</f>
        <v>10.08931537411652</v>
      </c>
      <c r="I14" s="29">
        <f t="shared" si="3"/>
        <v>-2.4142859049725018E-4</v>
      </c>
      <c r="J14" s="29">
        <f t="shared" si="4"/>
        <v>3.5880823670568203E-4</v>
      </c>
      <c r="K14" s="9"/>
      <c r="L14" s="9"/>
    </row>
    <row r="15" spans="1:16" x14ac:dyDescent="0.3">
      <c r="B15" s="18" t="s">
        <v>16</v>
      </c>
      <c r="C15" s="18">
        <f>$C5</f>
        <v>60</v>
      </c>
      <c r="D15" s="18">
        <f>$I5</f>
        <v>133.33333333333334</v>
      </c>
      <c r="E15" s="18">
        <f>$D15*$E5</f>
        <v>60.000000000000007</v>
      </c>
      <c r="F15" s="18">
        <f>$D15*$F5</f>
        <v>60.000000000000007</v>
      </c>
      <c r="G15" s="18">
        <f>$B$18*$D15+$C$18*$C15+$D$18</f>
        <v>59.996378571142557</v>
      </c>
      <c r="H15" s="18">
        <f>$F$18*$D15+$G$18*$C15+$H$18</f>
        <v>60.003621428857471</v>
      </c>
      <c r="I15" s="30">
        <f t="shared" si="3"/>
        <v>6.0357147624164512E-5</v>
      </c>
      <c r="J15" s="30">
        <f t="shared" si="4"/>
        <v>-6.0357147624401356E-5</v>
      </c>
      <c r="K15" s="9"/>
      <c r="L15" s="9"/>
    </row>
    <row r="16" spans="1:16" x14ac:dyDescent="0.3">
      <c r="B16" s="9"/>
      <c r="C16" s="9"/>
      <c r="D16" s="9"/>
      <c r="E16" s="9"/>
      <c r="F16" s="9"/>
      <c r="G16" s="9"/>
      <c r="H16" s="9"/>
    </row>
    <row r="17" spans="2:8" x14ac:dyDescent="0.3">
      <c r="B17" s="28" t="s">
        <v>58</v>
      </c>
      <c r="C17" s="28" t="s">
        <v>59</v>
      </c>
      <c r="D17" s="28" t="s">
        <v>60</v>
      </c>
      <c r="F17" s="10" t="s">
        <v>61</v>
      </c>
      <c r="G17" s="10" t="s">
        <v>62</v>
      </c>
      <c r="H17" s="10" t="s">
        <v>63</v>
      </c>
    </row>
    <row r="18" spans="2:8" x14ac:dyDescent="0.3">
      <c r="B18" cm="1">
        <f t="array" ref="B18:D18">LINEST(E12:E15,C12:D15)</f>
        <v>0.42666457125527696</v>
      </c>
      <c r="C18">
        <v>5.7254650776977001E-2</v>
      </c>
      <c r="D18">
        <v>-0.32750997617966249</v>
      </c>
      <c r="F18" cm="1">
        <f t="array" ref="F18:H18">LINEST(F12:F15,C12:D15)</f>
        <v>0.47333542874472323</v>
      </c>
      <c r="G18">
        <v>-5.7254650776977001E-2</v>
      </c>
      <c r="H18">
        <v>0.32750997617965893</v>
      </c>
    </row>
    <row r="19" spans="2:8" x14ac:dyDescent="0.3">
      <c r="B19" s="67">
        <v>0.42666457125527696</v>
      </c>
      <c r="C19" s="66">
        <v>5.7254650776977001E-2</v>
      </c>
      <c r="D19" s="67">
        <v>-0.32750997617966249</v>
      </c>
      <c r="E19" s="67"/>
      <c r="F19" s="67">
        <v>0.47333542874472323</v>
      </c>
      <c r="G19" s="66">
        <v>-5.7254650776977001E-2</v>
      </c>
      <c r="H19" s="67">
        <v>0.32750997617965893</v>
      </c>
    </row>
    <row r="21" spans="2:8" x14ac:dyDescent="0.3">
      <c r="B21" s="2" t="s">
        <v>416</v>
      </c>
      <c r="C21" s="57">
        <v>0.15</v>
      </c>
    </row>
    <row r="22" spans="2:8" x14ac:dyDescent="0.3">
      <c r="B22" s="2" t="s">
        <v>415</v>
      </c>
      <c r="C22" s="57">
        <v>1</v>
      </c>
    </row>
    <row r="24" spans="2:8" x14ac:dyDescent="0.3">
      <c r="B24" t="s">
        <v>417</v>
      </c>
    </row>
    <row r="26" spans="2:8" x14ac:dyDescent="0.3">
      <c r="B26" s="2" t="s">
        <v>378</v>
      </c>
      <c r="C26" s="2" t="s">
        <v>406</v>
      </c>
      <c r="D26" s="2" t="s">
        <v>379</v>
      </c>
      <c r="F26" s="2" t="s">
        <v>380</v>
      </c>
      <c r="G26" s="2" t="s">
        <v>407</v>
      </c>
      <c r="H26" s="2" t="s">
        <v>381</v>
      </c>
    </row>
    <row r="27" spans="2:8" x14ac:dyDescent="0.3">
      <c r="B27">
        <f>C21</f>
        <v>0.15</v>
      </c>
      <c r="C27" s="67">
        <f>B19*C21+C19</f>
        <v>0.12125433646526854</v>
      </c>
      <c r="D27" s="67">
        <f>F19*C21+G19</f>
        <v>1.3745663534731486E-2</v>
      </c>
      <c r="F27">
        <f>C22</f>
        <v>1</v>
      </c>
      <c r="G27" s="67">
        <f>B19*C22+C19</f>
        <v>0.48391922203225396</v>
      </c>
      <c r="H27" s="67">
        <f>F19*C22+G19</f>
        <v>0.41608077796774623</v>
      </c>
    </row>
    <row r="43" spans="2:2" x14ac:dyDescent="0.3">
      <c r="B43" s="4" t="s">
        <v>124</v>
      </c>
    </row>
    <row r="48" spans="2:2" x14ac:dyDescent="0.3">
      <c r="B48" s="4"/>
    </row>
  </sheetData>
  <hyperlinks>
    <hyperlink ref="B43" r:id="rId1" xr:uid="{46FE276D-B101-41DC-A2AD-79CD493A9948}"/>
    <hyperlink ref="C8" r:id="rId2" xr:uid="{6CC4C2FA-E7FF-48DB-876E-6CB9FE1240E4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16B9-579A-4505-BB9C-FB83A17ECE0D}">
  <sheetPr>
    <tabColor rgb="FF00B050"/>
  </sheetPr>
  <dimension ref="A1:P52"/>
  <sheetViews>
    <sheetView workbookViewId="0">
      <selection activeCell="F7" sqref="F7"/>
    </sheetView>
  </sheetViews>
  <sheetFormatPr defaultRowHeight="14.4" x14ac:dyDescent="0.3"/>
  <cols>
    <col min="2" max="2" width="14.44140625" customWidth="1"/>
    <col min="3" max="4" width="15.33203125" customWidth="1"/>
    <col min="5" max="6" width="18.44140625" customWidth="1"/>
    <col min="7" max="7" width="19.77734375" customWidth="1"/>
    <col min="8" max="10" width="23" customWidth="1"/>
    <col min="11" max="11" width="14.5546875" customWidth="1"/>
    <col min="12" max="12" width="14.6640625" customWidth="1"/>
  </cols>
  <sheetData>
    <row r="1" spans="1:16" x14ac:dyDescent="0.3">
      <c r="B1" s="10" t="s">
        <v>122</v>
      </c>
      <c r="C1" s="3" t="s">
        <v>49</v>
      </c>
      <c r="D1" s="3" t="s">
        <v>50</v>
      </c>
      <c r="E1" s="2" t="s">
        <v>43</v>
      </c>
      <c r="F1" s="2" t="s">
        <v>44</v>
      </c>
      <c r="G1" s="2" t="s">
        <v>116</v>
      </c>
      <c r="H1" s="5" t="s">
        <v>11</v>
      </c>
      <c r="I1" s="2" t="s">
        <v>24</v>
      </c>
    </row>
    <row r="2" spans="1:16" x14ac:dyDescent="0.3">
      <c r="B2" s="43" t="s">
        <v>121</v>
      </c>
      <c r="C2" s="7">
        <v>15</v>
      </c>
      <c r="D2" s="9">
        <f t="shared" ref="D2:D7" si="0">$I2*$F2</f>
        <v>10.092936802973977</v>
      </c>
      <c r="E2" s="12">
        <v>0.53800000000000003</v>
      </c>
      <c r="F2" s="12">
        <f t="shared" ref="F2:F7" si="1">$G2-$E2</f>
        <v>0.36199999999999999</v>
      </c>
      <c r="G2" s="12">
        <v>0.9</v>
      </c>
      <c r="H2" s="6" t="s">
        <v>125</v>
      </c>
      <c r="I2" s="9">
        <f t="shared" ref="I2:I7" si="2">$C2/$E2</f>
        <v>27.881040892193308</v>
      </c>
      <c r="J2" s="9" t="s">
        <v>15</v>
      </c>
      <c r="K2" s="2" t="s">
        <v>400</v>
      </c>
      <c r="L2" s="2" t="s">
        <v>379</v>
      </c>
      <c r="M2" s="2" t="s">
        <v>406</v>
      </c>
      <c r="N2" s="2" t="s">
        <v>401</v>
      </c>
      <c r="O2" s="2" t="s">
        <v>381</v>
      </c>
      <c r="P2" s="2" t="s">
        <v>407</v>
      </c>
    </row>
    <row r="3" spans="1:16" x14ac:dyDescent="0.3">
      <c r="B3" s="44" t="s">
        <v>123</v>
      </c>
      <c r="C3" s="26">
        <v>75</v>
      </c>
      <c r="D3" s="18">
        <f t="shared" si="0"/>
        <v>75</v>
      </c>
      <c r="E3" s="25">
        <v>0.45</v>
      </c>
      <c r="F3" s="25">
        <f t="shared" si="1"/>
        <v>0.45</v>
      </c>
      <c r="G3" s="25">
        <v>0.9</v>
      </c>
      <c r="H3" s="23" t="s">
        <v>125</v>
      </c>
      <c r="I3" s="18">
        <f t="shared" si="2"/>
        <v>166.66666666666666</v>
      </c>
      <c r="J3" s="18" t="s">
        <v>16</v>
      </c>
      <c r="K3" s="18">
        <f>M3/E2</f>
        <v>22.304832713754646</v>
      </c>
      <c r="L3" s="18">
        <f>K3*F2</f>
        <v>8.074349442379182</v>
      </c>
      <c r="M3" s="18">
        <f>P3*C2/C3</f>
        <v>12</v>
      </c>
      <c r="N3" s="26">
        <f>P3/E3</f>
        <v>133.33333333333334</v>
      </c>
      <c r="O3" s="26">
        <f>N3*F3</f>
        <v>60.000000000000007</v>
      </c>
      <c r="P3" s="26">
        <v>60</v>
      </c>
    </row>
    <row r="4" spans="1:16" x14ac:dyDescent="0.3">
      <c r="B4" s="43" t="s">
        <v>121</v>
      </c>
      <c r="C4" s="7">
        <v>15</v>
      </c>
      <c r="D4" s="9">
        <f t="shared" si="0"/>
        <v>10.092936802973977</v>
      </c>
      <c r="E4" s="12">
        <v>0.53800000000000003</v>
      </c>
      <c r="F4" s="12">
        <f t="shared" si="1"/>
        <v>0.36199999999999999</v>
      </c>
      <c r="G4" s="12">
        <v>0.9</v>
      </c>
      <c r="H4" s="6" t="s">
        <v>125</v>
      </c>
      <c r="I4" s="9">
        <f t="shared" si="2"/>
        <v>27.881040892193308</v>
      </c>
      <c r="J4" s="9" t="s">
        <v>15</v>
      </c>
    </row>
    <row r="5" spans="1:16" x14ac:dyDescent="0.3">
      <c r="B5" s="44" t="s">
        <v>123</v>
      </c>
      <c r="C5" s="26">
        <v>100</v>
      </c>
      <c r="D5" s="18">
        <f t="shared" si="0"/>
        <v>100</v>
      </c>
      <c r="E5" s="25">
        <v>0.45</v>
      </c>
      <c r="F5" s="25">
        <f t="shared" si="1"/>
        <v>0.45</v>
      </c>
      <c r="G5" s="25">
        <v>0.9</v>
      </c>
      <c r="H5" s="23" t="s">
        <v>125</v>
      </c>
      <c r="I5" s="18">
        <f t="shared" si="2"/>
        <v>222.22222222222223</v>
      </c>
      <c r="J5" s="18" t="s">
        <v>16</v>
      </c>
    </row>
    <row r="6" spans="1:16" x14ac:dyDescent="0.3">
      <c r="B6" s="43" t="s">
        <v>121</v>
      </c>
      <c r="C6" s="7">
        <v>30</v>
      </c>
      <c r="D6" s="9">
        <f t="shared" si="0"/>
        <v>19.999999999999996</v>
      </c>
      <c r="E6" s="12">
        <v>0.54</v>
      </c>
      <c r="F6" s="12">
        <f t="shared" si="1"/>
        <v>0.36</v>
      </c>
      <c r="G6" s="12">
        <v>0.9</v>
      </c>
      <c r="H6" s="6" t="s">
        <v>125</v>
      </c>
      <c r="I6" s="9">
        <f t="shared" si="2"/>
        <v>55.55555555555555</v>
      </c>
      <c r="J6" s="9" t="s">
        <v>15</v>
      </c>
      <c r="K6" s="2" t="s">
        <v>400</v>
      </c>
      <c r="L6" s="2" t="s">
        <v>379</v>
      </c>
      <c r="M6" s="2" t="s">
        <v>406</v>
      </c>
      <c r="N6" s="2" t="s">
        <v>401</v>
      </c>
      <c r="O6" s="2" t="s">
        <v>381</v>
      </c>
      <c r="P6" s="2" t="s">
        <v>407</v>
      </c>
    </row>
    <row r="7" spans="1:16" x14ac:dyDescent="0.3">
      <c r="B7" s="44" t="s">
        <v>123</v>
      </c>
      <c r="C7" s="26">
        <v>200</v>
      </c>
      <c r="D7" s="18">
        <f t="shared" si="0"/>
        <v>191.30434782608694</v>
      </c>
      <c r="E7" s="25">
        <v>0.46</v>
      </c>
      <c r="F7" s="25">
        <f t="shared" si="1"/>
        <v>0.44</v>
      </c>
      <c r="G7" s="25">
        <v>0.9</v>
      </c>
      <c r="H7" s="23" t="s">
        <v>125</v>
      </c>
      <c r="I7" s="18">
        <f t="shared" si="2"/>
        <v>434.78260869565213</v>
      </c>
      <c r="J7" s="18" t="s">
        <v>16</v>
      </c>
      <c r="K7" s="26">
        <f>M7/E6</f>
        <v>277.77777777777777</v>
      </c>
      <c r="L7" s="26">
        <f>K7*F6</f>
        <v>100</v>
      </c>
      <c r="M7" s="26">
        <f>P7*C6/C7</f>
        <v>150</v>
      </c>
      <c r="N7" s="26">
        <f>P7/E7</f>
        <v>2173.913043478261</v>
      </c>
      <c r="O7" s="26">
        <f>N7*F7</f>
        <v>956.52173913043487</v>
      </c>
      <c r="P7" s="26">
        <v>1000</v>
      </c>
    </row>
    <row r="8" spans="1:16" x14ac:dyDescent="0.3">
      <c r="C8" s="4"/>
      <c r="D8" s="4"/>
      <c r="L8" s="9"/>
    </row>
    <row r="9" spans="1:16" x14ac:dyDescent="0.3">
      <c r="B9" t="s">
        <v>1</v>
      </c>
      <c r="C9" t="s">
        <v>4</v>
      </c>
      <c r="L9" s="9"/>
    </row>
    <row r="10" spans="1:16" x14ac:dyDescent="0.3">
      <c r="A10" t="s">
        <v>125</v>
      </c>
      <c r="B10" t="s">
        <v>127</v>
      </c>
      <c r="C10" s="4" t="s">
        <v>126</v>
      </c>
      <c r="D10" s="4"/>
      <c r="E10" s="4"/>
      <c r="F10" s="4"/>
      <c r="J10" s="9"/>
      <c r="L10" s="9"/>
    </row>
    <row r="11" spans="1:16" x14ac:dyDescent="0.3">
      <c r="C11" s="4"/>
      <c r="D11" s="4"/>
      <c r="E11" s="9"/>
      <c r="K11" s="9"/>
      <c r="L11" s="9"/>
    </row>
    <row r="12" spans="1:16" x14ac:dyDescent="0.3">
      <c r="E12" s="28" t="s">
        <v>55</v>
      </c>
      <c r="F12" s="10" t="s">
        <v>18</v>
      </c>
      <c r="G12" s="28" t="s">
        <v>55</v>
      </c>
      <c r="H12" s="10" t="s">
        <v>18</v>
      </c>
      <c r="I12" s="28" t="s">
        <v>55</v>
      </c>
      <c r="J12" s="10" t="s">
        <v>18</v>
      </c>
      <c r="K12" s="9"/>
      <c r="L12" s="9"/>
    </row>
    <row r="13" spans="1:16" x14ac:dyDescent="0.3">
      <c r="B13" s="2" t="s">
        <v>13</v>
      </c>
      <c r="C13" s="2" t="s">
        <v>54</v>
      </c>
      <c r="D13" s="2" t="s">
        <v>25</v>
      </c>
      <c r="E13" s="2" t="s">
        <v>56</v>
      </c>
      <c r="F13" s="2" t="s">
        <v>17</v>
      </c>
      <c r="G13" s="2" t="s">
        <v>57</v>
      </c>
      <c r="H13" s="2" t="s">
        <v>22</v>
      </c>
      <c r="I13" s="2" t="s">
        <v>23</v>
      </c>
      <c r="J13" s="2" t="s">
        <v>23</v>
      </c>
      <c r="K13" s="9"/>
      <c r="L13" s="9"/>
    </row>
    <row r="14" spans="1:16" x14ac:dyDescent="0.3">
      <c r="B14" s="9" t="s">
        <v>15</v>
      </c>
      <c r="C14" s="9">
        <f>$C3</f>
        <v>75</v>
      </c>
      <c r="D14" s="9">
        <f t="shared" ref="D14:D19" si="3">$I2</f>
        <v>27.881040892193308</v>
      </c>
      <c r="E14" s="9">
        <f t="shared" ref="E14:E19" si="4">$D14*$E2</f>
        <v>15</v>
      </c>
      <c r="F14" s="9">
        <f t="shared" ref="F14:F19" si="5">$D14*$F2</f>
        <v>10.092936802973977</v>
      </c>
      <c r="G14" s="9">
        <f t="shared" ref="G14:G19" si="6">$B$22*$D14+$C$22*$C14+$D$22</f>
        <v>13.807212490310404</v>
      </c>
      <c r="H14" s="9">
        <f t="shared" ref="H14:H19" si="7">$F$22*$D14+$G$22*$C14+$H$22</f>
        <v>11.285724312663561</v>
      </c>
      <c r="I14" s="29">
        <f t="shared" ref="I14:I19" si="8">($E14-$G14)/$E14</f>
        <v>7.9519167312639763E-2</v>
      </c>
      <c r="J14" s="29">
        <f t="shared" ref="J14:J19" si="9">($F14-$H14)/$F14</f>
        <v>-0.11818041992872858</v>
      </c>
      <c r="K14" s="9"/>
    </row>
    <row r="15" spans="1:16" x14ac:dyDescent="0.3">
      <c r="B15" s="18" t="s">
        <v>16</v>
      </c>
      <c r="C15" s="18">
        <f>$C3</f>
        <v>75</v>
      </c>
      <c r="D15" s="18">
        <f t="shared" si="3"/>
        <v>166.66666666666666</v>
      </c>
      <c r="E15" s="18">
        <f t="shared" si="4"/>
        <v>75</v>
      </c>
      <c r="F15" s="18">
        <f t="shared" si="5"/>
        <v>75</v>
      </c>
      <c r="G15" s="18">
        <f t="shared" si="6"/>
        <v>75.52711989566474</v>
      </c>
      <c r="H15" s="18">
        <f t="shared" si="7"/>
        <v>74.472880104335218</v>
      </c>
      <c r="I15" s="30">
        <f t="shared" si="8"/>
        <v>-7.0282652755298616E-3</v>
      </c>
      <c r="J15" s="30">
        <f t="shared" si="9"/>
        <v>7.0282652755304298E-3</v>
      </c>
      <c r="K15" s="9"/>
    </row>
    <row r="16" spans="1:16" x14ac:dyDescent="0.3">
      <c r="B16" s="9" t="s">
        <v>15</v>
      </c>
      <c r="C16" s="9">
        <f>$C5</f>
        <v>100</v>
      </c>
      <c r="D16" s="9">
        <f t="shared" si="3"/>
        <v>27.881040892193308</v>
      </c>
      <c r="E16" s="9">
        <f t="shared" si="4"/>
        <v>15</v>
      </c>
      <c r="F16" s="9">
        <f t="shared" si="5"/>
        <v>10.092936802973977</v>
      </c>
      <c r="G16" s="9">
        <f t="shared" si="6"/>
        <v>14.702922564986892</v>
      </c>
      <c r="H16" s="9">
        <f t="shared" si="7"/>
        <v>10.390014237987074</v>
      </c>
      <c r="I16" s="29">
        <f t="shared" si="8"/>
        <v>1.9805162334207201E-2</v>
      </c>
      <c r="J16" s="29">
        <f t="shared" si="9"/>
        <v>-2.9434191535367658E-2</v>
      </c>
    </row>
    <row r="17" spans="2:10" x14ac:dyDescent="0.3">
      <c r="B17" s="18" t="s">
        <v>16</v>
      </c>
      <c r="C17" s="18">
        <f>$C5</f>
        <v>100</v>
      </c>
      <c r="D17" s="18">
        <f t="shared" si="3"/>
        <v>222.22222222222223</v>
      </c>
      <c r="E17" s="18">
        <f t="shared" si="4"/>
        <v>100</v>
      </c>
      <c r="F17" s="18">
        <f t="shared" si="5"/>
        <v>100</v>
      </c>
      <c r="G17" s="18">
        <f t="shared" si="6"/>
        <v>101.12916195254411</v>
      </c>
      <c r="H17" s="18">
        <f t="shared" si="7"/>
        <v>98.870838047455877</v>
      </c>
      <c r="I17" s="30">
        <f t="shared" si="8"/>
        <v>-1.1291619525441093E-2</v>
      </c>
      <c r="J17" s="30">
        <f t="shared" si="9"/>
        <v>1.1291619525441235E-2</v>
      </c>
    </row>
    <row r="18" spans="2:10" x14ac:dyDescent="0.3">
      <c r="B18" s="9" t="s">
        <v>15</v>
      </c>
      <c r="C18" s="9">
        <f>$C7</f>
        <v>200</v>
      </c>
      <c r="D18" s="9">
        <f t="shared" si="3"/>
        <v>55.55555555555555</v>
      </c>
      <c r="E18" s="9">
        <f t="shared" si="4"/>
        <v>30</v>
      </c>
      <c r="F18" s="9">
        <f t="shared" si="5"/>
        <v>19.999999999999996</v>
      </c>
      <c r="G18" s="9">
        <f t="shared" si="6"/>
        <v>30.593006304641477</v>
      </c>
      <c r="H18" s="9">
        <f t="shared" si="7"/>
        <v>19.406993695358508</v>
      </c>
      <c r="I18" s="29">
        <f t="shared" si="8"/>
        <v>-1.9766876821382576E-2</v>
      </c>
      <c r="J18" s="29">
        <f t="shared" si="9"/>
        <v>2.9650315232074405E-2</v>
      </c>
    </row>
    <row r="19" spans="2:10" x14ac:dyDescent="0.3">
      <c r="B19" s="18" t="s">
        <v>16</v>
      </c>
      <c r="C19" s="18">
        <f>$C7</f>
        <v>200</v>
      </c>
      <c r="D19" s="18">
        <f t="shared" si="3"/>
        <v>434.78260869565213</v>
      </c>
      <c r="E19" s="18">
        <f t="shared" si="4"/>
        <v>200</v>
      </c>
      <c r="F19" s="18">
        <f t="shared" si="5"/>
        <v>191.30434782608694</v>
      </c>
      <c r="G19" s="18">
        <f t="shared" si="6"/>
        <v>199.24057679185225</v>
      </c>
      <c r="H19" s="18">
        <f t="shared" si="7"/>
        <v>192.06377103423461</v>
      </c>
      <c r="I19" s="30">
        <f t="shared" si="8"/>
        <v>3.7971160407387571E-3</v>
      </c>
      <c r="J19" s="30">
        <f t="shared" si="9"/>
        <v>-3.9697122244082552E-3</v>
      </c>
    </row>
    <row r="20" spans="2:10" x14ac:dyDescent="0.3">
      <c r="B20" s="9"/>
      <c r="C20" s="9"/>
      <c r="D20" s="9"/>
      <c r="E20" s="9"/>
      <c r="F20" s="9"/>
      <c r="G20" s="9"/>
      <c r="H20" s="9"/>
    </row>
    <row r="21" spans="2:10" x14ac:dyDescent="0.3">
      <c r="B21" s="28" t="s">
        <v>58</v>
      </c>
      <c r="C21" s="28" t="s">
        <v>59</v>
      </c>
      <c r="D21" s="28" t="s">
        <v>60</v>
      </c>
      <c r="F21" s="10" t="s">
        <v>61</v>
      </c>
      <c r="G21" s="10" t="s">
        <v>62</v>
      </c>
      <c r="H21" s="10" t="s">
        <v>63</v>
      </c>
    </row>
    <row r="22" spans="2:10" x14ac:dyDescent="0.3">
      <c r="B22" cm="1">
        <f t="array" ref="B22:D22">LINEST(E14:E19,C14:D19)</f>
        <v>0.44471397567965143</v>
      </c>
      <c r="C22">
        <v>3.5828402987059534E-2</v>
      </c>
      <c r="D22">
        <v>-1.279006274973284</v>
      </c>
      <c r="F22" cm="1">
        <f t="array" ref="F22:H22">LINEST(F14:F19,C14:D19)</f>
        <v>0.45528602432034848</v>
      </c>
      <c r="G22">
        <v>-3.5828402987059485E-2</v>
      </c>
      <c r="H22">
        <v>1.2790062749732698</v>
      </c>
    </row>
    <row r="23" spans="2:10" x14ac:dyDescent="0.3">
      <c r="B23" s="67">
        <v>0.44471397567965143</v>
      </c>
      <c r="C23" s="66">
        <v>3.5828402987059534E-2</v>
      </c>
      <c r="D23" s="35">
        <v>-1.279006274973284</v>
      </c>
      <c r="E23" s="35"/>
      <c r="F23" s="67">
        <v>0.45528602432034848</v>
      </c>
      <c r="G23" s="66">
        <v>-3.5828402987059485E-2</v>
      </c>
      <c r="H23" s="35">
        <v>1.2790062749732698</v>
      </c>
    </row>
    <row r="25" spans="2:10" x14ac:dyDescent="0.3">
      <c r="B25" s="2" t="s">
        <v>416</v>
      </c>
      <c r="C25" s="57">
        <v>0.15</v>
      </c>
    </row>
    <row r="26" spans="2:10" x14ac:dyDescent="0.3">
      <c r="B26" s="2" t="s">
        <v>415</v>
      </c>
      <c r="C26" s="57">
        <v>1</v>
      </c>
    </row>
    <row r="28" spans="2:10" x14ac:dyDescent="0.3">
      <c r="B28" t="s">
        <v>417</v>
      </c>
    </row>
    <row r="30" spans="2:10" x14ac:dyDescent="0.3">
      <c r="B30" s="2" t="s">
        <v>378</v>
      </c>
      <c r="C30" s="2" t="s">
        <v>406</v>
      </c>
      <c r="D30" s="2" t="s">
        <v>379</v>
      </c>
      <c r="F30" s="2" t="s">
        <v>380</v>
      </c>
      <c r="G30" s="2" t="s">
        <v>407</v>
      </c>
      <c r="H30" s="2" t="s">
        <v>381</v>
      </c>
    </row>
    <row r="31" spans="2:10" x14ac:dyDescent="0.3">
      <c r="B31">
        <f>C25</f>
        <v>0.15</v>
      </c>
      <c r="C31" s="67">
        <f>B23*C25+C23</f>
        <v>0.10253549933900724</v>
      </c>
      <c r="D31" s="67">
        <f>F23*C25+G23</f>
        <v>3.2464500660992782E-2</v>
      </c>
      <c r="F31">
        <f>C26</f>
        <v>1</v>
      </c>
      <c r="G31" s="67">
        <f>B23*C26+C23</f>
        <v>0.48054237866671096</v>
      </c>
      <c r="H31" s="67">
        <f>F23*C26+G23</f>
        <v>0.41945762133328901</v>
      </c>
    </row>
    <row r="48" spans="2:2" x14ac:dyDescent="0.3">
      <c r="B48" s="4" t="s">
        <v>124</v>
      </c>
    </row>
    <row r="52" spans="2:2" x14ac:dyDescent="0.3">
      <c r="B52" s="4"/>
    </row>
  </sheetData>
  <hyperlinks>
    <hyperlink ref="B48" r:id="rId1" xr:uid="{AF47007C-18F0-4BBA-A592-14143A2795DC}"/>
    <hyperlink ref="C10" r:id="rId2" xr:uid="{6D071AE6-4AAF-47DF-AF94-869A3D3096BB}"/>
  </hyperlinks>
  <pageMargins left="0.7" right="0.7" top="0.75" bottom="0.75" header="0.3" footer="0.3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E568-B8FD-44BE-983C-8160BB5854ED}">
  <sheetPr codeName="Sheet24">
    <tabColor theme="9" tint="0.59999389629810485"/>
  </sheetPr>
  <dimension ref="B2:E10"/>
  <sheetViews>
    <sheetView workbookViewId="0">
      <selection activeCell="E3" sqref="E3"/>
    </sheetView>
  </sheetViews>
  <sheetFormatPr defaultRowHeight="14.4" x14ac:dyDescent="0.3"/>
  <cols>
    <col min="2" max="2" width="19.5546875" customWidth="1"/>
    <col min="3" max="3" width="33.21875" customWidth="1"/>
    <col min="4" max="4" width="12.109375" customWidth="1"/>
    <col min="5" max="5" width="17.77734375" customWidth="1"/>
  </cols>
  <sheetData>
    <row r="2" spans="2:5" x14ac:dyDescent="0.3">
      <c r="B2" t="s">
        <v>241</v>
      </c>
      <c r="C2" t="s">
        <v>242</v>
      </c>
      <c r="D2" t="s">
        <v>243</v>
      </c>
      <c r="E2" t="s">
        <v>244</v>
      </c>
    </row>
    <row r="3" spans="2:5" x14ac:dyDescent="0.3">
      <c r="B3">
        <v>18.75</v>
      </c>
      <c r="C3">
        <v>64.3</v>
      </c>
      <c r="D3" s="12">
        <f>$C3/120</f>
        <v>0.53583333333333327</v>
      </c>
      <c r="E3" s="9">
        <f>$B3/$D3</f>
        <v>34.992223950233289</v>
      </c>
    </row>
    <row r="4" spans="2:5" x14ac:dyDescent="0.3">
      <c r="B4">
        <v>31.25</v>
      </c>
      <c r="C4">
        <v>63.8</v>
      </c>
      <c r="D4" s="12">
        <f t="shared" ref="D4:D10" si="0">$C4/120</f>
        <v>0.53166666666666662</v>
      </c>
      <c r="E4" s="9">
        <f t="shared" ref="E4:E10" si="1">$B4/$D4</f>
        <v>58.777429467084644</v>
      </c>
    </row>
    <row r="5" spans="2:5" x14ac:dyDescent="0.3">
      <c r="B5">
        <v>50</v>
      </c>
      <c r="C5">
        <v>62.2</v>
      </c>
      <c r="D5" s="12">
        <f t="shared" si="0"/>
        <v>0.51833333333333331</v>
      </c>
      <c r="E5" s="9">
        <f t="shared" si="1"/>
        <v>96.463022508038591</v>
      </c>
    </row>
    <row r="6" spans="2:5" x14ac:dyDescent="0.3">
      <c r="B6">
        <v>62.5</v>
      </c>
      <c r="C6">
        <v>60.8</v>
      </c>
      <c r="D6" s="12">
        <f t="shared" si="0"/>
        <v>0.5066666666666666</v>
      </c>
      <c r="E6" s="9">
        <f t="shared" si="1"/>
        <v>123.35526315789475</v>
      </c>
    </row>
    <row r="7" spans="2:5" x14ac:dyDescent="0.3">
      <c r="B7">
        <v>75</v>
      </c>
      <c r="C7">
        <v>59.5</v>
      </c>
      <c r="D7" s="12">
        <f t="shared" si="0"/>
        <v>0.49583333333333335</v>
      </c>
      <c r="E7" s="9">
        <f t="shared" si="1"/>
        <v>151.26050420168067</v>
      </c>
    </row>
    <row r="8" spans="2:5" x14ac:dyDescent="0.3">
      <c r="B8">
        <v>93.75</v>
      </c>
      <c r="C8">
        <v>57.8</v>
      </c>
      <c r="D8" s="12">
        <f t="shared" si="0"/>
        <v>0.48166666666666663</v>
      </c>
      <c r="E8" s="9">
        <f t="shared" si="1"/>
        <v>194.63667820069205</v>
      </c>
    </row>
    <row r="9" spans="2:5" x14ac:dyDescent="0.3">
      <c r="B9">
        <v>100</v>
      </c>
      <c r="C9">
        <v>57.1</v>
      </c>
      <c r="D9" s="12">
        <f t="shared" si="0"/>
        <v>0.47583333333333333</v>
      </c>
      <c r="E9" s="9">
        <f t="shared" si="1"/>
        <v>210.15761821366024</v>
      </c>
    </row>
    <row r="10" spans="2:5" x14ac:dyDescent="0.3">
      <c r="B10">
        <v>125</v>
      </c>
      <c r="C10">
        <v>56.3</v>
      </c>
      <c r="D10" s="12">
        <f t="shared" si="0"/>
        <v>0.46916666666666662</v>
      </c>
      <c r="E10" s="9">
        <f t="shared" si="1"/>
        <v>266.42984014209594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FF4A-F609-4AC9-8D93-52069C07770A}">
  <sheetPr codeName="Sheet25">
    <tabColor rgb="FF00B050"/>
  </sheetPr>
  <dimension ref="A2:J55"/>
  <sheetViews>
    <sheetView workbookViewId="0">
      <selection activeCell="C32" sqref="C32"/>
    </sheetView>
  </sheetViews>
  <sheetFormatPr defaultRowHeight="14.4" x14ac:dyDescent="0.3"/>
  <cols>
    <col min="2" max="2" width="12.21875" customWidth="1"/>
    <col min="3" max="3" width="17.33203125" customWidth="1"/>
    <col min="5" max="5" width="17.77734375" customWidth="1"/>
    <col min="6" max="6" width="16.77734375" customWidth="1"/>
    <col min="8" max="9" width="10.5546875" bestFit="1" customWidth="1"/>
  </cols>
  <sheetData>
    <row r="2" spans="2:9" x14ac:dyDescent="0.3">
      <c r="B2" s="47" t="s">
        <v>130</v>
      </c>
      <c r="C2" s="47" t="s">
        <v>131</v>
      </c>
      <c r="E2" s="48" t="s">
        <v>136</v>
      </c>
      <c r="F2" s="48" t="s">
        <v>143</v>
      </c>
      <c r="H2" s="49" t="s">
        <v>144</v>
      </c>
      <c r="I2" s="50" t="s">
        <v>148</v>
      </c>
    </row>
    <row r="3" spans="2:9" x14ac:dyDescent="0.3">
      <c r="B3">
        <v>57</v>
      </c>
      <c r="C3" s="9">
        <f>3.517*$B3</f>
        <v>200.46899999999999</v>
      </c>
      <c r="E3">
        <v>13.2</v>
      </c>
      <c r="F3" s="9">
        <f>$E3*10.465*0.94</f>
        <v>129.84971999999996</v>
      </c>
      <c r="H3" s="8">
        <f>$C3/$F3</f>
        <v>1.5438539259075803</v>
      </c>
      <c r="I3" s="8">
        <f>$H3/0.82</f>
        <v>1.8827486901311956</v>
      </c>
    </row>
    <row r="4" spans="2:9" x14ac:dyDescent="0.3">
      <c r="B4">
        <v>69</v>
      </c>
      <c r="C4" s="9">
        <f t="shared" ref="C4:C28" si="0">3.517*$B4</f>
        <v>242.673</v>
      </c>
      <c r="E4">
        <v>16</v>
      </c>
      <c r="F4" s="9">
        <f t="shared" ref="F4:F28" si="1">$E4*10.465*0.94</f>
        <v>157.39359999999999</v>
      </c>
      <c r="H4" s="8">
        <f t="shared" ref="H4:H28" si="2">$C4/$F4</f>
        <v>1.5418225391629647</v>
      </c>
      <c r="I4" s="8">
        <f t="shared" ref="I4:I28" si="3">$H4/0.82</f>
        <v>1.8802713892231278</v>
      </c>
    </row>
    <row r="5" spans="2:9" x14ac:dyDescent="0.3">
      <c r="B5">
        <v>87</v>
      </c>
      <c r="C5" s="9">
        <f t="shared" si="0"/>
        <v>305.97899999999998</v>
      </c>
      <c r="E5">
        <v>19.7</v>
      </c>
      <c r="F5" s="9">
        <f t="shared" si="1"/>
        <v>193.79086999999998</v>
      </c>
      <c r="H5" s="8">
        <f t="shared" si="2"/>
        <v>1.578913392565914</v>
      </c>
      <c r="I5" s="8">
        <f t="shared" si="3"/>
        <v>1.9255041372755051</v>
      </c>
    </row>
    <row r="6" spans="2:9" x14ac:dyDescent="0.3">
      <c r="B6">
        <v>104</v>
      </c>
      <c r="C6" s="9">
        <f t="shared" si="0"/>
        <v>365.76799999999997</v>
      </c>
      <c r="E6">
        <v>24.2</v>
      </c>
      <c r="F6" s="9">
        <f t="shared" si="1"/>
        <v>238.05781999999996</v>
      </c>
      <c r="H6" s="8">
        <f t="shared" si="2"/>
        <v>1.5364670650180701</v>
      </c>
      <c r="I6" s="8">
        <f t="shared" si="3"/>
        <v>1.8737403231927685</v>
      </c>
    </row>
    <row r="7" spans="2:9" x14ac:dyDescent="0.3">
      <c r="B7">
        <v>138</v>
      </c>
      <c r="C7" s="9">
        <f t="shared" si="0"/>
        <v>485.346</v>
      </c>
      <c r="E7">
        <v>32.1</v>
      </c>
      <c r="F7" s="9">
        <f t="shared" si="1"/>
        <v>315.77091000000001</v>
      </c>
      <c r="H7" s="8">
        <f t="shared" si="2"/>
        <v>1.5370193536827061</v>
      </c>
      <c r="I7" s="8">
        <f t="shared" si="3"/>
        <v>1.8744138459545199</v>
      </c>
    </row>
    <row r="8" spans="2:9" x14ac:dyDescent="0.3">
      <c r="B8">
        <v>172</v>
      </c>
      <c r="C8" s="9">
        <f t="shared" si="0"/>
        <v>604.92399999999998</v>
      </c>
      <c r="E8">
        <v>40.1</v>
      </c>
      <c r="F8" s="9">
        <f t="shared" si="1"/>
        <v>394.46770999999995</v>
      </c>
      <c r="H8" s="8">
        <f t="shared" si="2"/>
        <v>1.5335196891020562</v>
      </c>
      <c r="I8" s="8">
        <f t="shared" si="3"/>
        <v>1.8701459623195809</v>
      </c>
    </row>
    <row r="9" spans="2:9" x14ac:dyDescent="0.3">
      <c r="B9">
        <v>211</v>
      </c>
      <c r="C9" s="9">
        <f t="shared" si="0"/>
        <v>742.08699999999999</v>
      </c>
      <c r="E9">
        <v>48.9</v>
      </c>
      <c r="F9" s="9">
        <f t="shared" si="1"/>
        <v>481.03418999999997</v>
      </c>
      <c r="H9" s="8">
        <f t="shared" si="2"/>
        <v>1.5426907596734445</v>
      </c>
      <c r="I9" s="8">
        <f t="shared" si="3"/>
        <v>1.8813301947237129</v>
      </c>
    </row>
    <row r="10" spans="2:9" x14ac:dyDescent="0.3">
      <c r="B10">
        <v>249</v>
      </c>
      <c r="C10" s="9">
        <f t="shared" si="0"/>
        <v>875.73299999999995</v>
      </c>
      <c r="E10">
        <v>57.7</v>
      </c>
      <c r="F10" s="9">
        <f t="shared" si="1"/>
        <v>567.60067000000004</v>
      </c>
      <c r="H10" s="8">
        <f t="shared" si="2"/>
        <v>1.542868157643295</v>
      </c>
      <c r="I10" s="8">
        <f t="shared" si="3"/>
        <v>1.8815465337113355</v>
      </c>
    </row>
    <row r="11" spans="2:9" x14ac:dyDescent="0.3">
      <c r="B11">
        <v>290</v>
      </c>
      <c r="C11" s="9">
        <f t="shared" si="0"/>
        <v>1019.93</v>
      </c>
      <c r="E11">
        <v>67.150000000000006</v>
      </c>
      <c r="F11" s="9">
        <f t="shared" si="1"/>
        <v>660.56126500000005</v>
      </c>
      <c r="H11" s="8">
        <f t="shared" si="2"/>
        <v>1.544035434775304</v>
      </c>
      <c r="I11" s="8">
        <f t="shared" si="3"/>
        <v>1.8829700424089075</v>
      </c>
    </row>
    <row r="12" spans="2:9" x14ac:dyDescent="0.3">
      <c r="B12">
        <v>333</v>
      </c>
      <c r="C12" s="9">
        <f t="shared" si="0"/>
        <v>1171.1610000000001</v>
      </c>
      <c r="E12">
        <v>77.11</v>
      </c>
      <c r="F12" s="9">
        <f t="shared" si="1"/>
        <v>758.53878099999997</v>
      </c>
      <c r="H12" s="8">
        <f t="shared" si="2"/>
        <v>1.5439698395591985</v>
      </c>
      <c r="I12" s="8">
        <f t="shared" si="3"/>
        <v>1.8828900482429252</v>
      </c>
    </row>
    <row r="13" spans="2:9" x14ac:dyDescent="0.3">
      <c r="B13">
        <v>377</v>
      </c>
      <c r="C13" s="9">
        <f t="shared" si="0"/>
        <v>1325.9089999999999</v>
      </c>
      <c r="E13">
        <v>87.2</v>
      </c>
      <c r="F13" s="9">
        <f t="shared" si="1"/>
        <v>857.79512</v>
      </c>
      <c r="H13" s="8">
        <f t="shared" si="2"/>
        <v>1.5457175834714469</v>
      </c>
      <c r="I13" s="8">
        <f t="shared" si="3"/>
        <v>1.8850214432578623</v>
      </c>
    </row>
    <row r="14" spans="2:9" x14ac:dyDescent="0.3">
      <c r="B14">
        <v>425</v>
      </c>
      <c r="C14" s="9">
        <f t="shared" si="0"/>
        <v>1494.7249999999999</v>
      </c>
      <c r="E14">
        <v>96.1</v>
      </c>
      <c r="F14" s="9">
        <f t="shared" si="1"/>
        <v>945.34530999999981</v>
      </c>
      <c r="H14" s="8">
        <f t="shared" si="2"/>
        <v>1.5811418157879265</v>
      </c>
      <c r="I14" s="8">
        <f t="shared" si="3"/>
        <v>1.9282217265706421</v>
      </c>
    </row>
    <row r="15" spans="2:9" x14ac:dyDescent="0.3">
      <c r="B15">
        <v>480</v>
      </c>
      <c r="C15" s="9">
        <f t="shared" si="0"/>
        <v>1688.1599999999999</v>
      </c>
      <c r="E15">
        <v>108.25</v>
      </c>
      <c r="F15" s="9">
        <f t="shared" si="1"/>
        <v>1064.8660749999999</v>
      </c>
      <c r="H15" s="8">
        <f t="shared" si="2"/>
        <v>1.5853261171833275</v>
      </c>
      <c r="I15" s="8">
        <f t="shared" si="3"/>
        <v>1.9333245331503994</v>
      </c>
    </row>
    <row r="16" spans="2:9" x14ac:dyDescent="0.3">
      <c r="B16">
        <v>540</v>
      </c>
      <c r="C16" s="9">
        <f t="shared" si="0"/>
        <v>1899.1799999999998</v>
      </c>
      <c r="E16">
        <v>122.1</v>
      </c>
      <c r="F16" s="9">
        <f t="shared" si="1"/>
        <v>1201.1099099999999</v>
      </c>
      <c r="H16" s="8">
        <f t="shared" si="2"/>
        <v>1.5811875201329411</v>
      </c>
      <c r="I16" s="8">
        <f t="shared" si="3"/>
        <v>1.9282774635767574</v>
      </c>
    </row>
    <row r="17" spans="1:10" x14ac:dyDescent="0.3">
      <c r="B17">
        <v>600</v>
      </c>
      <c r="C17" s="9">
        <f t="shared" si="0"/>
        <v>2110.1999999999998</v>
      </c>
      <c r="E17">
        <v>135.69999999999999</v>
      </c>
      <c r="F17" s="9">
        <f t="shared" si="1"/>
        <v>1334.8944699999997</v>
      </c>
      <c r="H17" s="8">
        <f t="shared" si="2"/>
        <v>1.5807991174013929</v>
      </c>
      <c r="I17" s="8">
        <f t="shared" si="3"/>
        <v>1.9278038017090158</v>
      </c>
    </row>
    <row r="18" spans="1:10" x14ac:dyDescent="0.3">
      <c r="B18">
        <v>666</v>
      </c>
      <c r="C18" s="9">
        <f t="shared" si="0"/>
        <v>2342.3220000000001</v>
      </c>
      <c r="E18">
        <v>150.6</v>
      </c>
      <c r="F18" s="9">
        <f t="shared" si="1"/>
        <v>1481.4672599999999</v>
      </c>
      <c r="H18" s="8">
        <f t="shared" si="2"/>
        <v>1.581082527601724</v>
      </c>
      <c r="I18" s="8">
        <f t="shared" si="3"/>
        <v>1.9281494239045416</v>
      </c>
    </row>
    <row r="19" spans="1:10" x14ac:dyDescent="0.3">
      <c r="B19">
        <v>750</v>
      </c>
      <c r="C19" s="9">
        <f t="shared" si="0"/>
        <v>2637.75</v>
      </c>
      <c r="E19">
        <v>169.6</v>
      </c>
      <c r="F19" s="9">
        <f t="shared" si="1"/>
        <v>1668.3721599999997</v>
      </c>
      <c r="H19" s="8">
        <f t="shared" si="2"/>
        <v>1.5810321361392177</v>
      </c>
      <c r="I19" s="8">
        <f t="shared" si="3"/>
        <v>1.9280879709014851</v>
      </c>
    </row>
    <row r="20" spans="1:10" x14ac:dyDescent="0.3">
      <c r="B20">
        <v>825</v>
      </c>
      <c r="C20" s="9">
        <f t="shared" si="0"/>
        <v>2901.5250000000001</v>
      </c>
      <c r="E20">
        <v>186.6</v>
      </c>
      <c r="F20" s="9">
        <f t="shared" si="1"/>
        <v>1835.60286</v>
      </c>
      <c r="H20" s="8">
        <f t="shared" si="2"/>
        <v>1.5806932224980299</v>
      </c>
      <c r="I20" s="8">
        <f t="shared" si="3"/>
        <v>1.9276746615829634</v>
      </c>
    </row>
    <row r="21" spans="1:10" x14ac:dyDescent="0.3">
      <c r="B21">
        <v>900</v>
      </c>
      <c r="C21" s="9">
        <f t="shared" si="0"/>
        <v>3165.2999999999997</v>
      </c>
      <c r="E21">
        <v>203.8</v>
      </c>
      <c r="F21" s="9">
        <f t="shared" si="1"/>
        <v>2004.8009800000002</v>
      </c>
      <c r="H21" s="8">
        <f t="shared" si="2"/>
        <v>1.5788599624487412</v>
      </c>
      <c r="I21" s="8">
        <f t="shared" si="3"/>
        <v>1.925438978596026</v>
      </c>
    </row>
    <row r="22" spans="1:10" x14ac:dyDescent="0.3">
      <c r="B22">
        <v>1000</v>
      </c>
      <c r="C22" s="9">
        <f t="shared" si="0"/>
        <v>3517</v>
      </c>
      <c r="E22">
        <v>226.7</v>
      </c>
      <c r="F22" s="9">
        <f t="shared" si="1"/>
        <v>2230.0705699999999</v>
      </c>
      <c r="H22" s="8">
        <f t="shared" si="2"/>
        <v>1.577080136975217</v>
      </c>
      <c r="I22" s="8">
        <f t="shared" si="3"/>
        <v>1.9232684597258745</v>
      </c>
    </row>
    <row r="23" spans="1:10" x14ac:dyDescent="0.3">
      <c r="B23">
        <v>1100</v>
      </c>
      <c r="C23" s="9">
        <f t="shared" si="0"/>
        <v>3868.7</v>
      </c>
      <c r="E23">
        <v>248.88</v>
      </c>
      <c r="F23" s="9">
        <f t="shared" si="1"/>
        <v>2448.2574479999998</v>
      </c>
      <c r="H23" s="8">
        <f t="shared" si="2"/>
        <v>1.5801851243872944</v>
      </c>
      <c r="I23" s="8">
        <f t="shared" si="3"/>
        <v>1.9270550297406031</v>
      </c>
    </row>
    <row r="24" spans="1:10" x14ac:dyDescent="0.3">
      <c r="B24">
        <v>1225</v>
      </c>
      <c r="C24" s="9">
        <f t="shared" si="0"/>
        <v>4308.3249999999998</v>
      </c>
      <c r="E24">
        <v>277.13</v>
      </c>
      <c r="F24" s="9">
        <f t="shared" si="1"/>
        <v>2726.1555229999999</v>
      </c>
      <c r="H24" s="8">
        <f t="shared" si="2"/>
        <v>1.5803665504963196</v>
      </c>
      <c r="I24" s="8">
        <f t="shared" si="3"/>
        <v>1.9272762810930728</v>
      </c>
    </row>
    <row r="25" spans="1:10" x14ac:dyDescent="0.3">
      <c r="B25">
        <v>1342</v>
      </c>
      <c r="C25" s="9">
        <f t="shared" si="0"/>
        <v>4719.8140000000003</v>
      </c>
      <c r="E25">
        <v>303.8</v>
      </c>
      <c r="F25" s="9">
        <f t="shared" si="1"/>
        <v>2988.51098</v>
      </c>
      <c r="H25" s="8">
        <f t="shared" si="2"/>
        <v>1.5793196115344372</v>
      </c>
      <c r="I25" s="8">
        <f t="shared" si="3"/>
        <v>1.9259995262615088</v>
      </c>
    </row>
    <row r="26" spans="1:10" x14ac:dyDescent="0.3">
      <c r="B26">
        <v>1500</v>
      </c>
      <c r="C26" s="9">
        <f t="shared" si="0"/>
        <v>5275.5</v>
      </c>
      <c r="E26">
        <v>339.6</v>
      </c>
      <c r="F26" s="9">
        <f t="shared" si="1"/>
        <v>3340.6791600000001</v>
      </c>
      <c r="H26" s="8">
        <f t="shared" si="2"/>
        <v>1.5791699074747423</v>
      </c>
      <c r="I26" s="8">
        <f t="shared" si="3"/>
        <v>1.9258169603350517</v>
      </c>
    </row>
    <row r="27" spans="1:10" x14ac:dyDescent="0.3">
      <c r="B27">
        <v>1678</v>
      </c>
      <c r="C27" s="9">
        <f t="shared" si="0"/>
        <v>5901.5259999999998</v>
      </c>
      <c r="E27">
        <v>379.9</v>
      </c>
      <c r="F27" s="9">
        <f t="shared" si="1"/>
        <v>3737.1142899999995</v>
      </c>
      <c r="H27" s="8">
        <f t="shared" si="2"/>
        <v>1.5791665820313996</v>
      </c>
      <c r="I27" s="8">
        <f t="shared" si="3"/>
        <v>1.9258129049163411</v>
      </c>
    </row>
    <row r="28" spans="1:10" x14ac:dyDescent="0.3">
      <c r="B28">
        <v>1820</v>
      </c>
      <c r="C28" s="9">
        <f t="shared" si="0"/>
        <v>6400.94</v>
      </c>
      <c r="E28">
        <v>411.94</v>
      </c>
      <c r="F28" s="9">
        <f t="shared" si="1"/>
        <v>4052.2949739999995</v>
      </c>
      <c r="H28" s="8">
        <f t="shared" si="2"/>
        <v>1.5795839249287582</v>
      </c>
      <c r="I28" s="8">
        <f t="shared" si="3"/>
        <v>1.9263218596692175</v>
      </c>
    </row>
    <row r="29" spans="1:10" x14ac:dyDescent="0.3">
      <c r="B29" t="s">
        <v>137</v>
      </c>
      <c r="C29" s="45" t="s">
        <v>135</v>
      </c>
      <c r="E29" s="45" t="s">
        <v>138</v>
      </c>
      <c r="F29" s="45"/>
      <c r="G29" s="45"/>
      <c r="H29" t="s">
        <v>137</v>
      </c>
      <c r="I29" s="45" t="s">
        <v>245</v>
      </c>
      <c r="J29" t="s">
        <v>146</v>
      </c>
    </row>
    <row r="30" spans="1:10" x14ac:dyDescent="0.3">
      <c r="E30" s="45" t="s">
        <v>139</v>
      </c>
      <c r="H30" t="s">
        <v>140</v>
      </c>
    </row>
    <row r="31" spans="1:10" x14ac:dyDescent="0.3">
      <c r="B31" s="2" t="s">
        <v>132</v>
      </c>
      <c r="C31" s="2" t="s">
        <v>4</v>
      </c>
    </row>
    <row r="32" spans="1:10" x14ac:dyDescent="0.3">
      <c r="A32" t="s">
        <v>137</v>
      </c>
      <c r="B32" t="s">
        <v>133</v>
      </c>
      <c r="C32" s="4" t="s">
        <v>134</v>
      </c>
    </row>
    <row r="33" spans="1:10" x14ac:dyDescent="0.3">
      <c r="A33" t="s">
        <v>140</v>
      </c>
      <c r="B33" t="s">
        <v>142</v>
      </c>
      <c r="C33" s="4" t="s">
        <v>141</v>
      </c>
    </row>
    <row r="38" spans="1:10" x14ac:dyDescent="0.3">
      <c r="J38" t="s">
        <v>147</v>
      </c>
    </row>
    <row r="55" spans="1:2" x14ac:dyDescent="0.3">
      <c r="A55" t="s">
        <v>146</v>
      </c>
      <c r="B55" s="4" t="s">
        <v>145</v>
      </c>
    </row>
  </sheetData>
  <hyperlinks>
    <hyperlink ref="C32" r:id="rId1" xr:uid="{5C1AA01E-164A-4DBB-B842-DA3F4C19458F}"/>
    <hyperlink ref="C33" r:id="rId2" xr:uid="{09FD028E-251F-4C86-AAEE-7F90705CFFC5}"/>
    <hyperlink ref="B55" r:id="rId3" xr:uid="{4DAB83E7-C34E-4286-A065-9B8147114EEB}"/>
  </hyperlinks>
  <pageMargins left="0.7" right="0.7" top="0.75" bottom="0.75" header="0.3" footer="0.3"/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9B06-41DD-47A1-9480-C4D2EC42DA95}">
  <sheetPr codeName="Sheet26">
    <tabColor rgb="FF00B050"/>
  </sheetPr>
  <dimension ref="A1:K126"/>
  <sheetViews>
    <sheetView topLeftCell="A103" zoomScaleNormal="100" workbookViewId="0">
      <selection activeCell="B126" sqref="B126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7" x14ac:dyDescent="0.3">
      <c r="B1" s="10" t="s">
        <v>365</v>
      </c>
      <c r="C1" s="3" t="s">
        <v>0</v>
      </c>
      <c r="D1" s="2" t="s">
        <v>32</v>
      </c>
      <c r="E1" s="5" t="s">
        <v>11</v>
      </c>
      <c r="F1" s="2" t="s">
        <v>250</v>
      </c>
    </row>
    <row r="2" spans="2:7" x14ac:dyDescent="0.3">
      <c r="B2" s="45" t="s">
        <v>128</v>
      </c>
      <c r="C2" s="9">
        <f>$C3*0.25</f>
        <v>50.117249999999999</v>
      </c>
      <c r="D2" s="8">
        <f>$D3/0.82</f>
        <v>1.8829268292682928</v>
      </c>
      <c r="E2" s="15" t="s">
        <v>146</v>
      </c>
      <c r="F2" s="9">
        <f t="shared" ref="F2:F53" si="0">$C2/$D2</f>
        <v>26.616674222797926</v>
      </c>
      <c r="G2" s="9" t="s">
        <v>15</v>
      </c>
    </row>
    <row r="3" spans="2:7" x14ac:dyDescent="0.3">
      <c r="B3" s="46" t="s">
        <v>129</v>
      </c>
      <c r="C3" s="18">
        <v>200.46899999999999</v>
      </c>
      <c r="D3" s="34">
        <v>1.544</v>
      </c>
      <c r="E3" s="19" t="s">
        <v>137</v>
      </c>
      <c r="F3" s="18">
        <f t="shared" si="0"/>
        <v>129.83743523316062</v>
      </c>
      <c r="G3" s="18" t="s">
        <v>16</v>
      </c>
    </row>
    <row r="4" spans="2:7" x14ac:dyDescent="0.3">
      <c r="B4" s="45" t="s">
        <v>128</v>
      </c>
      <c r="C4" s="9">
        <f>$C5*0.25</f>
        <v>60.66825</v>
      </c>
      <c r="D4" s="8">
        <f>$D5/0.82</f>
        <v>1.8804878048780489</v>
      </c>
      <c r="E4" s="15" t="s">
        <v>146</v>
      </c>
      <c r="F4" s="9">
        <f t="shared" si="0"/>
        <v>32.261974708171202</v>
      </c>
      <c r="G4" s="9" t="s">
        <v>15</v>
      </c>
    </row>
    <row r="5" spans="2:7" x14ac:dyDescent="0.3">
      <c r="B5" s="46" t="s">
        <v>129</v>
      </c>
      <c r="C5" s="18">
        <v>242.673</v>
      </c>
      <c r="D5" s="34">
        <v>1.542</v>
      </c>
      <c r="E5" s="19" t="s">
        <v>137</v>
      </c>
      <c r="F5" s="18">
        <f t="shared" si="0"/>
        <v>157.37548638132296</v>
      </c>
      <c r="G5" s="18" t="s">
        <v>16</v>
      </c>
    </row>
    <row r="6" spans="2:7" x14ac:dyDescent="0.3">
      <c r="B6" s="45" t="s">
        <v>128</v>
      </c>
      <c r="C6" s="9">
        <f>$C7*0.25</f>
        <v>76.494749999999996</v>
      </c>
      <c r="D6" s="8">
        <f>$D7/0.82</f>
        <v>1.9256097560975611</v>
      </c>
      <c r="E6" s="15" t="s">
        <v>146</v>
      </c>
      <c r="F6" s="9">
        <f t="shared" si="0"/>
        <v>39.72494933502216</v>
      </c>
      <c r="G6" s="9" t="s">
        <v>15</v>
      </c>
    </row>
    <row r="7" spans="2:7" x14ac:dyDescent="0.3">
      <c r="B7" s="46" t="s">
        <v>129</v>
      </c>
      <c r="C7" s="18">
        <v>305.97899999999998</v>
      </c>
      <c r="D7" s="34">
        <v>1.579</v>
      </c>
      <c r="E7" s="19" t="s">
        <v>137</v>
      </c>
      <c r="F7" s="18">
        <f t="shared" si="0"/>
        <v>193.78024065864471</v>
      </c>
      <c r="G7" s="18" t="s">
        <v>16</v>
      </c>
    </row>
    <row r="8" spans="2:7" x14ac:dyDescent="0.3">
      <c r="B8" s="45" t="s">
        <v>128</v>
      </c>
      <c r="C8" s="9">
        <f>$C9*0.25</f>
        <v>91.441999999999993</v>
      </c>
      <c r="D8" s="8">
        <f>$D9/0.82</f>
        <v>1.8731707317073172</v>
      </c>
      <c r="E8" s="15" t="s">
        <v>146</v>
      </c>
      <c r="F8" s="9">
        <f t="shared" si="0"/>
        <v>48.816692708333328</v>
      </c>
      <c r="G8" s="9" t="s">
        <v>15</v>
      </c>
    </row>
    <row r="9" spans="2:7" x14ac:dyDescent="0.3">
      <c r="B9" s="46" t="s">
        <v>129</v>
      </c>
      <c r="C9" s="18">
        <v>365.76799999999997</v>
      </c>
      <c r="D9" s="34">
        <v>1.536</v>
      </c>
      <c r="E9" s="19" t="s">
        <v>137</v>
      </c>
      <c r="F9" s="18">
        <f t="shared" si="0"/>
        <v>238.13020833333331</v>
      </c>
      <c r="G9" s="18" t="s">
        <v>16</v>
      </c>
    </row>
    <row r="10" spans="2:7" x14ac:dyDescent="0.3">
      <c r="B10" s="45" t="s">
        <v>128</v>
      </c>
      <c r="C10" s="9">
        <f>$C11*0.25</f>
        <v>121.3365</v>
      </c>
      <c r="D10" s="8">
        <f>$D11/0.82</f>
        <v>1.8743902439024391</v>
      </c>
      <c r="E10" s="15" t="s">
        <v>146</v>
      </c>
      <c r="F10" s="9">
        <f t="shared" si="0"/>
        <v>64.733851659076123</v>
      </c>
      <c r="G10" s="9" t="s">
        <v>15</v>
      </c>
    </row>
    <row r="11" spans="2:7" x14ac:dyDescent="0.3">
      <c r="B11" s="46" t="s">
        <v>129</v>
      </c>
      <c r="C11" s="18">
        <v>485.346</v>
      </c>
      <c r="D11" s="34">
        <v>1.5369999999999999</v>
      </c>
      <c r="E11" s="19" t="s">
        <v>137</v>
      </c>
      <c r="F11" s="18">
        <f t="shared" si="0"/>
        <v>315.77488614183477</v>
      </c>
      <c r="G11" s="18" t="s">
        <v>16</v>
      </c>
    </row>
    <row r="12" spans="2:7" x14ac:dyDescent="0.3">
      <c r="B12" s="45" t="s">
        <v>128</v>
      </c>
      <c r="C12" s="9">
        <f>$C13*0.25</f>
        <v>151.23099999999999</v>
      </c>
      <c r="D12" s="8">
        <f>$D13/0.82</f>
        <v>1.8707317073170733</v>
      </c>
      <c r="E12" s="15" t="s">
        <v>146</v>
      </c>
      <c r="F12" s="9">
        <f t="shared" si="0"/>
        <v>80.840560625814859</v>
      </c>
      <c r="G12" s="9" t="s">
        <v>15</v>
      </c>
    </row>
    <row r="13" spans="2:7" x14ac:dyDescent="0.3">
      <c r="B13" s="46" t="s">
        <v>129</v>
      </c>
      <c r="C13" s="18">
        <v>604.92399999999998</v>
      </c>
      <c r="D13" s="34">
        <v>1.534</v>
      </c>
      <c r="E13" s="19" t="s">
        <v>137</v>
      </c>
      <c r="F13" s="18">
        <f t="shared" si="0"/>
        <v>394.34419817470661</v>
      </c>
      <c r="G13" s="18" t="s">
        <v>16</v>
      </c>
    </row>
    <row r="14" spans="2:7" x14ac:dyDescent="0.3">
      <c r="B14" s="45" t="s">
        <v>128</v>
      </c>
      <c r="C14" s="9">
        <f>$C15*0.25</f>
        <v>185.52175</v>
      </c>
      <c r="D14" s="8">
        <f>$D15/0.82</f>
        <v>1.8817073170731708</v>
      </c>
      <c r="E14" s="15" t="s">
        <v>146</v>
      </c>
      <c r="F14" s="9">
        <f t="shared" si="0"/>
        <v>98.592245625405042</v>
      </c>
      <c r="G14" s="9" t="s">
        <v>15</v>
      </c>
    </row>
    <row r="15" spans="2:7" x14ac:dyDescent="0.3">
      <c r="B15" s="46" t="s">
        <v>129</v>
      </c>
      <c r="C15" s="18">
        <v>742.08699999999999</v>
      </c>
      <c r="D15" s="34">
        <v>1.5429999999999999</v>
      </c>
      <c r="E15" s="19" t="s">
        <v>137</v>
      </c>
      <c r="F15" s="18">
        <f t="shared" si="0"/>
        <v>480.93778353856123</v>
      </c>
      <c r="G15" s="18" t="s">
        <v>16</v>
      </c>
    </row>
    <row r="16" spans="2:7" x14ac:dyDescent="0.3">
      <c r="B16" s="45" t="s">
        <v>128</v>
      </c>
      <c r="C16" s="9">
        <f>$C17*0.25</f>
        <v>218.93324999999999</v>
      </c>
      <c r="D16" s="8">
        <f>$D17/0.82</f>
        <v>1.8817073170731708</v>
      </c>
      <c r="E16" s="15" t="s">
        <v>146</v>
      </c>
      <c r="F16" s="9">
        <f t="shared" si="0"/>
        <v>116.34819507453012</v>
      </c>
      <c r="G16" s="9" t="s">
        <v>15</v>
      </c>
    </row>
    <row r="17" spans="2:11" x14ac:dyDescent="0.3">
      <c r="B17" s="46" t="s">
        <v>129</v>
      </c>
      <c r="C17" s="18">
        <v>875.73299999999995</v>
      </c>
      <c r="D17" s="34">
        <v>1.5429999999999999</v>
      </c>
      <c r="E17" s="19" t="s">
        <v>137</v>
      </c>
      <c r="F17" s="18">
        <f t="shared" si="0"/>
        <v>567.55217109526893</v>
      </c>
      <c r="G17" s="18" t="s">
        <v>16</v>
      </c>
    </row>
    <row r="18" spans="2:11" x14ac:dyDescent="0.3">
      <c r="B18" s="45" t="s">
        <v>128</v>
      </c>
      <c r="C18" s="9">
        <f>$C19*0.25</f>
        <v>254.98249999999999</v>
      </c>
      <c r="D18" s="8">
        <f>$D19/0.82</f>
        <v>1.8829268292682928</v>
      </c>
      <c r="E18" s="15" t="s">
        <v>146</v>
      </c>
      <c r="F18" s="9">
        <f t="shared" si="0"/>
        <v>135.41816709844559</v>
      </c>
      <c r="G18" s="9" t="s">
        <v>15</v>
      </c>
    </row>
    <row r="19" spans="2:11" x14ac:dyDescent="0.3">
      <c r="B19" s="46" t="s">
        <v>129</v>
      </c>
      <c r="C19" s="18">
        <v>1019.93</v>
      </c>
      <c r="D19" s="34">
        <v>1.544</v>
      </c>
      <c r="E19" s="19" t="s">
        <v>137</v>
      </c>
      <c r="F19" s="18">
        <f t="shared" si="0"/>
        <v>660.57642487046633</v>
      </c>
      <c r="G19" s="18" t="s">
        <v>16</v>
      </c>
    </row>
    <row r="20" spans="2:11" x14ac:dyDescent="0.3">
      <c r="B20" s="45" t="s">
        <v>128</v>
      </c>
      <c r="C20" s="9">
        <f>$C21*0.25</f>
        <v>292.79025000000001</v>
      </c>
      <c r="D20" s="8">
        <f>$D21/0.82</f>
        <v>1.8829268292682928</v>
      </c>
      <c r="E20" s="15" t="s">
        <v>146</v>
      </c>
      <c r="F20" s="9">
        <f t="shared" si="0"/>
        <v>155.49741256476685</v>
      </c>
      <c r="G20" s="9" t="s">
        <v>15</v>
      </c>
      <c r="H20" s="2" t="s">
        <v>396</v>
      </c>
      <c r="I20" s="2" t="s">
        <v>402</v>
      </c>
      <c r="J20" s="2" t="s">
        <v>397</v>
      </c>
      <c r="K20" s="2" t="s">
        <v>403</v>
      </c>
    </row>
    <row r="21" spans="2:11" x14ac:dyDescent="0.3">
      <c r="B21" s="46" t="s">
        <v>129</v>
      </c>
      <c r="C21" s="18">
        <v>1171.1610000000001</v>
      </c>
      <c r="D21" s="34">
        <v>1.544</v>
      </c>
      <c r="E21" s="19" t="s">
        <v>137</v>
      </c>
      <c r="F21" s="18">
        <f t="shared" si="0"/>
        <v>758.52396373057002</v>
      </c>
      <c r="G21" s="18" t="s">
        <v>16</v>
      </c>
      <c r="H21" s="18">
        <f>I21/D20</f>
        <v>154.14831606217615</v>
      </c>
      <c r="I21" s="26">
        <f>K21*C20/C21</f>
        <v>290.25</v>
      </c>
      <c r="J21" s="26">
        <f>K21/D21</f>
        <v>751.94300518134708</v>
      </c>
      <c r="K21" s="26">
        <v>1161</v>
      </c>
    </row>
    <row r="22" spans="2:11" x14ac:dyDescent="0.3">
      <c r="B22" s="45" t="s">
        <v>128</v>
      </c>
      <c r="C22" s="9">
        <f>$C23*0.25</f>
        <v>331.47724999999997</v>
      </c>
      <c r="D22" s="8">
        <f>$D23/0.82</f>
        <v>1.8853658536585367</v>
      </c>
      <c r="E22" s="15" t="s">
        <v>146</v>
      </c>
      <c r="F22" s="9">
        <f t="shared" si="0"/>
        <v>175.81587645536865</v>
      </c>
      <c r="G22" s="9" t="s">
        <v>15</v>
      </c>
    </row>
    <row r="23" spans="2:11" x14ac:dyDescent="0.3">
      <c r="B23" s="46" t="s">
        <v>129</v>
      </c>
      <c r="C23" s="18">
        <v>1325.9089999999999</v>
      </c>
      <c r="D23" s="34">
        <v>1.546</v>
      </c>
      <c r="E23" s="19" t="s">
        <v>137</v>
      </c>
      <c r="F23" s="18">
        <f t="shared" si="0"/>
        <v>857.63842173350577</v>
      </c>
      <c r="G23" s="18" t="s">
        <v>16</v>
      </c>
    </row>
    <row r="24" spans="2:11" x14ac:dyDescent="0.3">
      <c r="B24" s="45" t="s">
        <v>128</v>
      </c>
      <c r="C24" s="9">
        <f>$C25*0.25</f>
        <v>373.68124999999998</v>
      </c>
      <c r="D24" s="8">
        <f>$D25/0.82</f>
        <v>1.928048780487805</v>
      </c>
      <c r="E24" s="15" t="s">
        <v>146</v>
      </c>
      <c r="F24" s="9">
        <f t="shared" si="0"/>
        <v>193.81317204301072</v>
      </c>
      <c r="G24" s="9" t="s">
        <v>15</v>
      </c>
    </row>
    <row r="25" spans="2:11" x14ac:dyDescent="0.3">
      <c r="B25" s="46" t="s">
        <v>129</v>
      </c>
      <c r="C25" s="18">
        <v>1494.7249999999999</v>
      </c>
      <c r="D25" s="34">
        <v>1.581</v>
      </c>
      <c r="E25" s="19" t="s">
        <v>137</v>
      </c>
      <c r="F25" s="18">
        <f t="shared" si="0"/>
        <v>945.43010752688167</v>
      </c>
      <c r="G25" s="18" t="s">
        <v>16</v>
      </c>
    </row>
    <row r="26" spans="2:11" x14ac:dyDescent="0.3">
      <c r="B26" s="45" t="s">
        <v>128</v>
      </c>
      <c r="C26" s="9">
        <f>$C27*0.25</f>
        <v>422.03999999999996</v>
      </c>
      <c r="D26" s="8">
        <f>$D27/0.82</f>
        <v>1.9329268292682928</v>
      </c>
      <c r="E26" s="15" t="s">
        <v>146</v>
      </c>
      <c r="F26" s="9">
        <f t="shared" si="0"/>
        <v>218.34246056782331</v>
      </c>
      <c r="G26" s="9" t="s">
        <v>15</v>
      </c>
    </row>
    <row r="27" spans="2:11" x14ac:dyDescent="0.3">
      <c r="B27" s="46" t="s">
        <v>129</v>
      </c>
      <c r="C27" s="18">
        <v>1688.1599999999999</v>
      </c>
      <c r="D27" s="34">
        <v>1.585</v>
      </c>
      <c r="E27" s="19" t="s">
        <v>137</v>
      </c>
      <c r="F27" s="18">
        <f t="shared" si="0"/>
        <v>1065.0851735015772</v>
      </c>
      <c r="G27" s="18" t="s">
        <v>16</v>
      </c>
    </row>
    <row r="28" spans="2:11" x14ac:dyDescent="0.3">
      <c r="B28" s="45" t="s">
        <v>128</v>
      </c>
      <c r="C28" s="9">
        <f>$C29*0.25</f>
        <v>474.79499999999996</v>
      </c>
      <c r="D28" s="8">
        <f>$D29/0.82</f>
        <v>1.928048780487805</v>
      </c>
      <c r="E28" s="15" t="s">
        <v>146</v>
      </c>
      <c r="F28" s="9">
        <f t="shared" si="0"/>
        <v>246.25673624288422</v>
      </c>
      <c r="G28" s="9" t="s">
        <v>15</v>
      </c>
    </row>
    <row r="29" spans="2:11" x14ac:dyDescent="0.3">
      <c r="B29" s="46" t="s">
        <v>129</v>
      </c>
      <c r="C29" s="18">
        <v>1899.1799999999998</v>
      </c>
      <c r="D29" s="34">
        <v>1.581</v>
      </c>
      <c r="E29" s="19" t="s">
        <v>137</v>
      </c>
      <c r="F29" s="18">
        <f t="shared" si="0"/>
        <v>1201.2523719165085</v>
      </c>
      <c r="G29" s="18" t="s">
        <v>16</v>
      </c>
    </row>
    <row r="30" spans="2:11" x14ac:dyDescent="0.3">
      <c r="B30" s="45" t="s">
        <v>128</v>
      </c>
      <c r="C30" s="9">
        <f>$C31*0.25</f>
        <v>527.54999999999995</v>
      </c>
      <c r="D30" s="8">
        <f>$D31/0.82</f>
        <v>1.928048780487805</v>
      </c>
      <c r="E30" s="15" t="s">
        <v>146</v>
      </c>
      <c r="F30" s="9">
        <f t="shared" si="0"/>
        <v>273.61859582542689</v>
      </c>
      <c r="G30" s="9" t="s">
        <v>15</v>
      </c>
    </row>
    <row r="31" spans="2:11" x14ac:dyDescent="0.3">
      <c r="B31" s="46" t="s">
        <v>129</v>
      </c>
      <c r="C31" s="18">
        <v>2110.1999999999998</v>
      </c>
      <c r="D31" s="34">
        <v>1.581</v>
      </c>
      <c r="E31" s="19" t="s">
        <v>137</v>
      </c>
      <c r="F31" s="18">
        <f t="shared" si="0"/>
        <v>1334.7248576850095</v>
      </c>
      <c r="G31" s="18" t="s">
        <v>16</v>
      </c>
    </row>
    <row r="32" spans="2:11" x14ac:dyDescent="0.3">
      <c r="B32" s="45" t="s">
        <v>128</v>
      </c>
      <c r="C32" s="9">
        <f>$C33*0.25</f>
        <v>585.58050000000003</v>
      </c>
      <c r="D32" s="8">
        <f>$D33/0.82</f>
        <v>1.928048780487805</v>
      </c>
      <c r="E32" s="15" t="s">
        <v>146</v>
      </c>
      <c r="F32" s="9">
        <f t="shared" si="0"/>
        <v>303.71664136622388</v>
      </c>
      <c r="G32" s="9" t="s">
        <v>15</v>
      </c>
    </row>
    <row r="33" spans="2:11" x14ac:dyDescent="0.3">
      <c r="B33" s="46" t="s">
        <v>129</v>
      </c>
      <c r="C33" s="18">
        <v>2342.3220000000001</v>
      </c>
      <c r="D33" s="34">
        <v>1.581</v>
      </c>
      <c r="E33" s="19" t="s">
        <v>137</v>
      </c>
      <c r="F33" s="18">
        <f t="shared" si="0"/>
        <v>1481.5445920303607</v>
      </c>
      <c r="G33" s="18" t="s">
        <v>16</v>
      </c>
    </row>
    <row r="34" spans="2:11" x14ac:dyDescent="0.3">
      <c r="B34" s="45" t="s">
        <v>128</v>
      </c>
      <c r="C34" s="9">
        <f>$C35*0.25</f>
        <v>659.4375</v>
      </c>
      <c r="D34" s="8">
        <f>$D35/0.82</f>
        <v>1.928048780487805</v>
      </c>
      <c r="E34" s="15" t="s">
        <v>146</v>
      </c>
      <c r="F34" s="9">
        <f t="shared" si="0"/>
        <v>342.02324478178366</v>
      </c>
      <c r="G34" s="9" t="s">
        <v>15</v>
      </c>
    </row>
    <row r="35" spans="2:11" x14ac:dyDescent="0.3">
      <c r="B35" s="46" t="s">
        <v>129</v>
      </c>
      <c r="C35" s="18">
        <v>2637.75</v>
      </c>
      <c r="D35" s="34">
        <v>1.581</v>
      </c>
      <c r="E35" s="19" t="s">
        <v>137</v>
      </c>
      <c r="F35" s="18">
        <f t="shared" si="0"/>
        <v>1668.4060721062619</v>
      </c>
      <c r="G35" s="18" t="s">
        <v>16</v>
      </c>
    </row>
    <row r="36" spans="2:11" x14ac:dyDescent="0.3">
      <c r="B36" s="45" t="s">
        <v>128</v>
      </c>
      <c r="C36" s="9">
        <f>$C37*0.25</f>
        <v>725.38125000000002</v>
      </c>
      <c r="D36" s="8">
        <f>$D37/0.82</f>
        <v>1.928048780487805</v>
      </c>
      <c r="E36" s="15" t="s">
        <v>146</v>
      </c>
      <c r="F36" s="9">
        <f t="shared" si="0"/>
        <v>376.22556925996201</v>
      </c>
      <c r="G36" s="9" t="s">
        <v>15</v>
      </c>
    </row>
    <row r="37" spans="2:11" x14ac:dyDescent="0.3">
      <c r="B37" s="46" t="s">
        <v>129</v>
      </c>
      <c r="C37" s="18">
        <v>2901.5250000000001</v>
      </c>
      <c r="D37" s="34">
        <v>1.581</v>
      </c>
      <c r="E37" s="19" t="s">
        <v>137</v>
      </c>
      <c r="F37" s="18">
        <f t="shared" si="0"/>
        <v>1835.246679316888</v>
      </c>
      <c r="G37" s="18" t="s">
        <v>16</v>
      </c>
    </row>
    <row r="38" spans="2:11" x14ac:dyDescent="0.3">
      <c r="B38" s="45" t="s">
        <v>128</v>
      </c>
      <c r="C38" s="9">
        <f>$C39*0.25</f>
        <v>791.32499999999993</v>
      </c>
      <c r="D38" s="8">
        <f>$D39/0.82</f>
        <v>1.9256097560975611</v>
      </c>
      <c r="E38" s="15" t="s">
        <v>146</v>
      </c>
      <c r="F38" s="9">
        <f t="shared" si="0"/>
        <v>410.94775174160856</v>
      </c>
      <c r="G38" s="9" t="s">
        <v>15</v>
      </c>
    </row>
    <row r="39" spans="2:11" x14ac:dyDescent="0.3">
      <c r="B39" s="46" t="s">
        <v>129</v>
      </c>
      <c r="C39" s="18">
        <v>3165.2999999999997</v>
      </c>
      <c r="D39" s="34">
        <v>1.579</v>
      </c>
      <c r="E39" s="19" t="s">
        <v>137</v>
      </c>
      <c r="F39" s="18">
        <f t="shared" si="0"/>
        <v>2004.6231792273591</v>
      </c>
      <c r="G39" s="18" t="s">
        <v>16</v>
      </c>
    </row>
    <row r="40" spans="2:11" x14ac:dyDescent="0.3">
      <c r="B40" s="45" t="s">
        <v>128</v>
      </c>
      <c r="C40" s="9">
        <f>$C41*0.25</f>
        <v>879.25</v>
      </c>
      <c r="D40" s="8">
        <f>$D41/0.82</f>
        <v>1.9231707317073172</v>
      </c>
      <c r="E40" s="15" t="s">
        <v>146</v>
      </c>
      <c r="F40" s="9">
        <f t="shared" si="0"/>
        <v>457.18769816106527</v>
      </c>
      <c r="G40" s="9" t="s">
        <v>15</v>
      </c>
    </row>
    <row r="41" spans="2:11" x14ac:dyDescent="0.3">
      <c r="B41" s="46" t="s">
        <v>129</v>
      </c>
      <c r="C41" s="18">
        <v>3517</v>
      </c>
      <c r="D41" s="34">
        <v>1.577</v>
      </c>
      <c r="E41" s="19" t="s">
        <v>137</v>
      </c>
      <c r="F41" s="18">
        <f t="shared" si="0"/>
        <v>2230.1838934686111</v>
      </c>
      <c r="G41" s="18" t="s">
        <v>16</v>
      </c>
    </row>
    <row r="42" spans="2:11" x14ac:dyDescent="0.3">
      <c r="B42" s="45" t="s">
        <v>128</v>
      </c>
      <c r="C42" s="9">
        <f>$C43*0.25</f>
        <v>967.17499999999995</v>
      </c>
      <c r="D42" s="8">
        <f>$D43/0.82</f>
        <v>1.9268292682926831</v>
      </c>
      <c r="E42" s="15" t="s">
        <v>146</v>
      </c>
      <c r="F42" s="9">
        <f t="shared" si="0"/>
        <v>501.95158227848094</v>
      </c>
      <c r="G42" s="9" t="s">
        <v>15</v>
      </c>
    </row>
    <row r="43" spans="2:11" x14ac:dyDescent="0.3">
      <c r="B43" s="46" t="s">
        <v>129</v>
      </c>
      <c r="C43" s="18">
        <v>3868.7</v>
      </c>
      <c r="D43" s="34">
        <v>1.58</v>
      </c>
      <c r="E43" s="19" t="s">
        <v>137</v>
      </c>
      <c r="F43" s="18">
        <f t="shared" si="0"/>
        <v>2448.5443037974683</v>
      </c>
      <c r="G43" s="18" t="s">
        <v>16</v>
      </c>
    </row>
    <row r="44" spans="2:11" x14ac:dyDescent="0.3">
      <c r="B44" s="45" t="s">
        <v>128</v>
      </c>
      <c r="C44" s="9">
        <f>$C45*0.25</f>
        <v>1077.08125</v>
      </c>
      <c r="D44" s="8">
        <f>$D45/0.82</f>
        <v>1.9268292682926831</v>
      </c>
      <c r="E44" s="15" t="s">
        <v>146</v>
      </c>
      <c r="F44" s="9">
        <f t="shared" si="0"/>
        <v>558.9915348101265</v>
      </c>
      <c r="G44" s="9" t="s">
        <v>15</v>
      </c>
    </row>
    <row r="45" spans="2:11" x14ac:dyDescent="0.3">
      <c r="B45" s="46" t="s">
        <v>129</v>
      </c>
      <c r="C45" s="18">
        <v>4308.3249999999998</v>
      </c>
      <c r="D45" s="34">
        <v>1.58</v>
      </c>
      <c r="E45" s="19" t="s">
        <v>137</v>
      </c>
      <c r="F45" s="18">
        <f t="shared" si="0"/>
        <v>2726.7879746835442</v>
      </c>
      <c r="G45" s="18" t="s">
        <v>16</v>
      </c>
    </row>
    <row r="46" spans="2:11" x14ac:dyDescent="0.3">
      <c r="B46" s="45" t="s">
        <v>128</v>
      </c>
      <c r="C46" s="9">
        <f>$C47*0.25</f>
        <v>1179.9535000000001</v>
      </c>
      <c r="D46" s="8">
        <f>$D47/0.82</f>
        <v>1.9256097560975611</v>
      </c>
      <c r="E46" s="15" t="s">
        <v>146</v>
      </c>
      <c r="F46" s="9">
        <f t="shared" si="0"/>
        <v>612.76875870804304</v>
      </c>
      <c r="G46" s="9" t="s">
        <v>15</v>
      </c>
      <c r="H46" s="2" t="s">
        <v>404</v>
      </c>
      <c r="I46" s="2" t="s">
        <v>402</v>
      </c>
      <c r="J46" s="2" t="s">
        <v>405</v>
      </c>
      <c r="K46" s="2" t="s">
        <v>403</v>
      </c>
    </row>
    <row r="47" spans="2:11" x14ac:dyDescent="0.3">
      <c r="B47" s="46" t="s">
        <v>129</v>
      </c>
      <c r="C47" s="18">
        <v>4719.8140000000003</v>
      </c>
      <c r="D47" s="34">
        <v>1.579</v>
      </c>
      <c r="E47" s="19" t="s">
        <v>137</v>
      </c>
      <c r="F47" s="18">
        <f t="shared" si="0"/>
        <v>2989.1158961367955</v>
      </c>
      <c r="G47" s="18" t="s">
        <v>16</v>
      </c>
      <c r="H47" s="18">
        <f>I47/D46</f>
        <v>602.66624445851801</v>
      </c>
      <c r="I47" s="26">
        <f>K47*C46/C47</f>
        <v>1160.5</v>
      </c>
      <c r="J47" s="26">
        <f>K47/D47</f>
        <v>2939.8353388220394</v>
      </c>
      <c r="K47" s="26">
        <v>4642</v>
      </c>
    </row>
    <row r="48" spans="2:11" x14ac:dyDescent="0.3">
      <c r="B48" s="45" t="s">
        <v>128</v>
      </c>
      <c r="C48" s="9">
        <f>$C49*0.25</f>
        <v>1318.875</v>
      </c>
      <c r="D48" s="8">
        <f>$D49/0.82</f>
        <v>1.9256097560975611</v>
      </c>
      <c r="E48" s="15" t="s">
        <v>146</v>
      </c>
      <c r="F48" s="9">
        <f t="shared" si="0"/>
        <v>684.91291956934765</v>
      </c>
      <c r="G48" s="9" t="s">
        <v>15</v>
      </c>
    </row>
    <row r="49" spans="1:7" x14ac:dyDescent="0.3">
      <c r="B49" s="46" t="s">
        <v>129</v>
      </c>
      <c r="C49" s="18">
        <v>5275.5</v>
      </c>
      <c r="D49" s="34">
        <v>1.579</v>
      </c>
      <c r="E49" s="19" t="s">
        <v>137</v>
      </c>
      <c r="F49" s="18">
        <f t="shared" si="0"/>
        <v>3341.0386320455987</v>
      </c>
      <c r="G49" s="18" t="s">
        <v>16</v>
      </c>
    </row>
    <row r="50" spans="1:7" x14ac:dyDescent="0.3">
      <c r="B50" s="45" t="s">
        <v>128</v>
      </c>
      <c r="C50" s="9">
        <f>$C51*0.25</f>
        <v>1475.3815</v>
      </c>
      <c r="D50" s="8">
        <f>$D51/0.82</f>
        <v>1.9256097560975611</v>
      </c>
      <c r="E50" s="15" t="s">
        <v>146</v>
      </c>
      <c r="F50" s="9">
        <f t="shared" si="0"/>
        <v>766.18925269157683</v>
      </c>
      <c r="G50" s="9" t="s">
        <v>15</v>
      </c>
    </row>
    <row r="51" spans="1:7" x14ac:dyDescent="0.3">
      <c r="B51" s="46" t="s">
        <v>129</v>
      </c>
      <c r="C51" s="18">
        <v>5901.5259999999998</v>
      </c>
      <c r="D51" s="34">
        <v>1.579</v>
      </c>
      <c r="E51" s="19" t="s">
        <v>137</v>
      </c>
      <c r="F51" s="18">
        <f t="shared" si="0"/>
        <v>3737.5085497150094</v>
      </c>
      <c r="G51" s="18" t="s">
        <v>16</v>
      </c>
    </row>
    <row r="52" spans="1:7" x14ac:dyDescent="0.3">
      <c r="B52" s="45" t="s">
        <v>128</v>
      </c>
      <c r="C52" s="9">
        <f>$C53*0.25</f>
        <v>1600.2349999999999</v>
      </c>
      <c r="D52" s="8">
        <f>$D53/0.82</f>
        <v>1.9268292682926831</v>
      </c>
      <c r="E52" s="15" t="s">
        <v>146</v>
      </c>
      <c r="F52" s="9">
        <f t="shared" si="0"/>
        <v>830.50170886075932</v>
      </c>
      <c r="G52" s="9" t="s">
        <v>15</v>
      </c>
    </row>
    <row r="53" spans="1:7" x14ac:dyDescent="0.3">
      <c r="B53" s="46" t="s">
        <v>129</v>
      </c>
      <c r="C53" s="18">
        <v>6400.94</v>
      </c>
      <c r="D53" s="34">
        <v>1.58</v>
      </c>
      <c r="E53" s="19" t="s">
        <v>137</v>
      </c>
      <c r="F53" s="18">
        <f t="shared" si="0"/>
        <v>4051.2278481012654</v>
      </c>
      <c r="G53" s="18" t="s">
        <v>16</v>
      </c>
    </row>
    <row r="55" spans="1:7" x14ac:dyDescent="0.3">
      <c r="B55" t="s">
        <v>1</v>
      </c>
      <c r="C55" t="s">
        <v>4</v>
      </c>
    </row>
    <row r="56" spans="1:7" x14ac:dyDescent="0.3">
      <c r="A56" t="s">
        <v>137</v>
      </c>
      <c r="B56" t="s">
        <v>133</v>
      </c>
      <c r="C56" s="4" t="s">
        <v>134</v>
      </c>
      <c r="D56" s="4"/>
    </row>
    <row r="57" spans="1:7" x14ac:dyDescent="0.3">
      <c r="A57" t="s">
        <v>146</v>
      </c>
      <c r="B57" t="s">
        <v>149</v>
      </c>
      <c r="C57" s="4" t="s">
        <v>145</v>
      </c>
      <c r="D57" s="4"/>
    </row>
    <row r="59" spans="1:7" x14ac:dyDescent="0.3">
      <c r="C59" s="4"/>
    </row>
    <row r="60" spans="1:7" x14ac:dyDescent="0.3">
      <c r="B60" s="14"/>
      <c r="C60" s="4"/>
    </row>
    <row r="61" spans="1:7" x14ac:dyDescent="0.3">
      <c r="E61" s="10" t="s">
        <v>18</v>
      </c>
      <c r="F61" s="10" t="s">
        <v>18</v>
      </c>
      <c r="G61" s="10" t="s">
        <v>18</v>
      </c>
    </row>
    <row r="62" spans="1:7" x14ac:dyDescent="0.3">
      <c r="B62" s="2" t="s">
        <v>13</v>
      </c>
      <c r="C62" s="2" t="s">
        <v>12</v>
      </c>
      <c r="D62" s="2" t="s">
        <v>25</v>
      </c>
      <c r="E62" s="2" t="s">
        <v>17</v>
      </c>
      <c r="F62" s="2" t="s">
        <v>22</v>
      </c>
      <c r="G62" s="2" t="s">
        <v>23</v>
      </c>
    </row>
    <row r="63" spans="1:7" x14ac:dyDescent="0.3">
      <c r="B63" s="9" t="s">
        <v>15</v>
      </c>
      <c r="C63" s="9">
        <f>$C3</f>
        <v>200.46899999999999</v>
      </c>
      <c r="D63" s="9">
        <f>$F2</f>
        <v>26.616674222797926</v>
      </c>
      <c r="E63" s="9">
        <f t="shared" ref="E63:E94" si="1">$D63*$D2</f>
        <v>50.117249999999999</v>
      </c>
      <c r="F63" s="9">
        <f t="shared" ref="F63:F94" si="2">$B$117*$D63+$C$117*$C63+$D$117</f>
        <v>44.451750054890027</v>
      </c>
      <c r="G63" s="20">
        <f t="shared" ref="G63:G114" si="3">($E63-$F63)/$E63</f>
        <v>0.11304490859155224</v>
      </c>
    </row>
    <row r="64" spans="1:7" x14ac:dyDescent="0.3">
      <c r="B64" s="18" t="s">
        <v>16</v>
      </c>
      <c r="C64" s="18">
        <f>$C3</f>
        <v>200.46899999999999</v>
      </c>
      <c r="D64" s="18">
        <f>$F3</f>
        <v>129.83743523316062</v>
      </c>
      <c r="E64" s="18">
        <f t="shared" si="1"/>
        <v>200.46899999999999</v>
      </c>
      <c r="F64" s="18">
        <f t="shared" si="2"/>
        <v>198.16142170721588</v>
      </c>
      <c r="G64" s="20">
        <f t="shared" si="3"/>
        <v>1.1510898407155794E-2</v>
      </c>
    </row>
    <row r="65" spans="2:7" x14ac:dyDescent="0.3">
      <c r="B65" s="9" t="s">
        <v>15</v>
      </c>
      <c r="C65" s="9">
        <f t="shared" ref="C65" si="4">$C5</f>
        <v>242.673</v>
      </c>
      <c r="D65" s="9">
        <f t="shared" ref="D65:D114" si="5">$F4</f>
        <v>32.261974708171202</v>
      </c>
      <c r="E65" s="9">
        <f t="shared" si="1"/>
        <v>60.668249999999993</v>
      </c>
      <c r="F65" s="9">
        <f t="shared" si="2"/>
        <v>55.326290757242226</v>
      </c>
      <c r="G65" s="20">
        <f t="shared" si="3"/>
        <v>8.8051975172479299E-2</v>
      </c>
    </row>
    <row r="66" spans="2:7" x14ac:dyDescent="0.3">
      <c r="B66" s="18" t="s">
        <v>16</v>
      </c>
      <c r="C66" s="18">
        <f t="shared" ref="C66" si="6">$C5</f>
        <v>242.673</v>
      </c>
      <c r="D66" s="18">
        <f t="shared" si="5"/>
        <v>157.37548638132296</v>
      </c>
      <c r="E66" s="18">
        <f t="shared" si="1"/>
        <v>242.673</v>
      </c>
      <c r="F66" s="18">
        <f t="shared" si="2"/>
        <v>241.63722869557913</v>
      </c>
      <c r="G66" s="20">
        <f t="shared" si="3"/>
        <v>4.2681769476656918E-3</v>
      </c>
    </row>
    <row r="67" spans="2:7" x14ac:dyDescent="0.3">
      <c r="B67" s="9" t="s">
        <v>15</v>
      </c>
      <c r="C67" s="9">
        <f t="shared" ref="C67" si="7">$C7</f>
        <v>305.97899999999998</v>
      </c>
      <c r="D67" s="9">
        <f t="shared" si="5"/>
        <v>39.72494933502216</v>
      </c>
      <c r="E67" s="9">
        <f t="shared" si="1"/>
        <v>76.494749999999996</v>
      </c>
      <c r="F67" s="9">
        <f t="shared" si="2"/>
        <v>70.141556493498967</v>
      </c>
      <c r="G67" s="20">
        <f t="shared" si="3"/>
        <v>8.3053980913736294E-2</v>
      </c>
    </row>
    <row r="68" spans="2:7" x14ac:dyDescent="0.3">
      <c r="B68" s="18" t="s">
        <v>16</v>
      </c>
      <c r="C68" s="18">
        <f t="shared" ref="C68" si="8">$C7</f>
        <v>305.97899999999998</v>
      </c>
      <c r="D68" s="18">
        <f t="shared" si="5"/>
        <v>193.78024065864471</v>
      </c>
      <c r="E68" s="18">
        <f t="shared" si="1"/>
        <v>305.97899999999998</v>
      </c>
      <c r="F68" s="18">
        <f t="shared" si="2"/>
        <v>299.55071811826292</v>
      </c>
      <c r="G68" s="20">
        <f t="shared" si="3"/>
        <v>2.1008898917040268E-2</v>
      </c>
    </row>
    <row r="69" spans="2:7" x14ac:dyDescent="0.3">
      <c r="B69" s="9" t="s">
        <v>15</v>
      </c>
      <c r="C69" s="9">
        <f t="shared" ref="C69" si="9">$C9</f>
        <v>365.76799999999997</v>
      </c>
      <c r="D69" s="9">
        <f t="shared" si="5"/>
        <v>48.816692708333328</v>
      </c>
      <c r="E69" s="9">
        <f t="shared" si="1"/>
        <v>91.441999999999993</v>
      </c>
      <c r="F69" s="9">
        <f t="shared" si="2"/>
        <v>87.176618745437679</v>
      </c>
      <c r="G69" s="20">
        <f t="shared" si="3"/>
        <v>4.6645756376307544E-2</v>
      </c>
    </row>
    <row r="70" spans="2:7" x14ac:dyDescent="0.3">
      <c r="B70" s="18" t="s">
        <v>16</v>
      </c>
      <c r="C70" s="18">
        <f t="shared" ref="C70" si="10">$C9</f>
        <v>365.76799999999997</v>
      </c>
      <c r="D70" s="18">
        <f t="shared" si="5"/>
        <v>238.13020833333331</v>
      </c>
      <c r="E70" s="18">
        <f t="shared" si="1"/>
        <v>365.76799999999997</v>
      </c>
      <c r="F70" s="18">
        <f t="shared" si="2"/>
        <v>369.09004431245921</v>
      </c>
      <c r="G70" s="20">
        <f t="shared" si="3"/>
        <v>-9.0823809421798542E-3</v>
      </c>
    </row>
    <row r="71" spans="2:7" x14ac:dyDescent="0.3">
      <c r="B71" s="9" t="s">
        <v>15</v>
      </c>
      <c r="C71" s="9">
        <f t="shared" ref="C71" si="11">$C11</f>
        <v>485.346</v>
      </c>
      <c r="D71" s="9">
        <f t="shared" si="5"/>
        <v>64.733851659076123</v>
      </c>
      <c r="E71" s="9">
        <f t="shared" si="1"/>
        <v>121.33650000000002</v>
      </c>
      <c r="F71" s="9">
        <f t="shared" si="2"/>
        <v>117.87187468652459</v>
      </c>
      <c r="G71" s="20">
        <f t="shared" si="3"/>
        <v>2.8553859007598065E-2</v>
      </c>
    </row>
    <row r="72" spans="2:7" x14ac:dyDescent="0.3">
      <c r="B72" s="18" t="s">
        <v>16</v>
      </c>
      <c r="C72" s="18">
        <f t="shared" ref="C72" si="12">$C11</f>
        <v>485.346</v>
      </c>
      <c r="D72" s="18">
        <f t="shared" si="5"/>
        <v>315.77488614183477</v>
      </c>
      <c r="E72" s="18">
        <f t="shared" si="1"/>
        <v>485.346</v>
      </c>
      <c r="F72" s="18">
        <f t="shared" si="2"/>
        <v>491.70592322382521</v>
      </c>
      <c r="G72" s="20">
        <f t="shared" si="3"/>
        <v>-1.3103895414457327E-2</v>
      </c>
    </row>
    <row r="73" spans="2:7" x14ac:dyDescent="0.3">
      <c r="B73" s="9" t="s">
        <v>15</v>
      </c>
      <c r="C73" s="9">
        <f t="shared" ref="C73" si="13">$C13</f>
        <v>604.92399999999998</v>
      </c>
      <c r="D73" s="9">
        <f t="shared" si="5"/>
        <v>80.840560625814859</v>
      </c>
      <c r="E73" s="9">
        <f t="shared" si="1"/>
        <v>151.23099999999999</v>
      </c>
      <c r="F73" s="9">
        <f t="shared" si="2"/>
        <v>148.84939623421272</v>
      </c>
      <c r="G73" s="20">
        <f t="shared" si="3"/>
        <v>1.57481188763367E-2</v>
      </c>
    </row>
    <row r="74" spans="2:7" x14ac:dyDescent="0.3">
      <c r="B74" s="18" t="s">
        <v>16</v>
      </c>
      <c r="C74" s="18">
        <f t="shared" ref="C74" si="14">$C13</f>
        <v>604.92399999999998</v>
      </c>
      <c r="D74" s="18">
        <f t="shared" si="5"/>
        <v>394.34419817470661</v>
      </c>
      <c r="E74" s="18">
        <f t="shared" si="1"/>
        <v>604.92399999999998</v>
      </c>
      <c r="F74" s="18">
        <f t="shared" si="2"/>
        <v>615.69870753324585</v>
      </c>
      <c r="G74" s="20">
        <f t="shared" si="3"/>
        <v>-1.7811671438471403E-2</v>
      </c>
    </row>
    <row r="75" spans="2:7" x14ac:dyDescent="0.3">
      <c r="B75" s="9" t="s">
        <v>15</v>
      </c>
      <c r="C75" s="9">
        <f t="shared" ref="C75" si="15">$C15</f>
        <v>742.08699999999999</v>
      </c>
      <c r="D75" s="9">
        <f t="shared" si="5"/>
        <v>98.592245625405042</v>
      </c>
      <c r="E75" s="9">
        <f t="shared" si="1"/>
        <v>185.52175</v>
      </c>
      <c r="F75" s="9">
        <f t="shared" si="2"/>
        <v>183.30481157252242</v>
      </c>
      <c r="G75" s="20">
        <f t="shared" si="3"/>
        <v>1.194974943626595E-2</v>
      </c>
    </row>
    <row r="76" spans="2:7" x14ac:dyDescent="0.3">
      <c r="B76" s="18" t="s">
        <v>16</v>
      </c>
      <c r="C76" s="18">
        <f t="shared" ref="C76" si="16">$C15</f>
        <v>742.08699999999999</v>
      </c>
      <c r="D76" s="18">
        <f t="shared" si="5"/>
        <v>480.93778353856123</v>
      </c>
      <c r="E76" s="18">
        <f t="shared" si="1"/>
        <v>742.08699999999999</v>
      </c>
      <c r="F76" s="18">
        <f t="shared" si="2"/>
        <v>752.66902198037803</v>
      </c>
      <c r="G76" s="20">
        <f t="shared" si="3"/>
        <v>-1.4259813176053541E-2</v>
      </c>
    </row>
    <row r="77" spans="2:7" x14ac:dyDescent="0.3">
      <c r="B77" s="9" t="s">
        <v>15</v>
      </c>
      <c r="C77" s="9">
        <f t="shared" ref="C77" si="17">$C17</f>
        <v>875.73299999999995</v>
      </c>
      <c r="D77" s="9">
        <f t="shared" si="5"/>
        <v>116.34819507453012</v>
      </c>
      <c r="E77" s="9">
        <f t="shared" si="1"/>
        <v>218.93324999999999</v>
      </c>
      <c r="F77" s="9">
        <f t="shared" si="2"/>
        <v>217.56091684723674</v>
      </c>
      <c r="G77" s="20">
        <f t="shared" si="3"/>
        <v>6.2682719630903338E-3</v>
      </c>
    </row>
    <row r="78" spans="2:7" x14ac:dyDescent="0.3">
      <c r="B78" s="18" t="s">
        <v>16</v>
      </c>
      <c r="C78" s="18">
        <f t="shared" ref="C78" si="18">$C17</f>
        <v>875.73299999999995</v>
      </c>
      <c r="D78" s="18">
        <f t="shared" si="5"/>
        <v>567.55217109526893</v>
      </c>
      <c r="E78" s="18">
        <f t="shared" si="1"/>
        <v>875.73299999999995</v>
      </c>
      <c r="F78" s="18">
        <f t="shared" si="2"/>
        <v>889.46465330010903</v>
      </c>
      <c r="G78" s="20">
        <f t="shared" si="3"/>
        <v>-1.5680182544347523E-2</v>
      </c>
    </row>
    <row r="79" spans="2:7" x14ac:dyDescent="0.3">
      <c r="B79" s="9" t="s">
        <v>15</v>
      </c>
      <c r="C79" s="9">
        <f t="shared" ref="C79" si="19">$C19</f>
        <v>1019.93</v>
      </c>
      <c r="D79" s="9">
        <f t="shared" si="5"/>
        <v>135.41816709844559</v>
      </c>
      <c r="E79" s="9">
        <f t="shared" si="1"/>
        <v>254.98250000000002</v>
      </c>
      <c r="F79" s="9">
        <f t="shared" si="2"/>
        <v>254.39076064753198</v>
      </c>
      <c r="G79" s="20">
        <f t="shared" si="3"/>
        <v>2.320705744386533E-3</v>
      </c>
    </row>
    <row r="80" spans="2:7" x14ac:dyDescent="0.3">
      <c r="B80" s="18" t="s">
        <v>16</v>
      </c>
      <c r="C80" s="18">
        <f t="shared" ref="C80" si="20">$C19</f>
        <v>1019.93</v>
      </c>
      <c r="D80" s="18">
        <f t="shared" si="5"/>
        <v>660.57642487046633</v>
      </c>
      <c r="E80" s="18">
        <f t="shared" si="1"/>
        <v>1019.9300000000001</v>
      </c>
      <c r="F80" s="18">
        <f t="shared" si="2"/>
        <v>1036.422423440067</v>
      </c>
      <c r="G80" s="20">
        <f t="shared" si="3"/>
        <v>-1.6170152304635501E-2</v>
      </c>
    </row>
    <row r="81" spans="2:7" x14ac:dyDescent="0.3">
      <c r="B81" s="9" t="s">
        <v>15</v>
      </c>
      <c r="C81" s="9">
        <f t="shared" ref="C81" si="21">$C21</f>
        <v>1171.1610000000001</v>
      </c>
      <c r="D81" s="9">
        <f t="shared" si="5"/>
        <v>155.49741256476685</v>
      </c>
      <c r="E81" s="9">
        <f t="shared" si="1"/>
        <v>292.79025000000001</v>
      </c>
      <c r="F81" s="9">
        <f t="shared" si="2"/>
        <v>293.13486989853459</v>
      </c>
      <c r="G81" s="20">
        <f t="shared" si="3"/>
        <v>-1.1770197215739749E-3</v>
      </c>
    </row>
    <row r="82" spans="2:7" x14ac:dyDescent="0.3">
      <c r="B82" s="18" t="s">
        <v>16</v>
      </c>
      <c r="C82" s="18">
        <f t="shared" ref="C82" si="22">$C21</f>
        <v>1171.1610000000001</v>
      </c>
      <c r="D82" s="18">
        <f t="shared" si="5"/>
        <v>758.52396373057002</v>
      </c>
      <c r="E82" s="18">
        <f t="shared" si="1"/>
        <v>1171.1610000000001</v>
      </c>
      <c r="F82" s="18">
        <f t="shared" si="2"/>
        <v>1191.1229516568592</v>
      </c>
      <c r="G82" s="20">
        <f t="shared" si="3"/>
        <v>-1.7044583671125598E-2</v>
      </c>
    </row>
    <row r="83" spans="2:7" x14ac:dyDescent="0.3">
      <c r="B83" s="9" t="s">
        <v>15</v>
      </c>
      <c r="C83" s="9">
        <f t="shared" ref="C83" si="23">$C23</f>
        <v>1325.9089999999999</v>
      </c>
      <c r="D83" s="9">
        <f t="shared" si="5"/>
        <v>175.81587645536865</v>
      </c>
      <c r="E83" s="9">
        <f t="shared" si="1"/>
        <v>331.47724999999997</v>
      </c>
      <c r="F83" s="9">
        <f t="shared" si="2"/>
        <v>332.44086813834883</v>
      </c>
      <c r="G83" s="20">
        <f t="shared" si="3"/>
        <v>-2.9070415491526595E-3</v>
      </c>
    </row>
    <row r="84" spans="2:7" x14ac:dyDescent="0.3">
      <c r="B84" s="18" t="s">
        <v>16</v>
      </c>
      <c r="C84" s="18">
        <f t="shared" ref="C84" si="24">$C23</f>
        <v>1325.9089999999999</v>
      </c>
      <c r="D84" s="18">
        <f t="shared" si="5"/>
        <v>857.63842173350577</v>
      </c>
      <c r="E84" s="18">
        <f t="shared" si="1"/>
        <v>1325.9089999999999</v>
      </c>
      <c r="F84" s="18">
        <f t="shared" si="2"/>
        <v>1347.7668406850346</v>
      </c>
      <c r="G84" s="20">
        <f t="shared" si="3"/>
        <v>-1.6485174084371338E-2</v>
      </c>
    </row>
    <row r="85" spans="2:7" x14ac:dyDescent="0.3">
      <c r="B85" s="9" t="s">
        <v>15</v>
      </c>
      <c r="C85" s="9">
        <f t="shared" ref="C85" si="25">$C25</f>
        <v>1494.7249999999999</v>
      </c>
      <c r="D85" s="9">
        <f t="shared" si="5"/>
        <v>193.81317204301072</v>
      </c>
      <c r="E85" s="9">
        <f t="shared" si="1"/>
        <v>373.68124999999998</v>
      </c>
      <c r="F85" s="9">
        <f t="shared" si="2"/>
        <v>369.11297450679876</v>
      </c>
      <c r="G85" s="20">
        <f t="shared" si="3"/>
        <v>1.2225059440903747E-2</v>
      </c>
    </row>
    <row r="86" spans="2:7" x14ac:dyDescent="0.3">
      <c r="B86" s="18" t="s">
        <v>16</v>
      </c>
      <c r="C86" s="18">
        <f t="shared" ref="C86" si="26">$C25</f>
        <v>1494.7249999999999</v>
      </c>
      <c r="D86" s="18">
        <f t="shared" si="5"/>
        <v>945.43010752688167</v>
      </c>
      <c r="E86" s="18">
        <f t="shared" si="1"/>
        <v>1494.7249999999999</v>
      </c>
      <c r="F86" s="18">
        <f t="shared" si="2"/>
        <v>1488.3722323411275</v>
      </c>
      <c r="G86" s="20">
        <f t="shared" si="3"/>
        <v>4.2501247111491284E-3</v>
      </c>
    </row>
    <row r="87" spans="2:7" x14ac:dyDescent="0.3">
      <c r="B87" s="9" t="s">
        <v>15</v>
      </c>
      <c r="C87" s="9">
        <f t="shared" ref="C87" si="27">$C27</f>
        <v>1688.1599999999999</v>
      </c>
      <c r="D87" s="9">
        <f t="shared" si="5"/>
        <v>218.34246056782331</v>
      </c>
      <c r="E87" s="9">
        <f t="shared" si="1"/>
        <v>422.03999999999996</v>
      </c>
      <c r="F87" s="9">
        <f t="shared" si="2"/>
        <v>416.951724517277</v>
      </c>
      <c r="G87" s="20">
        <f t="shared" si="3"/>
        <v>1.2056382055546782E-2</v>
      </c>
    </row>
    <row r="88" spans="2:7" x14ac:dyDescent="0.3">
      <c r="B88" s="18" t="s">
        <v>16</v>
      </c>
      <c r="C88" s="18">
        <f t="shared" ref="C88" si="28">$C27</f>
        <v>1688.1599999999999</v>
      </c>
      <c r="D88" s="18">
        <f t="shared" si="5"/>
        <v>1065.0851735015772</v>
      </c>
      <c r="E88" s="18">
        <f t="shared" si="1"/>
        <v>1688.1599999999999</v>
      </c>
      <c r="F88" s="18">
        <f t="shared" si="2"/>
        <v>1677.8661288005433</v>
      </c>
      <c r="G88" s="20">
        <f t="shared" si="3"/>
        <v>6.0976869487824551E-3</v>
      </c>
    </row>
    <row r="89" spans="2:7" x14ac:dyDescent="0.3">
      <c r="B89" s="9" t="s">
        <v>15</v>
      </c>
      <c r="C89" s="9">
        <f t="shared" ref="C89" si="29">$C29</f>
        <v>1899.1799999999998</v>
      </c>
      <c r="D89" s="9">
        <f t="shared" si="5"/>
        <v>246.25673624288422</v>
      </c>
      <c r="E89" s="9">
        <f t="shared" si="1"/>
        <v>474.79499999999996</v>
      </c>
      <c r="F89" s="9">
        <f t="shared" si="2"/>
        <v>470.85948017328366</v>
      </c>
      <c r="G89" s="20">
        <f t="shared" si="3"/>
        <v>8.28888220540718E-3</v>
      </c>
    </row>
    <row r="90" spans="2:7" x14ac:dyDescent="0.3">
      <c r="B90" s="18" t="s">
        <v>16</v>
      </c>
      <c r="C90" s="18">
        <f t="shared" ref="C90" si="30">$C29</f>
        <v>1899.1799999999998</v>
      </c>
      <c r="D90" s="18">
        <f t="shared" si="5"/>
        <v>1201.2523719165085</v>
      </c>
      <c r="E90" s="18">
        <f t="shared" si="1"/>
        <v>1899.1799999999998</v>
      </c>
      <c r="F90" s="18">
        <f t="shared" si="2"/>
        <v>1892.9771254216073</v>
      </c>
      <c r="G90" s="20">
        <f t="shared" si="3"/>
        <v>3.2660804022749497E-3</v>
      </c>
    </row>
    <row r="91" spans="2:7" x14ac:dyDescent="0.3">
      <c r="B91" s="9" t="s">
        <v>15</v>
      </c>
      <c r="C91" s="9">
        <f t="shared" ref="C91" si="31">$C31</f>
        <v>2110.1999999999998</v>
      </c>
      <c r="D91" s="9">
        <f t="shared" si="5"/>
        <v>273.61859582542689</v>
      </c>
      <c r="E91" s="9">
        <f t="shared" si="1"/>
        <v>527.54999999999995</v>
      </c>
      <c r="F91" s="9">
        <f t="shared" si="2"/>
        <v>523.94461356449312</v>
      </c>
      <c r="G91" s="20">
        <f t="shared" si="3"/>
        <v>6.834208009680277E-3</v>
      </c>
    </row>
    <row r="92" spans="2:7" x14ac:dyDescent="0.3">
      <c r="B92" s="18" t="s">
        <v>16</v>
      </c>
      <c r="C92" s="18">
        <f t="shared" ref="C92" si="32">$C31</f>
        <v>2110.1999999999998</v>
      </c>
      <c r="D92" s="18">
        <f t="shared" si="5"/>
        <v>1334.7248576850095</v>
      </c>
      <c r="E92" s="18">
        <f t="shared" si="1"/>
        <v>2110.1999999999998</v>
      </c>
      <c r="F92" s="18">
        <f t="shared" si="2"/>
        <v>2104.0753305070748</v>
      </c>
      <c r="G92" s="20">
        <f t="shared" si="3"/>
        <v>2.9024118533432959E-3</v>
      </c>
    </row>
    <row r="93" spans="2:7" x14ac:dyDescent="0.3">
      <c r="B93" s="9" t="s">
        <v>15</v>
      </c>
      <c r="C93" s="9">
        <f t="shared" ref="C93" si="33">$C33</f>
        <v>2342.3220000000001</v>
      </c>
      <c r="D93" s="9">
        <f t="shared" si="5"/>
        <v>303.71664136622388</v>
      </c>
      <c r="E93" s="9">
        <f t="shared" si="1"/>
        <v>585.58050000000003</v>
      </c>
      <c r="F93" s="9">
        <f t="shared" si="2"/>
        <v>582.33826029482361</v>
      </c>
      <c r="G93" s="20">
        <f t="shared" si="3"/>
        <v>5.5367958891671025E-3</v>
      </c>
    </row>
    <row r="94" spans="2:7" x14ac:dyDescent="0.3">
      <c r="B94" s="18" t="s">
        <v>16</v>
      </c>
      <c r="C94" s="18">
        <f t="shared" ref="C94" si="34">$C33</f>
        <v>2342.3220000000001</v>
      </c>
      <c r="D94" s="18">
        <f t="shared" si="5"/>
        <v>1481.5445920303607</v>
      </c>
      <c r="E94" s="18">
        <f t="shared" si="1"/>
        <v>2342.3220000000001</v>
      </c>
      <c r="F94" s="18">
        <f t="shared" si="2"/>
        <v>2336.2833561010893</v>
      </c>
      <c r="G94" s="20">
        <f t="shared" si="3"/>
        <v>2.5780588232150732E-3</v>
      </c>
    </row>
    <row r="95" spans="2:7" x14ac:dyDescent="0.3">
      <c r="B95" s="9" t="s">
        <v>15</v>
      </c>
      <c r="C95" s="9">
        <f t="shared" ref="C95" si="35">$C35</f>
        <v>2637.75</v>
      </c>
      <c r="D95" s="9">
        <f t="shared" si="5"/>
        <v>342.02324478178366</v>
      </c>
      <c r="E95" s="9">
        <f t="shared" ref="E95:E114" si="36">$D95*$D34</f>
        <v>659.4375</v>
      </c>
      <c r="F95" s="9">
        <f t="shared" ref="F95:F114" si="37">$B$117*$D95+$C$117*$C95+$D$117</f>
        <v>656.65744704251688</v>
      </c>
      <c r="G95" s="20">
        <f t="shared" si="3"/>
        <v>4.2157944573718081E-3</v>
      </c>
    </row>
    <row r="96" spans="2:7" x14ac:dyDescent="0.3">
      <c r="B96" s="18" t="s">
        <v>16</v>
      </c>
      <c r="C96" s="18">
        <f t="shared" ref="C96" si="38">$C35</f>
        <v>2637.75</v>
      </c>
      <c r="D96" s="18">
        <f t="shared" si="5"/>
        <v>1668.4060721062619</v>
      </c>
      <c r="E96" s="18">
        <f t="shared" si="36"/>
        <v>2637.75</v>
      </c>
      <c r="F96" s="18">
        <f t="shared" si="37"/>
        <v>2631.8208432207448</v>
      </c>
      <c r="G96" s="20">
        <f t="shared" si="3"/>
        <v>2.2478084652659308E-3</v>
      </c>
    </row>
    <row r="97" spans="2:7" x14ac:dyDescent="0.3">
      <c r="B97" s="9" t="s">
        <v>15</v>
      </c>
      <c r="C97" s="9">
        <f t="shared" ref="C97" si="39">$C37</f>
        <v>2901.5250000000001</v>
      </c>
      <c r="D97" s="9">
        <f t="shared" si="5"/>
        <v>376.22556925996201</v>
      </c>
      <c r="E97" s="9">
        <f t="shared" si="36"/>
        <v>725.38125000000002</v>
      </c>
      <c r="F97" s="9">
        <f t="shared" si="37"/>
        <v>723.01386378152881</v>
      </c>
      <c r="G97" s="20">
        <f t="shared" si="3"/>
        <v>3.2636440747141047E-3</v>
      </c>
    </row>
    <row r="98" spans="2:7" x14ac:dyDescent="0.3">
      <c r="B98" s="18" t="s">
        <v>16</v>
      </c>
      <c r="C98" s="18">
        <f t="shared" ref="C98" si="40">$C37</f>
        <v>2901.5250000000001</v>
      </c>
      <c r="D98" s="18">
        <f t="shared" si="5"/>
        <v>1835.246679316888</v>
      </c>
      <c r="E98" s="18">
        <f t="shared" si="36"/>
        <v>2901.5250000000001</v>
      </c>
      <c r="F98" s="18">
        <f t="shared" si="37"/>
        <v>2895.6935995775793</v>
      </c>
      <c r="G98" s="20">
        <f t="shared" si="3"/>
        <v>2.009770869601591E-3</v>
      </c>
    </row>
    <row r="99" spans="2:7" x14ac:dyDescent="0.3">
      <c r="B99" s="9" t="s">
        <v>15</v>
      </c>
      <c r="C99" s="9">
        <f t="shared" ref="C99" si="41">$C39</f>
        <v>3165.2999999999997</v>
      </c>
      <c r="D99" s="9">
        <f t="shared" si="5"/>
        <v>410.94775174160856</v>
      </c>
      <c r="E99" s="9">
        <f t="shared" si="36"/>
        <v>791.32499999999993</v>
      </c>
      <c r="F99" s="9">
        <f t="shared" si="37"/>
        <v>790.14441938792311</v>
      </c>
      <c r="G99" s="20">
        <f t="shared" si="3"/>
        <v>1.4919035947010696E-3</v>
      </c>
    </row>
    <row r="100" spans="2:7" x14ac:dyDescent="0.3">
      <c r="B100" s="18" t="s">
        <v>16</v>
      </c>
      <c r="C100" s="18">
        <f t="shared" ref="C100" si="42">$C39</f>
        <v>3165.2999999999997</v>
      </c>
      <c r="D100" s="18">
        <f t="shared" si="5"/>
        <v>2004.6231792273591</v>
      </c>
      <c r="E100" s="18">
        <f t="shared" si="36"/>
        <v>3165.2999999999997</v>
      </c>
      <c r="F100" s="18">
        <f t="shared" si="37"/>
        <v>3163.3426430923773</v>
      </c>
      <c r="G100" s="20">
        <f t="shared" si="3"/>
        <v>6.18379587281584E-4</v>
      </c>
    </row>
    <row r="101" spans="2:7" x14ac:dyDescent="0.3">
      <c r="B101" s="9" t="s">
        <v>15</v>
      </c>
      <c r="C101" s="9">
        <f t="shared" ref="C101" si="43">$C41</f>
        <v>3517</v>
      </c>
      <c r="D101" s="9">
        <f t="shared" si="5"/>
        <v>457.18769816106527</v>
      </c>
      <c r="E101" s="9">
        <f t="shared" si="36"/>
        <v>879.25</v>
      </c>
      <c r="F101" s="9">
        <f t="shared" si="37"/>
        <v>879.56799318178219</v>
      </c>
      <c r="G101" s="20">
        <f t="shared" si="3"/>
        <v>-3.6166412485889708E-4</v>
      </c>
    </row>
    <row r="102" spans="2:7" x14ac:dyDescent="0.3">
      <c r="B102" s="18" t="s">
        <v>16</v>
      </c>
      <c r="C102" s="18">
        <f t="shared" ref="C102" si="44">$C41</f>
        <v>3517</v>
      </c>
      <c r="D102" s="18">
        <f t="shared" si="5"/>
        <v>2230.1838934686111</v>
      </c>
      <c r="E102" s="18">
        <f t="shared" si="36"/>
        <v>3516.9999999999995</v>
      </c>
      <c r="F102" s="18">
        <f t="shared" si="37"/>
        <v>3519.7990896584488</v>
      </c>
      <c r="G102" s="20">
        <f t="shared" si="3"/>
        <v>-7.9587422759432697E-4</v>
      </c>
    </row>
    <row r="103" spans="2:7" x14ac:dyDescent="0.3">
      <c r="B103" s="9" t="s">
        <v>15</v>
      </c>
      <c r="C103" s="9">
        <f t="shared" ref="C103" si="45">$C43</f>
        <v>3868.7</v>
      </c>
      <c r="D103" s="9">
        <f t="shared" si="5"/>
        <v>501.95158227848094</v>
      </c>
      <c r="E103" s="9">
        <f t="shared" si="36"/>
        <v>967.17499999999995</v>
      </c>
      <c r="F103" s="9">
        <f t="shared" si="37"/>
        <v>966.79351060050647</v>
      </c>
      <c r="G103" s="20">
        <f t="shared" si="3"/>
        <v>3.9443678702767249E-4</v>
      </c>
    </row>
    <row r="104" spans="2:7" x14ac:dyDescent="0.3">
      <c r="B104" s="18" t="s">
        <v>16</v>
      </c>
      <c r="C104" s="18">
        <f t="shared" ref="C104" si="46">$C43</f>
        <v>3868.7</v>
      </c>
      <c r="D104" s="18">
        <f t="shared" si="5"/>
        <v>2448.5443037974683</v>
      </c>
      <c r="E104" s="18">
        <f t="shared" si="36"/>
        <v>3868.7000000000003</v>
      </c>
      <c r="F104" s="18">
        <f t="shared" si="37"/>
        <v>3865.5333100043499</v>
      </c>
      <c r="G104" s="20">
        <f t="shared" si="3"/>
        <v>8.1854111087713136E-4</v>
      </c>
    </row>
    <row r="105" spans="2:7" x14ac:dyDescent="0.3">
      <c r="B105" s="9" t="s">
        <v>15</v>
      </c>
      <c r="C105" s="9">
        <f t="shared" ref="C105" si="47">$C45</f>
        <v>4308.3249999999998</v>
      </c>
      <c r="D105" s="9">
        <f t="shared" si="5"/>
        <v>558.9915348101265</v>
      </c>
      <c r="E105" s="9">
        <f t="shared" si="36"/>
        <v>1077.08125</v>
      </c>
      <c r="F105" s="9">
        <f t="shared" si="37"/>
        <v>1077.4412641173369</v>
      </c>
      <c r="G105" s="20">
        <f t="shared" si="3"/>
        <v>-3.3424973031232261E-4</v>
      </c>
    </row>
    <row r="106" spans="2:7" x14ac:dyDescent="0.3">
      <c r="B106" s="18" t="s">
        <v>16</v>
      </c>
      <c r="C106" s="18">
        <f t="shared" ref="C106" si="48">$C45</f>
        <v>4308.3249999999998</v>
      </c>
      <c r="D106" s="18">
        <f t="shared" si="5"/>
        <v>2726.7879746835442</v>
      </c>
      <c r="E106" s="18">
        <f t="shared" si="36"/>
        <v>4308.3249999999998</v>
      </c>
      <c r="F106" s="18">
        <f t="shared" si="37"/>
        <v>4305.5833134534359</v>
      </c>
      <c r="G106" s="20">
        <f t="shared" si="3"/>
        <v>6.3636948154186825E-4</v>
      </c>
    </row>
    <row r="107" spans="2:7" x14ac:dyDescent="0.3">
      <c r="B107" s="9" t="s">
        <v>15</v>
      </c>
      <c r="C107" s="9">
        <f t="shared" ref="C107" si="49">$C47</f>
        <v>4719.8140000000003</v>
      </c>
      <c r="D107" s="9">
        <f t="shared" si="5"/>
        <v>612.76875870804304</v>
      </c>
      <c r="E107" s="9">
        <f t="shared" si="36"/>
        <v>1179.9535000000001</v>
      </c>
      <c r="F107" s="9">
        <f t="shared" si="37"/>
        <v>1181.5850902358145</v>
      </c>
      <c r="G107" s="20">
        <f t="shared" si="3"/>
        <v>-1.3827580797162163E-3</v>
      </c>
    </row>
    <row r="108" spans="2:7" x14ac:dyDescent="0.3">
      <c r="B108" s="18" t="s">
        <v>16</v>
      </c>
      <c r="C108" s="18">
        <f t="shared" ref="C108" si="50">$C47</f>
        <v>4719.8140000000003</v>
      </c>
      <c r="D108" s="18">
        <f t="shared" si="5"/>
        <v>2989.1158961367955</v>
      </c>
      <c r="E108" s="18">
        <f t="shared" si="36"/>
        <v>4719.8140000000003</v>
      </c>
      <c r="F108" s="18">
        <f t="shared" si="37"/>
        <v>4720.2873304706782</v>
      </c>
      <c r="G108" s="20">
        <f t="shared" si="3"/>
        <v>-1.0028583132256173E-4</v>
      </c>
    </row>
    <row r="109" spans="2:7" x14ac:dyDescent="0.3">
      <c r="B109" s="9" t="s">
        <v>15</v>
      </c>
      <c r="C109" s="9">
        <f t="shared" ref="C109" si="51">$C49</f>
        <v>5275.5</v>
      </c>
      <c r="D109" s="9">
        <f t="shared" si="5"/>
        <v>684.91291956934765</v>
      </c>
      <c r="E109" s="9">
        <f t="shared" si="36"/>
        <v>1318.875</v>
      </c>
      <c r="F109" s="9">
        <f t="shared" si="37"/>
        <v>1321.5118458782733</v>
      </c>
      <c r="G109" s="20">
        <f t="shared" si="3"/>
        <v>-1.9993144750437564E-3</v>
      </c>
    </row>
    <row r="110" spans="2:7" x14ac:dyDescent="0.3">
      <c r="B110" s="18" t="s">
        <v>16</v>
      </c>
      <c r="C110" s="18">
        <f t="shared" ref="C110" si="52">$C49</f>
        <v>5275.5</v>
      </c>
      <c r="D110" s="18">
        <f t="shared" si="5"/>
        <v>3341.0386320455987</v>
      </c>
      <c r="E110" s="18">
        <f t="shared" si="36"/>
        <v>5275.5</v>
      </c>
      <c r="F110" s="18">
        <f t="shared" si="37"/>
        <v>5276.8422187190308</v>
      </c>
      <c r="G110" s="20">
        <f t="shared" si="3"/>
        <v>-2.5442493015464412E-4</v>
      </c>
    </row>
    <row r="111" spans="2:7" x14ac:dyDescent="0.3">
      <c r="B111" s="9" t="s">
        <v>15</v>
      </c>
      <c r="C111" s="9">
        <f t="shared" ref="C111" si="53">$C51</f>
        <v>5901.5259999999998</v>
      </c>
      <c r="D111" s="9">
        <f t="shared" si="5"/>
        <v>766.18925269157683</v>
      </c>
      <c r="E111" s="9">
        <f t="shared" si="36"/>
        <v>1475.3815</v>
      </c>
      <c r="F111" s="9">
        <f t="shared" si="37"/>
        <v>1479.1508490704102</v>
      </c>
      <c r="G111" s="20">
        <f t="shared" si="3"/>
        <v>-2.5548301035428949E-3</v>
      </c>
    </row>
    <row r="112" spans="2:7" x14ac:dyDescent="0.3">
      <c r="B112" s="18" t="s">
        <v>16</v>
      </c>
      <c r="C112" s="18">
        <f t="shared" ref="C112" si="54">$C51</f>
        <v>5901.5259999999998</v>
      </c>
      <c r="D112" s="18">
        <f t="shared" si="5"/>
        <v>3737.5085497150094</v>
      </c>
      <c r="E112" s="18">
        <f t="shared" si="36"/>
        <v>5901.5259999999998</v>
      </c>
      <c r="F112" s="18">
        <f t="shared" si="37"/>
        <v>5903.8470928216038</v>
      </c>
      <c r="G112" s="20">
        <f t="shared" si="3"/>
        <v>-3.9330383727937443E-4</v>
      </c>
    </row>
    <row r="113" spans="2:8" x14ac:dyDescent="0.3">
      <c r="B113" s="9" t="s">
        <v>15</v>
      </c>
      <c r="C113" s="9">
        <f t="shared" ref="C113" si="55">$C53</f>
        <v>6400.94</v>
      </c>
      <c r="D113" s="9">
        <f t="shared" si="5"/>
        <v>830.50170886075932</v>
      </c>
      <c r="E113" s="9">
        <f t="shared" si="36"/>
        <v>1600.2349999999999</v>
      </c>
      <c r="F113" s="9">
        <f t="shared" si="37"/>
        <v>1604.1245708574497</v>
      </c>
      <c r="G113" s="20">
        <f t="shared" si="3"/>
        <v>-2.4306247878904197E-3</v>
      </c>
    </row>
    <row r="114" spans="2:8" x14ac:dyDescent="0.3">
      <c r="B114" s="18" t="s">
        <v>16</v>
      </c>
      <c r="C114" s="18">
        <f t="shared" ref="C114" si="56">$C53</f>
        <v>6400.94</v>
      </c>
      <c r="D114" s="18">
        <f t="shared" si="5"/>
        <v>4051.2278481012654</v>
      </c>
      <c r="E114" s="18">
        <f t="shared" si="36"/>
        <v>6400.94</v>
      </c>
      <c r="F114" s="18">
        <f t="shared" si="37"/>
        <v>6400.2213298710831</v>
      </c>
      <c r="G114" s="20">
        <f t="shared" si="3"/>
        <v>1.1227571714725158E-4</v>
      </c>
    </row>
    <row r="116" spans="2:8" x14ac:dyDescent="0.3">
      <c r="B116" t="s">
        <v>19</v>
      </c>
      <c r="C116" t="s">
        <v>20</v>
      </c>
      <c r="D116" t="s">
        <v>21</v>
      </c>
    </row>
    <row r="117" spans="2:8" x14ac:dyDescent="0.3">
      <c r="B117" cm="1">
        <f t="array" ref="B117:D117">LINEST(E63:E114,C63:D114)</f>
        <v>1.4891352296549565</v>
      </c>
      <c r="C117">
        <v>5.8476089176253965E-2</v>
      </c>
      <c r="D117">
        <v>-6.9067203476017767</v>
      </c>
    </row>
    <row r="118" spans="2:8" x14ac:dyDescent="0.3">
      <c r="B118" s="35">
        <v>1.4891352296549565</v>
      </c>
      <c r="C118" s="66">
        <v>5.8476089176253965E-2</v>
      </c>
      <c r="D118" s="35">
        <v>-6.9067203476017767</v>
      </c>
    </row>
    <row r="120" spans="2:8" x14ac:dyDescent="0.3">
      <c r="B120" s="2" t="s">
        <v>416</v>
      </c>
      <c r="C120" s="57">
        <v>0.25</v>
      </c>
    </row>
    <row r="121" spans="2:8" x14ac:dyDescent="0.3">
      <c r="B121" s="2" t="s">
        <v>415</v>
      </c>
      <c r="C121" s="57">
        <v>1</v>
      </c>
    </row>
    <row r="123" spans="2:8" x14ac:dyDescent="0.3">
      <c r="B123" t="s">
        <v>417</v>
      </c>
    </row>
    <row r="125" spans="2:8" x14ac:dyDescent="0.3">
      <c r="B125" s="2" t="s">
        <v>418</v>
      </c>
      <c r="C125" s="2" t="s">
        <v>379</v>
      </c>
      <c r="D125" s="2"/>
      <c r="F125" s="2" t="s">
        <v>419</v>
      </c>
      <c r="G125" s="2" t="s">
        <v>381</v>
      </c>
      <c r="H125" s="2"/>
    </row>
    <row r="126" spans="2:8" x14ac:dyDescent="0.3">
      <c r="B126">
        <f>C120</f>
        <v>0.25</v>
      </c>
      <c r="C126" s="66">
        <f>B118*C120+C118</f>
        <v>0.43075989658999309</v>
      </c>
      <c r="D126" s="67"/>
      <c r="F126">
        <f>C121</f>
        <v>1</v>
      </c>
      <c r="G126" s="67">
        <f>B118*C121+C118</f>
        <v>1.5476113188312104</v>
      </c>
      <c r="H126" s="67"/>
    </row>
  </sheetData>
  <hyperlinks>
    <hyperlink ref="C56" r:id="rId1" xr:uid="{E9B35F27-FD9C-4980-AE14-ED143726CB4E}"/>
    <hyperlink ref="C57" r:id="rId2" xr:uid="{14C18E73-6E34-4BBA-ACA8-4F7E27C6D8EC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977E-BEE1-4461-89FE-F9092FD117F9}">
  <sheetPr>
    <tabColor rgb="FF00B050"/>
  </sheetPr>
  <dimension ref="A1:K32"/>
  <sheetViews>
    <sheetView zoomScaleNormal="100" workbookViewId="0">
      <selection activeCell="H12" sqref="H12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1:11" x14ac:dyDescent="0.3">
      <c r="B1" s="10" t="s">
        <v>377</v>
      </c>
      <c r="C1" s="3" t="s">
        <v>0</v>
      </c>
      <c r="D1" s="2" t="s">
        <v>32</v>
      </c>
      <c r="E1" s="5" t="s">
        <v>11</v>
      </c>
      <c r="F1" s="2" t="s">
        <v>250</v>
      </c>
    </row>
    <row r="2" spans="1:11" x14ac:dyDescent="0.3">
      <c r="B2" s="45" t="s">
        <v>128</v>
      </c>
      <c r="C2" s="9">
        <f>$C3*0.5</f>
        <v>175.8</v>
      </c>
      <c r="D2" s="8">
        <f>$D3*1.2</f>
        <v>0.879</v>
      </c>
      <c r="E2" s="15" t="s">
        <v>412</v>
      </c>
      <c r="F2" s="9">
        <f t="shared" ref="F2:F7" si="0">$C2/$D2</f>
        <v>200</v>
      </c>
      <c r="G2" s="9" t="s">
        <v>15</v>
      </c>
    </row>
    <row r="3" spans="1:11" x14ac:dyDescent="0.3">
      <c r="B3" s="46" t="s">
        <v>129</v>
      </c>
      <c r="C3" s="18">
        <v>351.6</v>
      </c>
      <c r="D3" s="34">
        <v>0.73250000000000004</v>
      </c>
      <c r="E3" s="19" t="s">
        <v>413</v>
      </c>
      <c r="F3" s="18">
        <f t="shared" si="0"/>
        <v>480</v>
      </c>
      <c r="G3" s="18" t="s">
        <v>16</v>
      </c>
    </row>
    <row r="4" spans="1:11" x14ac:dyDescent="0.3">
      <c r="B4" s="45" t="s">
        <v>128</v>
      </c>
      <c r="C4" s="9">
        <f>$C5*0.5</f>
        <v>500</v>
      </c>
      <c r="D4" s="8">
        <f>$D5*1.2</f>
        <v>0.93599999999999994</v>
      </c>
      <c r="E4" s="15" t="s">
        <v>412</v>
      </c>
      <c r="F4" s="9">
        <f t="shared" si="0"/>
        <v>534.18803418803418</v>
      </c>
      <c r="G4" s="9" t="s">
        <v>15</v>
      </c>
      <c r="H4" s="2" t="s">
        <v>404</v>
      </c>
      <c r="I4" s="2" t="s">
        <v>402</v>
      </c>
      <c r="J4" s="2" t="s">
        <v>405</v>
      </c>
      <c r="K4" s="2" t="s">
        <v>403</v>
      </c>
    </row>
    <row r="5" spans="1:11" x14ac:dyDescent="0.3">
      <c r="B5" s="46" t="s">
        <v>129</v>
      </c>
      <c r="C5" s="18">
        <v>1000</v>
      </c>
      <c r="D5" s="34">
        <v>0.78</v>
      </c>
      <c r="E5" s="19" t="s">
        <v>413</v>
      </c>
      <c r="F5" s="18">
        <f t="shared" si="0"/>
        <v>1282.051282051282</v>
      </c>
      <c r="G5" s="18" t="s">
        <v>16</v>
      </c>
      <c r="H5" s="18">
        <f>I5/D4</f>
        <v>534.18803418803418</v>
      </c>
      <c r="I5" s="26">
        <f>K5*C4/C5</f>
        <v>500</v>
      </c>
      <c r="J5" s="26">
        <f>K5/D5</f>
        <v>1282.051282051282</v>
      </c>
      <c r="K5" s="26">
        <v>1000</v>
      </c>
    </row>
    <row r="6" spans="1:11" x14ac:dyDescent="0.3">
      <c r="B6" s="45" t="s">
        <v>128</v>
      </c>
      <c r="C6" s="9">
        <f>$C7*0.5</f>
        <v>3100</v>
      </c>
      <c r="D6" s="8">
        <f>$D7*1.2</f>
        <v>0.97199999999999998</v>
      </c>
      <c r="E6" s="15" t="s">
        <v>412</v>
      </c>
      <c r="F6" s="9">
        <f t="shared" si="0"/>
        <v>3189.300411522634</v>
      </c>
      <c r="G6" s="9" t="s">
        <v>15</v>
      </c>
    </row>
    <row r="7" spans="1:11" x14ac:dyDescent="0.3">
      <c r="B7" s="46" t="s">
        <v>129</v>
      </c>
      <c r="C7" s="18">
        <v>6200</v>
      </c>
      <c r="D7" s="34">
        <v>0.81</v>
      </c>
      <c r="E7" s="19" t="s">
        <v>413</v>
      </c>
      <c r="F7" s="18">
        <f t="shared" si="0"/>
        <v>7654.3209876543206</v>
      </c>
      <c r="G7" s="18" t="s">
        <v>16</v>
      </c>
    </row>
    <row r="9" spans="1:11" x14ac:dyDescent="0.3">
      <c r="B9" t="s">
        <v>1</v>
      </c>
      <c r="C9" t="s">
        <v>4</v>
      </c>
    </row>
    <row r="10" spans="1:11" x14ac:dyDescent="0.3">
      <c r="A10" t="s">
        <v>413</v>
      </c>
      <c r="B10" t="s">
        <v>367</v>
      </c>
      <c r="C10" s="4" t="s">
        <v>368</v>
      </c>
      <c r="D10" s="4"/>
    </row>
    <row r="11" spans="1:11" x14ac:dyDescent="0.3">
      <c r="A11" t="s">
        <v>414</v>
      </c>
      <c r="B11" t="s">
        <v>369</v>
      </c>
      <c r="C11" s="4" t="s">
        <v>370</v>
      </c>
      <c r="D11" s="4"/>
    </row>
    <row r="13" spans="1:11" x14ac:dyDescent="0.3">
      <c r="E13" s="10" t="s">
        <v>18</v>
      </c>
      <c r="F13" s="10" t="s">
        <v>18</v>
      </c>
      <c r="G13" s="10" t="s">
        <v>18</v>
      </c>
    </row>
    <row r="14" spans="1:11" x14ac:dyDescent="0.3">
      <c r="B14" s="2" t="s">
        <v>13</v>
      </c>
      <c r="C14" s="2" t="s">
        <v>12</v>
      </c>
      <c r="D14" s="2" t="s">
        <v>25</v>
      </c>
      <c r="E14" s="2" t="s">
        <v>17</v>
      </c>
      <c r="F14" s="2" t="s">
        <v>22</v>
      </c>
      <c r="G14" s="2" t="s">
        <v>23</v>
      </c>
    </row>
    <row r="15" spans="1:11" x14ac:dyDescent="0.3">
      <c r="B15" s="9" t="s">
        <v>15</v>
      </c>
      <c r="C15" s="9">
        <f>$C3</f>
        <v>351.6</v>
      </c>
      <c r="D15" s="9">
        <f t="shared" ref="D15:D20" si="1">$F2</f>
        <v>200</v>
      </c>
      <c r="E15" s="9">
        <f t="shared" ref="E15:E20" si="2">$D15*$D2</f>
        <v>175.8</v>
      </c>
      <c r="F15" s="9">
        <f t="shared" ref="F15:F20" si="3">$B$23*$D15+$C$23*$C15+$D$23</f>
        <v>165.02306280525508</v>
      </c>
      <c r="G15" s="20">
        <f t="shared" ref="G15:G20" si="4">($E15-$F15)/$E15</f>
        <v>6.1302259355773214E-2</v>
      </c>
    </row>
    <row r="16" spans="1:11" x14ac:dyDescent="0.3">
      <c r="B16" s="18" t="s">
        <v>16</v>
      </c>
      <c r="C16" s="18">
        <f>$C3</f>
        <v>351.6</v>
      </c>
      <c r="D16" s="18">
        <f t="shared" si="1"/>
        <v>480</v>
      </c>
      <c r="E16" s="18">
        <f t="shared" si="2"/>
        <v>351.6</v>
      </c>
      <c r="F16" s="18">
        <f t="shared" si="3"/>
        <v>359.15599166674167</v>
      </c>
      <c r="G16" s="20">
        <f t="shared" si="4"/>
        <v>-2.1490306219401727E-2</v>
      </c>
    </row>
    <row r="17" spans="2:8" x14ac:dyDescent="0.3">
      <c r="B17" s="9" t="s">
        <v>15</v>
      </c>
      <c r="C17" s="9">
        <f>$C5</f>
        <v>1000</v>
      </c>
      <c r="D17" s="9">
        <f t="shared" si="1"/>
        <v>534.18803418803418</v>
      </c>
      <c r="E17" s="9">
        <f t="shared" si="2"/>
        <v>499.99999999999994</v>
      </c>
      <c r="F17" s="9">
        <f t="shared" si="3"/>
        <v>492.55256723021398</v>
      </c>
      <c r="G17" s="20">
        <f t="shared" si="4"/>
        <v>1.4894865539571926E-2</v>
      </c>
    </row>
    <row r="18" spans="2:8" x14ac:dyDescent="0.3">
      <c r="B18" s="18" t="s">
        <v>16</v>
      </c>
      <c r="C18" s="18">
        <f>$C5</f>
        <v>1000</v>
      </c>
      <c r="D18" s="18">
        <f t="shared" si="1"/>
        <v>1282.051282051282</v>
      </c>
      <c r="E18" s="18">
        <f t="shared" si="2"/>
        <v>1000</v>
      </c>
      <c r="F18" s="18">
        <f t="shared" si="3"/>
        <v>1011.070005428629</v>
      </c>
      <c r="G18" s="20">
        <f t="shared" si="4"/>
        <v>-1.1070005428628973E-2</v>
      </c>
    </row>
    <row r="19" spans="2:8" x14ac:dyDescent="0.3">
      <c r="B19" s="9" t="s">
        <v>15</v>
      </c>
      <c r="C19" s="9">
        <f>$C7</f>
        <v>6200</v>
      </c>
      <c r="D19" s="9">
        <f t="shared" si="1"/>
        <v>3189.300411522634</v>
      </c>
      <c r="E19" s="9">
        <f t="shared" si="2"/>
        <v>3100</v>
      </c>
      <c r="F19" s="9">
        <f t="shared" si="3"/>
        <v>3101.9286116644971</v>
      </c>
      <c r="G19" s="20">
        <f t="shared" si="4"/>
        <v>-6.2213279499906827E-4</v>
      </c>
    </row>
    <row r="20" spans="2:8" x14ac:dyDescent="0.3">
      <c r="B20" s="18" t="s">
        <v>16</v>
      </c>
      <c r="C20" s="18">
        <f>$C7</f>
        <v>6200</v>
      </c>
      <c r="D20" s="18">
        <f t="shared" si="1"/>
        <v>7654.3209876543206</v>
      </c>
      <c r="E20" s="18">
        <f t="shared" si="2"/>
        <v>6200</v>
      </c>
      <c r="F20" s="18">
        <f t="shared" si="3"/>
        <v>6197.6697612046628</v>
      </c>
      <c r="G20" s="20">
        <f t="shared" si="4"/>
        <v>3.7584496698987241E-4</v>
      </c>
    </row>
    <row r="22" spans="2:8" x14ac:dyDescent="0.3">
      <c r="B22" t="s">
        <v>19</v>
      </c>
      <c r="C22" t="s">
        <v>20</v>
      </c>
      <c r="D22" t="s">
        <v>21</v>
      </c>
    </row>
    <row r="23" spans="2:8" x14ac:dyDescent="0.3">
      <c r="B23" cm="1">
        <f t="array" ref="B23:D23">LINEST(E15:E20,C15:D20)</f>
        <v>0.69333188879102348</v>
      </c>
      <c r="C23">
        <v>0.14778883940470389</v>
      </c>
      <c r="D23">
        <v>-25.605870887643505</v>
      </c>
    </row>
    <row r="24" spans="2:8" x14ac:dyDescent="0.3">
      <c r="B24" s="67">
        <v>0.69333188879102348</v>
      </c>
      <c r="C24" s="67">
        <v>0.14778883940470389</v>
      </c>
      <c r="D24" s="8">
        <v>-25.605870887643505</v>
      </c>
    </row>
    <row r="26" spans="2:8" x14ac:dyDescent="0.3">
      <c r="B26" s="2" t="s">
        <v>416</v>
      </c>
      <c r="C26" s="57">
        <v>0.5</v>
      </c>
    </row>
    <row r="27" spans="2:8" x14ac:dyDescent="0.3">
      <c r="B27" s="2" t="s">
        <v>415</v>
      </c>
      <c r="C27" s="57">
        <v>1</v>
      </c>
    </row>
    <row r="29" spans="2:8" x14ac:dyDescent="0.3">
      <c r="B29" t="s">
        <v>417</v>
      </c>
    </row>
    <row r="31" spans="2:8" x14ac:dyDescent="0.3">
      <c r="B31" s="2" t="s">
        <v>418</v>
      </c>
      <c r="C31" s="2" t="s">
        <v>379</v>
      </c>
      <c r="D31" s="2"/>
      <c r="F31" s="2" t="s">
        <v>419</v>
      </c>
      <c r="G31" s="2" t="s">
        <v>381</v>
      </c>
      <c r="H31" s="2"/>
    </row>
    <row r="32" spans="2:8" x14ac:dyDescent="0.3">
      <c r="B32">
        <f>C26</f>
        <v>0.5</v>
      </c>
      <c r="C32" s="66">
        <f>B24*C26+C24</f>
        <v>0.49445478380021562</v>
      </c>
      <c r="D32" s="67"/>
      <c r="F32">
        <f>C27</f>
        <v>1</v>
      </c>
      <c r="G32" s="67">
        <f>B24*C27+C24</f>
        <v>0.84112072819572736</v>
      </c>
      <c r="H32" s="67"/>
    </row>
  </sheetData>
  <hyperlinks>
    <hyperlink ref="C11" r:id="rId1" xr:uid="{6EB2C074-BC21-4B70-9F6F-9D893261BED5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8540-3FBC-4259-B6CE-DB5F1B85FA17}">
  <sheetPr codeName="Sheet27">
    <tabColor theme="9" tint="0.59999389629810485"/>
  </sheetPr>
  <dimension ref="A1:G54"/>
  <sheetViews>
    <sheetView topLeftCell="D40" workbookViewId="0">
      <selection activeCell="G58" sqref="G58"/>
    </sheetView>
  </sheetViews>
  <sheetFormatPr defaultRowHeight="14.4" x14ac:dyDescent="0.3"/>
  <cols>
    <col min="1" max="1" width="11.33203125" customWidth="1"/>
    <col min="2" max="2" width="22.44140625" customWidth="1"/>
    <col min="5" max="5" width="15" customWidth="1"/>
    <col min="6" max="6" width="9.5546875" bestFit="1" customWidth="1"/>
    <col min="7" max="7" width="15" customWidth="1"/>
  </cols>
  <sheetData>
    <row r="1" spans="1:7" x14ac:dyDescent="0.3">
      <c r="A1" s="10" t="s">
        <v>366</v>
      </c>
      <c r="C1" s="3" t="s">
        <v>239</v>
      </c>
      <c r="D1" s="3" t="s">
        <v>246</v>
      </c>
    </row>
    <row r="2" spans="1:7" x14ac:dyDescent="0.3">
      <c r="B2" s="45" t="s">
        <v>128</v>
      </c>
      <c r="C2" s="11">
        <v>0.25</v>
      </c>
      <c r="D2" s="8">
        <v>0.82</v>
      </c>
    </row>
    <row r="3" spans="1:7" x14ac:dyDescent="0.3">
      <c r="B3" s="45" t="s">
        <v>128</v>
      </c>
      <c r="C3" s="11">
        <v>0.3</v>
      </c>
      <c r="D3" s="8">
        <v>0.82499999999999996</v>
      </c>
    </row>
    <row r="4" spans="1:7" x14ac:dyDescent="0.3">
      <c r="B4" s="45" t="s">
        <v>128</v>
      </c>
      <c r="C4" s="11">
        <v>0.4</v>
      </c>
      <c r="D4" s="8">
        <v>0.85</v>
      </c>
    </row>
    <row r="5" spans="1:7" x14ac:dyDescent="0.3">
      <c r="B5" s="45" t="s">
        <v>128</v>
      </c>
      <c r="C5" s="11">
        <v>0.5</v>
      </c>
      <c r="D5" s="8">
        <v>0.88500000000000001</v>
      </c>
    </row>
    <row r="6" spans="1:7" x14ac:dyDescent="0.3">
      <c r="B6" s="45" t="s">
        <v>128</v>
      </c>
      <c r="C6" s="11">
        <v>0.6</v>
      </c>
      <c r="D6" s="8">
        <v>0.93</v>
      </c>
    </row>
    <row r="7" spans="1:7" x14ac:dyDescent="0.3">
      <c r="B7" s="45" t="s">
        <v>128</v>
      </c>
      <c r="C7" s="11">
        <v>0.7</v>
      </c>
      <c r="D7" s="8">
        <v>0.97</v>
      </c>
    </row>
    <row r="8" spans="1:7" x14ac:dyDescent="0.3">
      <c r="B8" s="45" t="s">
        <v>128</v>
      </c>
      <c r="C8" s="11">
        <v>0.8</v>
      </c>
      <c r="D8" s="8">
        <v>0.99</v>
      </c>
    </row>
    <row r="9" spans="1:7" x14ac:dyDescent="0.3">
      <c r="B9" s="45" t="s">
        <v>128</v>
      </c>
      <c r="C9" s="11">
        <v>0.9</v>
      </c>
      <c r="D9" s="8">
        <v>0.998</v>
      </c>
    </row>
    <row r="10" spans="1:7" x14ac:dyDescent="0.3">
      <c r="B10" s="45" t="s">
        <v>129</v>
      </c>
      <c r="C10" s="11">
        <v>1</v>
      </c>
      <c r="D10" s="8">
        <v>1</v>
      </c>
    </row>
    <row r="13" spans="1:7" x14ac:dyDescent="0.3">
      <c r="B13" s="2" t="s">
        <v>247</v>
      </c>
      <c r="C13" s="3" t="s">
        <v>239</v>
      </c>
      <c r="D13" s="3" t="s">
        <v>246</v>
      </c>
      <c r="E13" s="3" t="s">
        <v>253</v>
      </c>
      <c r="F13" s="3" t="s">
        <v>248</v>
      </c>
      <c r="G13" s="3" t="s">
        <v>249</v>
      </c>
    </row>
    <row r="14" spans="1:7" x14ac:dyDescent="0.3">
      <c r="B14" s="45" t="s">
        <v>128</v>
      </c>
      <c r="C14" s="11">
        <v>0.25</v>
      </c>
      <c r="D14" s="8">
        <v>0.82</v>
      </c>
      <c r="E14" s="9">
        <f>$E$22*$C14</f>
        <v>1600.2349999999999</v>
      </c>
      <c r="F14" s="8">
        <f>$F$22/$D14</f>
        <v>1.9268292682926831</v>
      </c>
      <c r="G14" s="9">
        <f>$E14/$F14</f>
        <v>830.50170886075932</v>
      </c>
    </row>
    <row r="15" spans="1:7" x14ac:dyDescent="0.3">
      <c r="B15" s="45" t="s">
        <v>128</v>
      </c>
      <c r="C15" s="11">
        <v>0.3</v>
      </c>
      <c r="D15" s="8">
        <v>0.82499999999999996</v>
      </c>
      <c r="E15" s="9">
        <f t="shared" ref="E15:E21" si="0">$E$22*$C15</f>
        <v>1920.2819999999997</v>
      </c>
      <c r="F15" s="8">
        <f t="shared" ref="F15:F21" si="1">$F$22/$D15</f>
        <v>1.9151515151515153</v>
      </c>
      <c r="G15" s="9">
        <f t="shared" ref="G15:G22" si="2">$E15/$F15</f>
        <v>1002.678892405063</v>
      </c>
    </row>
    <row r="16" spans="1:7" x14ac:dyDescent="0.3">
      <c r="B16" s="45" t="s">
        <v>128</v>
      </c>
      <c r="C16" s="11">
        <v>0.4</v>
      </c>
      <c r="D16" s="8">
        <v>0.85</v>
      </c>
      <c r="E16" s="9">
        <f t="shared" si="0"/>
        <v>2560.3760000000002</v>
      </c>
      <c r="F16" s="8">
        <f t="shared" si="1"/>
        <v>1.8588235294117648</v>
      </c>
      <c r="G16" s="9">
        <f t="shared" si="2"/>
        <v>1377.4174683544304</v>
      </c>
    </row>
    <row r="17" spans="2:7" x14ac:dyDescent="0.3">
      <c r="B17" s="45" t="s">
        <v>128</v>
      </c>
      <c r="C17" s="11">
        <v>0.5</v>
      </c>
      <c r="D17" s="8">
        <v>0.88500000000000001</v>
      </c>
      <c r="E17" s="9">
        <f t="shared" si="0"/>
        <v>3200.47</v>
      </c>
      <c r="F17" s="8">
        <f t="shared" si="1"/>
        <v>1.7853107344632768</v>
      </c>
      <c r="G17" s="9">
        <f t="shared" si="2"/>
        <v>1792.66832278481</v>
      </c>
    </row>
    <row r="18" spans="2:7" x14ac:dyDescent="0.3">
      <c r="B18" s="45" t="s">
        <v>128</v>
      </c>
      <c r="C18" s="11">
        <v>0.6</v>
      </c>
      <c r="D18" s="8">
        <v>0.93</v>
      </c>
      <c r="E18" s="9">
        <f t="shared" si="0"/>
        <v>3840.5639999999994</v>
      </c>
      <c r="F18" s="8">
        <f t="shared" si="1"/>
        <v>1.6989247311827957</v>
      </c>
      <c r="G18" s="9">
        <f t="shared" si="2"/>
        <v>2260.5851392405061</v>
      </c>
    </row>
    <row r="19" spans="2:7" x14ac:dyDescent="0.3">
      <c r="B19" s="45" t="s">
        <v>128</v>
      </c>
      <c r="C19" s="11">
        <v>0.7</v>
      </c>
      <c r="D19" s="8">
        <v>0.97</v>
      </c>
      <c r="E19" s="9">
        <f t="shared" si="0"/>
        <v>4480.6579999999994</v>
      </c>
      <c r="F19" s="8">
        <f t="shared" si="1"/>
        <v>1.6288659793814435</v>
      </c>
      <c r="G19" s="9">
        <f t="shared" si="2"/>
        <v>2750.7837088607589</v>
      </c>
    </row>
    <row r="20" spans="2:7" x14ac:dyDescent="0.3">
      <c r="B20" s="45" t="s">
        <v>128</v>
      </c>
      <c r="C20" s="11">
        <v>0.8</v>
      </c>
      <c r="D20" s="8">
        <v>0.99</v>
      </c>
      <c r="E20" s="9">
        <f t="shared" si="0"/>
        <v>5120.7520000000004</v>
      </c>
      <c r="F20" s="8">
        <f t="shared" si="1"/>
        <v>1.595959595959596</v>
      </c>
      <c r="G20" s="9">
        <f t="shared" si="2"/>
        <v>3208.5724556962027</v>
      </c>
    </row>
    <row r="21" spans="2:7" x14ac:dyDescent="0.3">
      <c r="B21" s="45" t="s">
        <v>128</v>
      </c>
      <c r="C21" s="11">
        <v>0.9</v>
      </c>
      <c r="D21" s="8">
        <v>0.998</v>
      </c>
      <c r="E21" s="9">
        <f t="shared" si="0"/>
        <v>5760.8459999999995</v>
      </c>
      <c r="F21" s="8">
        <f t="shared" si="1"/>
        <v>1.5831663326653307</v>
      </c>
      <c r="G21" s="9">
        <f t="shared" si="2"/>
        <v>3638.8128531645566</v>
      </c>
    </row>
    <row r="22" spans="2:7" x14ac:dyDescent="0.3">
      <c r="B22" s="45" t="s">
        <v>129</v>
      </c>
      <c r="C22" s="11">
        <v>1</v>
      </c>
      <c r="D22" s="8">
        <v>1</v>
      </c>
      <c r="E22">
        <v>6400.94</v>
      </c>
      <c r="F22" s="8">
        <v>1.58</v>
      </c>
      <c r="G22" s="9">
        <f t="shared" si="2"/>
        <v>4051.2278481012654</v>
      </c>
    </row>
    <row r="45" spans="1:7" x14ac:dyDescent="0.3">
      <c r="A45" s="10" t="s">
        <v>371</v>
      </c>
    </row>
    <row r="48" spans="1:7" x14ac:dyDescent="0.3">
      <c r="B48" s="2" t="s">
        <v>372</v>
      </c>
      <c r="C48" s="2" t="s">
        <v>373</v>
      </c>
      <c r="D48" s="2" t="s">
        <v>374</v>
      </c>
      <c r="E48" s="2" t="s">
        <v>375</v>
      </c>
      <c r="F48" s="2" t="s">
        <v>288</v>
      </c>
      <c r="G48" s="2" t="s">
        <v>376</v>
      </c>
    </row>
    <row r="49" spans="2:7" x14ac:dyDescent="0.3">
      <c r="B49" s="57">
        <v>1</v>
      </c>
      <c r="C49">
        <v>351.6</v>
      </c>
      <c r="D49">
        <v>480</v>
      </c>
      <c r="E49">
        <v>1</v>
      </c>
      <c r="F49">
        <v>0.73250000000000004</v>
      </c>
      <c r="G49">
        <v>1</v>
      </c>
    </row>
    <row r="50" spans="2:7" x14ac:dyDescent="0.3">
      <c r="B50" s="53">
        <v>0.9</v>
      </c>
      <c r="C50">
        <v>329.37887999999998</v>
      </c>
      <c r="D50" s="54">
        <v>432</v>
      </c>
      <c r="E50">
        <v>0.93679999999999997</v>
      </c>
      <c r="F50">
        <v>0.76245111111111108</v>
      </c>
      <c r="G50">
        <v>1.0408888888888888</v>
      </c>
    </row>
    <row r="51" spans="2:7" x14ac:dyDescent="0.3">
      <c r="B51" s="53">
        <v>0.8</v>
      </c>
      <c r="C51">
        <v>304.73172000000005</v>
      </c>
      <c r="D51" s="54">
        <v>384</v>
      </c>
      <c r="E51">
        <v>0.86670000000000003</v>
      </c>
      <c r="F51">
        <v>0.79357218750000014</v>
      </c>
      <c r="G51">
        <v>1.0833750000000002</v>
      </c>
    </row>
    <row r="52" spans="2:7" x14ac:dyDescent="0.3">
      <c r="B52" s="53">
        <v>0.70000000000000007</v>
      </c>
      <c r="C52">
        <v>281.28000000000003</v>
      </c>
      <c r="D52" s="54">
        <v>336.00000000000006</v>
      </c>
      <c r="E52" s="35">
        <v>0.8</v>
      </c>
      <c r="F52">
        <v>0.83714285714285708</v>
      </c>
      <c r="G52">
        <v>1.1428571428571428</v>
      </c>
    </row>
    <row r="53" spans="2:7" x14ac:dyDescent="0.3">
      <c r="B53" s="53">
        <v>0.60000000000000009</v>
      </c>
      <c r="C53">
        <v>241.79532</v>
      </c>
      <c r="D53" s="54">
        <v>288.00000000000006</v>
      </c>
      <c r="E53">
        <v>0.68769999999999998</v>
      </c>
      <c r="F53">
        <v>0.83956708333333319</v>
      </c>
      <c r="G53">
        <v>1.1461666666666663</v>
      </c>
    </row>
    <row r="54" spans="2:7" x14ac:dyDescent="0.3">
      <c r="B54" s="53">
        <v>0.50000000000000011</v>
      </c>
      <c r="C54">
        <v>210.96</v>
      </c>
      <c r="D54" s="54">
        <v>240.00000000000006</v>
      </c>
      <c r="E54">
        <v>0.6</v>
      </c>
      <c r="F54" s="35">
        <v>0.87899999999999978</v>
      </c>
      <c r="G54">
        <v>1.1999999999999997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95F9-96FA-456D-A480-71007BD81DF8}">
  <sheetPr codeName="Sheet49">
    <tabColor rgb="FF00B050"/>
  </sheetPr>
  <dimension ref="A1:H52"/>
  <sheetViews>
    <sheetView zoomScaleNormal="100" workbookViewId="0">
      <selection activeCell="B51" sqref="B51:G51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7" x14ac:dyDescent="0.3">
      <c r="B1" s="10" t="s">
        <v>328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7" x14ac:dyDescent="0.3">
      <c r="B2" s="45" t="s">
        <v>251</v>
      </c>
      <c r="C2" s="9">
        <v>11.1</v>
      </c>
      <c r="D2" s="9">
        <v>8.9600000000000009</v>
      </c>
      <c r="E2" s="15" t="s">
        <v>184</v>
      </c>
      <c r="F2" s="9">
        <f t="shared" ref="F2:F17" si="0">$C2/$D2</f>
        <v>1.2388392857142856</v>
      </c>
      <c r="G2" s="9" t="s">
        <v>15</v>
      </c>
    </row>
    <row r="3" spans="2:7" x14ac:dyDescent="0.3">
      <c r="B3" s="46" t="s">
        <v>252</v>
      </c>
      <c r="C3" s="18">
        <v>52.7</v>
      </c>
      <c r="D3" s="18">
        <v>5.04</v>
      </c>
      <c r="E3" s="19" t="s">
        <v>184</v>
      </c>
      <c r="F3" s="18">
        <f t="shared" si="0"/>
        <v>10.456349206349207</v>
      </c>
      <c r="G3" s="18" t="s">
        <v>16</v>
      </c>
    </row>
    <row r="4" spans="2:7" x14ac:dyDescent="0.3">
      <c r="B4" s="45" t="s">
        <v>251</v>
      </c>
      <c r="C4" s="9">
        <v>12.7</v>
      </c>
      <c r="D4" s="9">
        <v>8.75</v>
      </c>
      <c r="E4" s="15" t="s">
        <v>184</v>
      </c>
      <c r="F4" s="9">
        <f t="shared" si="0"/>
        <v>1.4514285714285713</v>
      </c>
      <c r="G4" s="9" t="s">
        <v>15</v>
      </c>
    </row>
    <row r="5" spans="2:7" x14ac:dyDescent="0.3">
      <c r="B5" s="46" t="s">
        <v>252</v>
      </c>
      <c r="C5" s="18">
        <v>60.4</v>
      </c>
      <c r="D5" s="18">
        <v>4.92</v>
      </c>
      <c r="E5" s="19" t="s">
        <v>184</v>
      </c>
      <c r="F5" s="18">
        <f t="shared" si="0"/>
        <v>12.276422764227641</v>
      </c>
      <c r="G5" s="18" t="s">
        <v>16</v>
      </c>
    </row>
    <row r="6" spans="2:7" x14ac:dyDescent="0.3">
      <c r="B6" s="45" t="s">
        <v>251</v>
      </c>
      <c r="C6" s="9">
        <v>14.7</v>
      </c>
      <c r="D6" s="9">
        <v>8.83</v>
      </c>
      <c r="E6" s="15" t="s">
        <v>184</v>
      </c>
      <c r="F6" s="9">
        <f t="shared" si="0"/>
        <v>1.6647791619479049</v>
      </c>
      <c r="G6" s="9" t="s">
        <v>15</v>
      </c>
    </row>
    <row r="7" spans="2:7" x14ac:dyDescent="0.3">
      <c r="B7" s="46" t="s">
        <v>252</v>
      </c>
      <c r="C7" s="18">
        <v>69.7</v>
      </c>
      <c r="D7" s="18">
        <v>5.03</v>
      </c>
      <c r="E7" s="19" t="s">
        <v>184</v>
      </c>
      <c r="F7" s="18">
        <f t="shared" si="0"/>
        <v>13.856858846918488</v>
      </c>
      <c r="G7" s="18" t="s">
        <v>16</v>
      </c>
    </row>
    <row r="8" spans="2:7" x14ac:dyDescent="0.3">
      <c r="B8" s="45" t="s">
        <v>251</v>
      </c>
      <c r="C8" s="9">
        <v>17.600000000000001</v>
      </c>
      <c r="D8" s="9">
        <v>8.8800000000000008</v>
      </c>
      <c r="E8" s="15" t="s">
        <v>184</v>
      </c>
      <c r="F8" s="9">
        <f t="shared" si="0"/>
        <v>1.9819819819819819</v>
      </c>
      <c r="G8" s="9" t="s">
        <v>15</v>
      </c>
    </row>
    <row r="9" spans="2:7" x14ac:dyDescent="0.3">
      <c r="B9" s="46" t="s">
        <v>252</v>
      </c>
      <c r="C9" s="18">
        <v>83.6</v>
      </c>
      <c r="D9" s="18">
        <v>5.04</v>
      </c>
      <c r="E9" s="19" t="s">
        <v>184</v>
      </c>
      <c r="F9" s="18">
        <f t="shared" si="0"/>
        <v>16.587301587301585</v>
      </c>
      <c r="G9" s="18" t="s">
        <v>16</v>
      </c>
    </row>
    <row r="10" spans="2:7" x14ac:dyDescent="0.3">
      <c r="B10" s="45" t="s">
        <v>251</v>
      </c>
      <c r="C10" s="9">
        <v>19.8</v>
      </c>
      <c r="D10" s="9">
        <v>8.14</v>
      </c>
      <c r="E10" s="15" t="s">
        <v>184</v>
      </c>
      <c r="F10" s="9">
        <f t="shared" si="0"/>
        <v>2.4324324324324325</v>
      </c>
      <c r="G10" s="9" t="s">
        <v>15</v>
      </c>
    </row>
    <row r="11" spans="2:7" x14ac:dyDescent="0.3">
      <c r="B11" s="46" t="s">
        <v>252</v>
      </c>
      <c r="C11" s="18">
        <v>94</v>
      </c>
      <c r="D11" s="18">
        <v>5</v>
      </c>
      <c r="E11" s="19" t="s">
        <v>184</v>
      </c>
      <c r="F11" s="18">
        <f t="shared" si="0"/>
        <v>18.8</v>
      </c>
      <c r="G11" s="18" t="s">
        <v>16</v>
      </c>
    </row>
    <row r="12" spans="2:7" x14ac:dyDescent="0.3">
      <c r="B12" s="45" t="s">
        <v>251</v>
      </c>
      <c r="C12" s="9">
        <v>23.4</v>
      </c>
      <c r="D12" s="9">
        <v>8.24</v>
      </c>
      <c r="E12" s="15" t="s">
        <v>184</v>
      </c>
      <c r="F12" s="9">
        <f t="shared" si="0"/>
        <v>2.8398058252427183</v>
      </c>
      <c r="G12" s="9" t="s">
        <v>15</v>
      </c>
    </row>
    <row r="13" spans="2:7" x14ac:dyDescent="0.3">
      <c r="B13" s="46" t="s">
        <v>252</v>
      </c>
      <c r="C13" s="18">
        <v>111.2</v>
      </c>
      <c r="D13" s="18">
        <v>5.04</v>
      </c>
      <c r="E13" s="19" t="s">
        <v>184</v>
      </c>
      <c r="F13" s="18">
        <f t="shared" si="0"/>
        <v>22.063492063492063</v>
      </c>
      <c r="G13" s="18" t="s">
        <v>16</v>
      </c>
    </row>
    <row r="14" spans="2:7" x14ac:dyDescent="0.3">
      <c r="B14" s="45" t="s">
        <v>251</v>
      </c>
      <c r="C14" s="9">
        <v>27.4</v>
      </c>
      <c r="D14" s="9">
        <v>8.7100000000000009</v>
      </c>
      <c r="E14" s="15" t="s">
        <v>184</v>
      </c>
      <c r="F14" s="9">
        <f t="shared" si="0"/>
        <v>3.1458094144661306</v>
      </c>
      <c r="G14" s="9" t="s">
        <v>15</v>
      </c>
    </row>
    <row r="15" spans="2:7" x14ac:dyDescent="0.3">
      <c r="B15" s="46" t="s">
        <v>252</v>
      </c>
      <c r="C15" s="18">
        <v>129.80000000000001</v>
      </c>
      <c r="D15" s="18">
        <v>5.17</v>
      </c>
      <c r="E15" s="19" t="s">
        <v>184</v>
      </c>
      <c r="F15" s="18">
        <f t="shared" si="0"/>
        <v>25.106382978723406</v>
      </c>
      <c r="G15" s="18" t="s">
        <v>16</v>
      </c>
    </row>
    <row r="16" spans="2:7" x14ac:dyDescent="0.3">
      <c r="B16" s="45" t="s">
        <v>251</v>
      </c>
      <c r="C16" s="9">
        <v>30.1</v>
      </c>
      <c r="D16" s="9">
        <v>8.6199999999999992</v>
      </c>
      <c r="E16" s="15" t="s">
        <v>184</v>
      </c>
      <c r="F16" s="9">
        <f t="shared" si="0"/>
        <v>3.4918793503480283</v>
      </c>
      <c r="G16" s="9" t="s">
        <v>15</v>
      </c>
    </row>
    <row r="17" spans="1:8" x14ac:dyDescent="0.3">
      <c r="B17" s="46" t="s">
        <v>252</v>
      </c>
      <c r="C17" s="18">
        <v>143.1</v>
      </c>
      <c r="D17" s="18">
        <v>5.1100000000000003</v>
      </c>
      <c r="E17" s="19" t="s">
        <v>184</v>
      </c>
      <c r="F17" s="18">
        <f t="shared" si="0"/>
        <v>28.00391389432485</v>
      </c>
      <c r="G17" s="18" t="s">
        <v>16</v>
      </c>
    </row>
    <row r="19" spans="1:8" x14ac:dyDescent="0.3">
      <c r="B19" t="s">
        <v>1</v>
      </c>
      <c r="C19" t="s">
        <v>4</v>
      </c>
    </row>
    <row r="20" spans="1:8" x14ac:dyDescent="0.3">
      <c r="A20" t="s">
        <v>184</v>
      </c>
      <c r="B20" t="s">
        <v>183</v>
      </c>
      <c r="C20" s="4" t="s">
        <v>182</v>
      </c>
      <c r="D20" s="4"/>
      <c r="E20" s="4"/>
      <c r="H20" t="s">
        <v>333</v>
      </c>
    </row>
    <row r="21" spans="1:8" x14ac:dyDescent="0.3">
      <c r="C21" s="4"/>
      <c r="D21" s="4"/>
      <c r="E21" s="4"/>
    </row>
    <row r="22" spans="1:8" x14ac:dyDescent="0.3">
      <c r="C22" s="4"/>
      <c r="D22" s="4"/>
    </row>
    <row r="23" spans="1:8" x14ac:dyDescent="0.3">
      <c r="E23" s="10" t="s">
        <v>18</v>
      </c>
      <c r="F23" s="10" t="s">
        <v>18</v>
      </c>
      <c r="G23" s="10" t="s">
        <v>18</v>
      </c>
    </row>
    <row r="24" spans="1:8" x14ac:dyDescent="0.3">
      <c r="B24" s="2" t="s">
        <v>13</v>
      </c>
      <c r="C24" s="2" t="s">
        <v>12</v>
      </c>
      <c r="D24" s="2" t="s">
        <v>25</v>
      </c>
      <c r="E24" s="2" t="s">
        <v>17</v>
      </c>
      <c r="F24" s="2" t="s">
        <v>22</v>
      </c>
      <c r="G24" s="2" t="s">
        <v>23</v>
      </c>
    </row>
    <row r="25" spans="1:8" x14ac:dyDescent="0.3">
      <c r="B25" s="9" t="s">
        <v>15</v>
      </c>
      <c r="C25" s="9">
        <f>$C3</f>
        <v>52.7</v>
      </c>
      <c r="D25" s="9">
        <f t="shared" ref="D25:D40" si="1">$F2</f>
        <v>1.2388392857142856</v>
      </c>
      <c r="E25" s="9">
        <f t="shared" ref="E25:E40" si="2">$D25*$D2</f>
        <v>11.1</v>
      </c>
      <c r="F25" s="9">
        <f t="shared" ref="F25:F40" si="3">$B$43*$D25+$C$43*$C25+$E$43</f>
        <v>11.470310975314634</v>
      </c>
      <c r="G25" s="20">
        <f t="shared" ref="G25:G40" si="4">($E25-$F25)/$E25</f>
        <v>-3.3361349127444533E-2</v>
      </c>
    </row>
    <row r="26" spans="1:8" x14ac:dyDescent="0.3">
      <c r="B26" s="18" t="s">
        <v>16</v>
      </c>
      <c r="C26" s="18">
        <f>$C3</f>
        <v>52.7</v>
      </c>
      <c r="D26" s="18">
        <f t="shared" si="1"/>
        <v>10.456349206349207</v>
      </c>
      <c r="E26" s="18">
        <f t="shared" si="2"/>
        <v>52.7</v>
      </c>
      <c r="F26" s="18">
        <f t="shared" si="3"/>
        <v>53.643928783714216</v>
      </c>
      <c r="G26" s="20">
        <f t="shared" si="4"/>
        <v>-1.7911362119814291E-2</v>
      </c>
    </row>
    <row r="27" spans="1:8" x14ac:dyDescent="0.3">
      <c r="B27" s="9" t="s">
        <v>15</v>
      </c>
      <c r="C27" s="9">
        <f>$C5</f>
        <v>60.4</v>
      </c>
      <c r="D27" s="9">
        <f t="shared" si="1"/>
        <v>1.4514285714285713</v>
      </c>
      <c r="E27" s="9">
        <f t="shared" si="2"/>
        <v>12.7</v>
      </c>
      <c r="F27" s="9">
        <f t="shared" si="3"/>
        <v>13.290740303833797</v>
      </c>
      <c r="G27" s="20">
        <f t="shared" si="4"/>
        <v>-4.6514984553842328E-2</v>
      </c>
    </row>
    <row r="28" spans="1:8" x14ac:dyDescent="0.3">
      <c r="B28" s="18" t="s">
        <v>16</v>
      </c>
      <c r="C28" s="18">
        <f>$C5</f>
        <v>60.4</v>
      </c>
      <c r="D28" s="18">
        <f t="shared" si="1"/>
        <v>12.276422764227641</v>
      </c>
      <c r="E28" s="18">
        <f t="shared" si="2"/>
        <v>60.399999999999991</v>
      </c>
      <c r="F28" s="18">
        <f t="shared" si="3"/>
        <v>62.819210768860017</v>
      </c>
      <c r="G28" s="20">
        <f t="shared" si="4"/>
        <v>-4.0053158424834874E-2</v>
      </c>
    </row>
    <row r="29" spans="1:8" x14ac:dyDescent="0.3">
      <c r="B29" s="9" t="s">
        <v>15</v>
      </c>
      <c r="C29" s="9">
        <f>$C7</f>
        <v>69.7</v>
      </c>
      <c r="D29" s="9">
        <f t="shared" si="1"/>
        <v>1.6647791619479049</v>
      </c>
      <c r="E29" s="9">
        <f t="shared" si="2"/>
        <v>14.7</v>
      </c>
      <c r="F29" s="9">
        <f t="shared" si="3"/>
        <v>15.2908092335145</v>
      </c>
      <c r="G29" s="20">
        <f t="shared" si="4"/>
        <v>-4.0191104320714308E-2</v>
      </c>
    </row>
    <row r="30" spans="1:8" x14ac:dyDescent="0.3">
      <c r="B30" s="18" t="s">
        <v>16</v>
      </c>
      <c r="C30" s="18">
        <f>$C7</f>
        <v>69.7</v>
      </c>
      <c r="D30" s="18">
        <f t="shared" si="1"/>
        <v>13.856858846918488</v>
      </c>
      <c r="E30" s="18">
        <f t="shared" si="2"/>
        <v>69.7</v>
      </c>
      <c r="F30" s="18">
        <f t="shared" si="3"/>
        <v>71.074216395617569</v>
      </c>
      <c r="G30" s="20">
        <f t="shared" si="4"/>
        <v>-1.9716160625790041E-2</v>
      </c>
    </row>
    <row r="31" spans="1:8" x14ac:dyDescent="0.3">
      <c r="B31" s="9" t="s">
        <v>15</v>
      </c>
      <c r="C31" s="9">
        <f>$C9</f>
        <v>83.6</v>
      </c>
      <c r="D31" s="9">
        <f t="shared" si="1"/>
        <v>1.9819819819819819</v>
      </c>
      <c r="E31" s="9">
        <f t="shared" si="2"/>
        <v>17.600000000000001</v>
      </c>
      <c r="F31" s="9">
        <f t="shared" si="3"/>
        <v>18.272491141580943</v>
      </c>
      <c r="G31" s="20">
        <f t="shared" si="4"/>
        <v>-3.8209723953462588E-2</v>
      </c>
    </row>
    <row r="32" spans="1:8" x14ac:dyDescent="0.3">
      <c r="B32" s="18" t="s">
        <v>16</v>
      </c>
      <c r="C32" s="18">
        <f>$C9</f>
        <v>83.6</v>
      </c>
      <c r="D32" s="18">
        <f t="shared" si="1"/>
        <v>16.587301587301585</v>
      </c>
      <c r="E32" s="18">
        <f t="shared" si="2"/>
        <v>83.6</v>
      </c>
      <c r="F32" s="18">
        <f t="shared" si="3"/>
        <v>85.097389873216471</v>
      </c>
      <c r="G32" s="20">
        <f t="shared" si="4"/>
        <v>-1.7911362119814318E-2</v>
      </c>
    </row>
    <row r="33" spans="2:7" x14ac:dyDescent="0.3">
      <c r="B33" s="9" t="s">
        <v>15</v>
      </c>
      <c r="C33" s="9">
        <f>$C11</f>
        <v>94</v>
      </c>
      <c r="D33" s="9">
        <f t="shared" si="1"/>
        <v>2.4324324324324325</v>
      </c>
      <c r="E33" s="9">
        <f t="shared" si="2"/>
        <v>19.8</v>
      </c>
      <c r="F33" s="9">
        <f t="shared" si="3"/>
        <v>21.478489700314647</v>
      </c>
      <c r="G33" s="20">
        <f t="shared" si="4"/>
        <v>-8.4772207086598286E-2</v>
      </c>
    </row>
    <row r="34" spans="2:7" x14ac:dyDescent="0.3">
      <c r="B34" s="18" t="s">
        <v>16</v>
      </c>
      <c r="C34" s="18">
        <f>$C11</f>
        <v>94</v>
      </c>
      <c r="D34" s="18">
        <f t="shared" si="1"/>
        <v>18.8</v>
      </c>
      <c r="E34" s="18">
        <f t="shared" si="2"/>
        <v>94</v>
      </c>
      <c r="F34" s="18">
        <f t="shared" si="3"/>
        <v>96.366343902938937</v>
      </c>
      <c r="G34" s="20">
        <f t="shared" si="4"/>
        <v>-2.5173871307861029E-2</v>
      </c>
    </row>
    <row r="35" spans="2:7" x14ac:dyDescent="0.3">
      <c r="B35" s="9" t="s">
        <v>15</v>
      </c>
      <c r="C35" s="9">
        <f>$C13</f>
        <v>111.2</v>
      </c>
      <c r="D35" s="9">
        <f t="shared" si="1"/>
        <v>2.8398058252427183</v>
      </c>
      <c r="E35" s="9">
        <f t="shared" si="2"/>
        <v>23.4</v>
      </c>
      <c r="F35" s="9">
        <f t="shared" si="3"/>
        <v>25.236058769672749</v>
      </c>
      <c r="G35" s="20">
        <f t="shared" si="4"/>
        <v>-7.8464049986014958E-2</v>
      </c>
    </row>
    <row r="36" spans="2:7" x14ac:dyDescent="0.3">
      <c r="B36" s="18" t="s">
        <v>16</v>
      </c>
      <c r="C36" s="18">
        <f>$C13</f>
        <v>111.2</v>
      </c>
      <c r="D36" s="18">
        <f t="shared" si="1"/>
        <v>22.063492063492063</v>
      </c>
      <c r="E36" s="18">
        <f t="shared" si="2"/>
        <v>111.2</v>
      </c>
      <c r="F36" s="18">
        <f t="shared" si="3"/>
        <v>113.19174346772336</v>
      </c>
      <c r="G36" s="20">
        <f t="shared" si="4"/>
        <v>-1.7911362119814325E-2</v>
      </c>
    </row>
    <row r="37" spans="2:7" x14ac:dyDescent="0.3">
      <c r="B37" s="9" t="s">
        <v>15</v>
      </c>
      <c r="C37" s="9">
        <f>$C15</f>
        <v>129.80000000000001</v>
      </c>
      <c r="D37" s="9">
        <f t="shared" si="1"/>
        <v>3.1458094144661306</v>
      </c>
      <c r="E37" s="9">
        <f t="shared" si="2"/>
        <v>27.4</v>
      </c>
      <c r="F37" s="9">
        <f t="shared" si="3"/>
        <v>28.683959186228108</v>
      </c>
      <c r="G37" s="20">
        <f t="shared" si="4"/>
        <v>-4.6859824314894515E-2</v>
      </c>
    </row>
    <row r="38" spans="2:7" x14ac:dyDescent="0.3">
      <c r="B38" s="18" t="s">
        <v>16</v>
      </c>
      <c r="C38" s="18">
        <f>$C15</f>
        <v>129.80000000000001</v>
      </c>
      <c r="D38" s="18">
        <f t="shared" si="1"/>
        <v>25.106382978723406</v>
      </c>
      <c r="E38" s="18">
        <f t="shared" si="2"/>
        <v>129.80000000000001</v>
      </c>
      <c r="F38" s="18">
        <f t="shared" si="3"/>
        <v>129.16194557590092</v>
      </c>
      <c r="G38" s="20">
        <f t="shared" si="4"/>
        <v>4.915673529268842E-3</v>
      </c>
    </row>
    <row r="39" spans="2:7" x14ac:dyDescent="0.3">
      <c r="B39" s="9" t="s">
        <v>15</v>
      </c>
      <c r="C39" s="9">
        <f>$C17</f>
        <v>143.1</v>
      </c>
      <c r="D39" s="9">
        <f t="shared" si="1"/>
        <v>3.4918793503480283</v>
      </c>
      <c r="E39" s="9">
        <f t="shared" si="2"/>
        <v>30.1</v>
      </c>
      <c r="F39" s="9">
        <f t="shared" si="3"/>
        <v>31.731660513394814</v>
      </c>
      <c r="G39" s="20">
        <f t="shared" si="4"/>
        <v>-5.4207990478232985E-2</v>
      </c>
    </row>
    <row r="40" spans="2:7" x14ac:dyDescent="0.3">
      <c r="B40" s="18" t="s">
        <v>16</v>
      </c>
      <c r="C40" s="18">
        <f>$C17</f>
        <v>143.1</v>
      </c>
      <c r="D40" s="18">
        <f t="shared" si="1"/>
        <v>28.00391389432485</v>
      </c>
      <c r="E40" s="18">
        <f t="shared" si="2"/>
        <v>143.1</v>
      </c>
      <c r="F40" s="18">
        <f t="shared" si="3"/>
        <v>143.88355245220586</v>
      </c>
      <c r="G40" s="20">
        <f t="shared" si="4"/>
        <v>-5.4755587156245121E-3</v>
      </c>
    </row>
    <row r="42" spans="2:7" x14ac:dyDescent="0.3">
      <c r="B42" t="s">
        <v>19</v>
      </c>
      <c r="C42" t="s">
        <v>20</v>
      </c>
      <c r="D42" t="s">
        <v>21</v>
      </c>
    </row>
    <row r="43" spans="2:7" x14ac:dyDescent="0.3">
      <c r="B43" cm="1">
        <f t="array" ref="B43:D43">LINEST(E25:E40,C25:D40)</f>
        <v>4.5753807884694497</v>
      </c>
      <c r="C43">
        <v>0.11009771361397108</v>
      </c>
      <c r="D43">
        <v>-1.2120531902519787</v>
      </c>
    </row>
    <row r="44" spans="2:7" x14ac:dyDescent="0.3">
      <c r="B44" s="35">
        <v>4.5753807884694497</v>
      </c>
      <c r="C44" s="67">
        <v>0.11009771361397108</v>
      </c>
      <c r="D44" s="35">
        <v>-1.2120531902519787</v>
      </c>
    </row>
    <row r="46" spans="2:7" x14ac:dyDescent="0.3">
      <c r="B46" s="2" t="s">
        <v>416</v>
      </c>
      <c r="C46" s="57">
        <v>0.2</v>
      </c>
    </row>
    <row r="47" spans="2:7" x14ac:dyDescent="0.3">
      <c r="B47" s="2" t="s">
        <v>415</v>
      </c>
      <c r="C47" s="57">
        <v>1</v>
      </c>
    </row>
    <row r="49" spans="2:7" x14ac:dyDescent="0.3">
      <c r="B49" t="s">
        <v>417</v>
      </c>
    </row>
    <row r="51" spans="2:7" x14ac:dyDescent="0.3">
      <c r="B51" s="2" t="s">
        <v>396</v>
      </c>
      <c r="C51" s="2" t="s">
        <v>402</v>
      </c>
      <c r="D51" s="2"/>
      <c r="F51" s="2" t="s">
        <v>397</v>
      </c>
      <c r="G51" s="2" t="s">
        <v>403</v>
      </c>
    </row>
    <row r="52" spans="2:7" x14ac:dyDescent="0.3">
      <c r="B52">
        <f>C46</f>
        <v>0.2</v>
      </c>
      <c r="C52" s="35">
        <f>B44*C46+C44</f>
        <v>1.0251738713078611</v>
      </c>
      <c r="D52" s="67"/>
      <c r="F52">
        <f>C47</f>
        <v>1</v>
      </c>
      <c r="G52" s="35">
        <f>B44*C47+C44</f>
        <v>4.6854785020834209</v>
      </c>
    </row>
  </sheetData>
  <hyperlinks>
    <hyperlink ref="C20" r:id="rId1" xr:uid="{A5A26B50-99AB-4D28-A743-E69C8F773B07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310C-ACB6-4C8B-B0A6-973FF7ACBDE4}">
  <sheetPr>
    <tabColor rgb="FF00B050"/>
  </sheetPr>
  <dimension ref="A1:H80"/>
  <sheetViews>
    <sheetView topLeftCell="A13" zoomScaleNormal="100" workbookViewId="0">
      <selection activeCell="G32" sqref="G32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7" x14ac:dyDescent="0.3">
      <c r="B1" s="10" t="s">
        <v>328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7" x14ac:dyDescent="0.3">
      <c r="B2" s="45" t="s">
        <v>251</v>
      </c>
      <c r="C2" s="9">
        <v>32.799999999999997</v>
      </c>
      <c r="D2" s="9">
        <v>8.1199999999999992</v>
      </c>
      <c r="E2" s="15" t="s">
        <v>184</v>
      </c>
      <c r="F2" s="9">
        <f t="shared" ref="F2:F31" si="0">$C2/$D2</f>
        <v>4.0394088669950738</v>
      </c>
      <c r="G2" s="9" t="s">
        <v>15</v>
      </c>
    </row>
    <row r="3" spans="2:7" x14ac:dyDescent="0.3">
      <c r="B3" s="46" t="s">
        <v>252</v>
      </c>
      <c r="C3" s="18">
        <v>155.80000000000001</v>
      </c>
      <c r="D3" s="18">
        <v>5.01</v>
      </c>
      <c r="E3" s="19" t="s">
        <v>184</v>
      </c>
      <c r="F3" s="18">
        <f t="shared" si="0"/>
        <v>31.097804391217569</v>
      </c>
      <c r="G3" s="18" t="s">
        <v>16</v>
      </c>
    </row>
    <row r="4" spans="2:7" x14ac:dyDescent="0.3">
      <c r="B4" s="45" t="s">
        <v>251</v>
      </c>
      <c r="C4" s="9">
        <v>33.299999999999997</v>
      </c>
      <c r="D4" s="9">
        <v>7.9</v>
      </c>
      <c r="E4" s="15" t="s">
        <v>184</v>
      </c>
      <c r="F4" s="9">
        <f t="shared" si="0"/>
        <v>4.2151898734177209</v>
      </c>
      <c r="G4" s="9" t="s">
        <v>15</v>
      </c>
    </row>
    <row r="5" spans="2:7" x14ac:dyDescent="0.3">
      <c r="B5" s="46" t="s">
        <v>252</v>
      </c>
      <c r="C5" s="18">
        <v>158</v>
      </c>
      <c r="D5" s="18">
        <v>5.04</v>
      </c>
      <c r="E5" s="19" t="s">
        <v>184</v>
      </c>
      <c r="F5" s="18">
        <f t="shared" si="0"/>
        <v>31.349206349206348</v>
      </c>
      <c r="G5" s="18" t="s">
        <v>16</v>
      </c>
    </row>
    <row r="6" spans="2:7" x14ac:dyDescent="0.3">
      <c r="B6" s="45" t="s">
        <v>251</v>
      </c>
      <c r="C6" s="9">
        <v>39</v>
      </c>
      <c r="D6" s="9">
        <v>7.56</v>
      </c>
      <c r="E6" s="15" t="s">
        <v>184</v>
      </c>
      <c r="F6" s="9">
        <f t="shared" si="0"/>
        <v>5.1587301587301591</v>
      </c>
      <c r="G6" s="9" t="s">
        <v>15</v>
      </c>
    </row>
    <row r="7" spans="2:7" x14ac:dyDescent="0.3">
      <c r="B7" s="46" t="s">
        <v>252</v>
      </c>
      <c r="C7" s="18">
        <v>185</v>
      </c>
      <c r="D7" s="18">
        <v>4.96</v>
      </c>
      <c r="E7" s="19" t="s">
        <v>184</v>
      </c>
      <c r="F7" s="18">
        <f t="shared" si="0"/>
        <v>37.298387096774192</v>
      </c>
      <c r="G7" s="18" t="s">
        <v>16</v>
      </c>
    </row>
    <row r="8" spans="2:7" x14ac:dyDescent="0.3">
      <c r="B8" s="45" t="s">
        <v>251</v>
      </c>
      <c r="C8" s="9">
        <v>45.7</v>
      </c>
      <c r="D8" s="9">
        <v>7.62</v>
      </c>
      <c r="E8" s="15" t="s">
        <v>184</v>
      </c>
      <c r="F8" s="9">
        <f t="shared" si="0"/>
        <v>5.9973753280839901</v>
      </c>
      <c r="G8" s="9" t="s">
        <v>15</v>
      </c>
    </row>
    <row r="9" spans="2:7" x14ac:dyDescent="0.3">
      <c r="B9" s="46" t="s">
        <v>252</v>
      </c>
      <c r="C9" s="18">
        <v>217.2</v>
      </c>
      <c r="D9" s="18">
        <v>4.87</v>
      </c>
      <c r="E9" s="19" t="s">
        <v>184</v>
      </c>
      <c r="F9" s="18">
        <f t="shared" si="0"/>
        <v>44.599589322381924</v>
      </c>
      <c r="G9" s="18" t="s">
        <v>16</v>
      </c>
    </row>
    <row r="10" spans="2:7" x14ac:dyDescent="0.3">
      <c r="B10" s="45" t="s">
        <v>251</v>
      </c>
      <c r="C10" s="9">
        <v>52.7</v>
      </c>
      <c r="D10" s="9">
        <v>7.83</v>
      </c>
      <c r="E10" s="15" t="s">
        <v>184</v>
      </c>
      <c r="F10" s="9">
        <f t="shared" si="0"/>
        <v>6.7305236270753515</v>
      </c>
      <c r="G10" s="9" t="s">
        <v>15</v>
      </c>
    </row>
    <row r="11" spans="2:7" x14ac:dyDescent="0.3">
      <c r="B11" s="46" t="s">
        <v>252</v>
      </c>
      <c r="C11" s="18">
        <v>250.4</v>
      </c>
      <c r="D11" s="18">
        <v>4.93</v>
      </c>
      <c r="E11" s="19" t="s">
        <v>184</v>
      </c>
      <c r="F11" s="18">
        <f t="shared" si="0"/>
        <v>50.791075050709942</v>
      </c>
      <c r="G11" s="18" t="s">
        <v>16</v>
      </c>
    </row>
    <row r="12" spans="2:7" x14ac:dyDescent="0.3">
      <c r="B12" s="45" t="s">
        <v>251</v>
      </c>
      <c r="C12" s="9">
        <v>58.5</v>
      </c>
      <c r="D12" s="9">
        <v>8.01</v>
      </c>
      <c r="E12" s="15" t="s">
        <v>184</v>
      </c>
      <c r="F12" s="9">
        <f t="shared" si="0"/>
        <v>7.3033707865168545</v>
      </c>
      <c r="G12" s="9" t="s">
        <v>15</v>
      </c>
    </row>
    <row r="13" spans="2:7" x14ac:dyDescent="0.3">
      <c r="B13" s="46" t="s">
        <v>252</v>
      </c>
      <c r="C13" s="18">
        <v>277.7</v>
      </c>
      <c r="D13" s="18">
        <v>5.04</v>
      </c>
      <c r="E13" s="19" t="s">
        <v>184</v>
      </c>
      <c r="F13" s="18">
        <f t="shared" si="0"/>
        <v>55.099206349206348</v>
      </c>
      <c r="G13" s="18" t="s">
        <v>16</v>
      </c>
    </row>
    <row r="14" spans="2:7" x14ac:dyDescent="0.3">
      <c r="B14" s="45" t="s">
        <v>251</v>
      </c>
      <c r="C14" s="9">
        <v>63.7</v>
      </c>
      <c r="D14" s="9">
        <v>7.82</v>
      </c>
      <c r="E14" s="15" t="s">
        <v>184</v>
      </c>
      <c r="F14" s="9">
        <f t="shared" si="0"/>
        <v>8.1457800511508953</v>
      </c>
      <c r="G14" s="9" t="s">
        <v>15</v>
      </c>
    </row>
    <row r="15" spans="2:7" x14ac:dyDescent="0.3">
      <c r="B15" s="46" t="s">
        <v>252</v>
      </c>
      <c r="C15" s="18">
        <v>302.7</v>
      </c>
      <c r="D15" s="18">
        <v>4.99</v>
      </c>
      <c r="E15" s="19" t="s">
        <v>184</v>
      </c>
      <c r="F15" s="18">
        <f t="shared" si="0"/>
        <v>60.661322645290575</v>
      </c>
      <c r="G15" s="18" t="s">
        <v>16</v>
      </c>
    </row>
    <row r="16" spans="2:7" x14ac:dyDescent="0.3">
      <c r="B16" s="45" t="s">
        <v>251</v>
      </c>
      <c r="C16" s="9">
        <v>69.8</v>
      </c>
      <c r="D16" s="9">
        <v>7.52</v>
      </c>
      <c r="E16" s="15" t="s">
        <v>184</v>
      </c>
      <c r="F16" s="9">
        <f t="shared" si="0"/>
        <v>9.2819148936170208</v>
      </c>
      <c r="G16" s="9" t="s">
        <v>15</v>
      </c>
    </row>
    <row r="17" spans="2:7" x14ac:dyDescent="0.3">
      <c r="B17" s="46" t="s">
        <v>252</v>
      </c>
      <c r="C17" s="18">
        <v>331.4</v>
      </c>
      <c r="D17" s="18">
        <v>4.7699999999999996</v>
      </c>
      <c r="E17" s="19" t="s">
        <v>184</v>
      </c>
      <c r="F17" s="18">
        <f t="shared" si="0"/>
        <v>69.475890985324952</v>
      </c>
      <c r="G17" s="18" t="s">
        <v>16</v>
      </c>
    </row>
    <row r="18" spans="2:7" x14ac:dyDescent="0.3">
      <c r="B18" s="45" t="s">
        <v>251</v>
      </c>
      <c r="C18" s="9">
        <v>78.400000000000006</v>
      </c>
      <c r="D18" s="9">
        <v>7.98</v>
      </c>
      <c r="E18" s="15" t="s">
        <v>184</v>
      </c>
      <c r="F18" s="9">
        <f t="shared" si="0"/>
        <v>9.8245614035087723</v>
      </c>
      <c r="G18" s="9" t="s">
        <v>15</v>
      </c>
    </row>
    <row r="19" spans="2:7" x14ac:dyDescent="0.3">
      <c r="B19" s="46" t="s">
        <v>252</v>
      </c>
      <c r="C19" s="18">
        <v>372.2</v>
      </c>
      <c r="D19" s="18">
        <v>4.88</v>
      </c>
      <c r="E19" s="19" t="s">
        <v>184</v>
      </c>
      <c r="F19" s="18">
        <f t="shared" si="0"/>
        <v>76.270491803278688</v>
      </c>
      <c r="G19" s="18" t="s">
        <v>16</v>
      </c>
    </row>
    <row r="20" spans="2:7" x14ac:dyDescent="0.3">
      <c r="B20" s="45" t="s">
        <v>251</v>
      </c>
      <c r="C20" s="9">
        <v>90.8</v>
      </c>
      <c r="D20" s="9">
        <v>7.87</v>
      </c>
      <c r="E20" s="15" t="s">
        <v>184</v>
      </c>
      <c r="F20" s="9">
        <f t="shared" si="0"/>
        <v>11.537484116899618</v>
      </c>
      <c r="G20" s="9" t="s">
        <v>15</v>
      </c>
    </row>
    <row r="21" spans="2:7" x14ac:dyDescent="0.3">
      <c r="B21" s="46" t="s">
        <v>252</v>
      </c>
      <c r="C21" s="18">
        <v>431.1</v>
      </c>
      <c r="D21" s="18">
        <v>4.97</v>
      </c>
      <c r="E21" s="19" t="s">
        <v>184</v>
      </c>
      <c r="F21" s="18">
        <f t="shared" si="0"/>
        <v>86.740442655935624</v>
      </c>
      <c r="G21" s="18" t="s">
        <v>16</v>
      </c>
    </row>
    <row r="22" spans="2:7" x14ac:dyDescent="0.3">
      <c r="B22" s="45" t="s">
        <v>251</v>
      </c>
      <c r="C22" s="9">
        <v>101.9</v>
      </c>
      <c r="D22" s="9">
        <v>8.6199999999999992</v>
      </c>
      <c r="E22" s="15" t="s">
        <v>184</v>
      </c>
      <c r="F22" s="9">
        <f t="shared" si="0"/>
        <v>11.821345707656615</v>
      </c>
      <c r="G22" s="9" t="s">
        <v>15</v>
      </c>
    </row>
    <row r="23" spans="2:7" x14ac:dyDescent="0.3">
      <c r="B23" s="46" t="s">
        <v>252</v>
      </c>
      <c r="C23" s="18">
        <v>483.7</v>
      </c>
      <c r="D23" s="18">
        <v>5.0199999999999996</v>
      </c>
      <c r="E23" s="19" t="s">
        <v>184</v>
      </c>
      <c r="F23" s="18">
        <f t="shared" si="0"/>
        <v>96.354581673306782</v>
      </c>
      <c r="G23" s="18" t="s">
        <v>16</v>
      </c>
    </row>
    <row r="24" spans="2:7" x14ac:dyDescent="0.3">
      <c r="B24" s="45" t="s">
        <v>251</v>
      </c>
      <c r="C24" s="9">
        <v>118.7</v>
      </c>
      <c r="D24" s="9">
        <v>7.84</v>
      </c>
      <c r="E24" s="15" t="s">
        <v>184</v>
      </c>
      <c r="F24" s="9">
        <f t="shared" si="0"/>
        <v>15.14030612244898</v>
      </c>
      <c r="G24" s="9" t="s">
        <v>15</v>
      </c>
    </row>
    <row r="25" spans="2:7" x14ac:dyDescent="0.3">
      <c r="B25" s="46" t="s">
        <v>252</v>
      </c>
      <c r="C25" s="18">
        <v>563.5</v>
      </c>
      <c r="D25" s="18">
        <v>4.9000000000000004</v>
      </c>
      <c r="E25" s="19" t="s">
        <v>184</v>
      </c>
      <c r="F25" s="18">
        <f t="shared" si="0"/>
        <v>114.99999999999999</v>
      </c>
      <c r="G25" s="18" t="s">
        <v>16</v>
      </c>
    </row>
    <row r="26" spans="2:7" x14ac:dyDescent="0.3">
      <c r="B26" s="45" t="s">
        <v>251</v>
      </c>
      <c r="C26" s="9">
        <v>129.4</v>
      </c>
      <c r="D26" s="9">
        <v>7.94</v>
      </c>
      <c r="E26" s="15" t="s">
        <v>184</v>
      </c>
      <c r="F26" s="9">
        <f>$C26/$D26</f>
        <v>16.297229219143578</v>
      </c>
      <c r="G26" s="9" t="s">
        <v>15</v>
      </c>
    </row>
    <row r="27" spans="2:7" x14ac:dyDescent="0.3">
      <c r="B27" s="46" t="s">
        <v>252</v>
      </c>
      <c r="C27" s="18">
        <v>614.20000000000005</v>
      </c>
      <c r="D27" s="18">
        <v>4.87</v>
      </c>
      <c r="E27" s="19" t="s">
        <v>184</v>
      </c>
      <c r="F27" s="18">
        <f>$C27/$D27</f>
        <v>126.11909650924025</v>
      </c>
      <c r="G27" s="18" t="s">
        <v>16</v>
      </c>
    </row>
    <row r="28" spans="2:7" x14ac:dyDescent="0.3">
      <c r="B28" s="45" t="s">
        <v>251</v>
      </c>
      <c r="C28" s="9">
        <v>139.80000000000001</v>
      </c>
      <c r="D28" s="9">
        <v>8.06</v>
      </c>
      <c r="E28" s="15" t="s">
        <v>184</v>
      </c>
      <c r="F28" s="9">
        <f t="shared" si="0"/>
        <v>17.344913151364764</v>
      </c>
      <c r="G28" s="9" t="s">
        <v>15</v>
      </c>
    </row>
    <row r="29" spans="2:7" x14ac:dyDescent="0.3">
      <c r="B29" s="46" t="s">
        <v>252</v>
      </c>
      <c r="C29" s="18">
        <v>663.8</v>
      </c>
      <c r="D29" s="18">
        <v>4.83</v>
      </c>
      <c r="E29" s="19" t="s">
        <v>184</v>
      </c>
      <c r="F29" s="18">
        <f t="shared" si="0"/>
        <v>137.43271221532089</v>
      </c>
      <c r="G29" s="18" t="s">
        <v>16</v>
      </c>
    </row>
    <row r="30" spans="2:7" x14ac:dyDescent="0.3">
      <c r="B30" s="45" t="s">
        <v>251</v>
      </c>
      <c r="C30" s="9">
        <v>146.30000000000001</v>
      </c>
      <c r="D30" s="9">
        <v>7.77</v>
      </c>
      <c r="E30" s="15" t="s">
        <v>184</v>
      </c>
      <c r="F30" s="9">
        <f t="shared" si="0"/>
        <v>18.828828828828833</v>
      </c>
      <c r="G30" s="9" t="s">
        <v>15</v>
      </c>
    </row>
    <row r="31" spans="2:7" x14ac:dyDescent="0.3">
      <c r="B31" s="46" t="s">
        <v>252</v>
      </c>
      <c r="C31" s="18">
        <v>694.8</v>
      </c>
      <c r="D31" s="18">
        <v>4.67</v>
      </c>
      <c r="E31" s="19" t="s">
        <v>184</v>
      </c>
      <c r="F31" s="18">
        <f t="shared" si="0"/>
        <v>148.77944325481798</v>
      </c>
      <c r="G31" s="18" t="s">
        <v>16</v>
      </c>
    </row>
    <row r="33" spans="1:8" x14ac:dyDescent="0.3">
      <c r="B33" t="s">
        <v>1</v>
      </c>
      <c r="C33" t="s">
        <v>4</v>
      </c>
    </row>
    <row r="34" spans="1:8" x14ac:dyDescent="0.3">
      <c r="A34" t="s">
        <v>184</v>
      </c>
      <c r="B34" t="s">
        <v>183</v>
      </c>
      <c r="C34" s="4" t="s">
        <v>182</v>
      </c>
      <c r="D34" s="4"/>
      <c r="E34" s="4"/>
      <c r="H34" t="s">
        <v>333</v>
      </c>
    </row>
    <row r="35" spans="1:8" x14ac:dyDescent="0.3">
      <c r="C35" s="4"/>
      <c r="D35" s="4"/>
      <c r="E35" s="4"/>
    </row>
    <row r="36" spans="1:8" x14ac:dyDescent="0.3">
      <c r="C36" s="4"/>
      <c r="D36" s="4"/>
    </row>
    <row r="37" spans="1:8" x14ac:dyDescent="0.3">
      <c r="E37" s="10" t="s">
        <v>18</v>
      </c>
      <c r="F37" s="10" t="s">
        <v>18</v>
      </c>
      <c r="G37" s="10" t="s">
        <v>18</v>
      </c>
    </row>
    <row r="38" spans="1:8" x14ac:dyDescent="0.3">
      <c r="B38" s="2" t="s">
        <v>13</v>
      </c>
      <c r="C38" s="2" t="s">
        <v>12</v>
      </c>
      <c r="D38" s="2" t="s">
        <v>25</v>
      </c>
      <c r="E38" s="2" t="s">
        <v>17</v>
      </c>
      <c r="F38" s="2" t="s">
        <v>22</v>
      </c>
      <c r="G38" s="2" t="s">
        <v>23</v>
      </c>
    </row>
    <row r="39" spans="1:8" x14ac:dyDescent="0.3">
      <c r="B39" s="9" t="s">
        <v>15</v>
      </c>
      <c r="C39" s="9">
        <f>$C3</f>
        <v>155.80000000000001</v>
      </c>
      <c r="D39" s="9">
        <f t="shared" ref="D39:D68" si="1">$F2</f>
        <v>4.0394088669950738</v>
      </c>
      <c r="E39" s="9">
        <f t="shared" ref="E39:E68" si="2">$D39*$D2</f>
        <v>32.799999999999997</v>
      </c>
      <c r="F39" s="9">
        <f t="shared" ref="F39:F68" si="3">$B$71*$D39+$C$71*$C39+$E$71</f>
        <v>30.861822667250323</v>
      </c>
      <c r="G39" s="20">
        <f t="shared" ref="G39:G68" si="4">($E39-$F39)/$E39</f>
        <v>5.9090772339929105E-2</v>
      </c>
    </row>
    <row r="40" spans="1:8" x14ac:dyDescent="0.3">
      <c r="B40" s="18" t="s">
        <v>16</v>
      </c>
      <c r="C40" s="18">
        <f>$C3</f>
        <v>155.80000000000001</v>
      </c>
      <c r="D40" s="18">
        <f t="shared" si="1"/>
        <v>31.097804391217569</v>
      </c>
      <c r="E40" s="18">
        <f t="shared" si="2"/>
        <v>155.80000000000001</v>
      </c>
      <c r="F40" s="18">
        <f t="shared" si="3"/>
        <v>149.85791258520169</v>
      </c>
      <c r="G40" s="20">
        <f t="shared" si="4"/>
        <v>3.8139200351722226E-2</v>
      </c>
    </row>
    <row r="41" spans="1:8" x14ac:dyDescent="0.3">
      <c r="B41" s="9" t="s">
        <v>15</v>
      </c>
      <c r="C41" s="9">
        <f>$C5</f>
        <v>158</v>
      </c>
      <c r="D41" s="9">
        <f t="shared" si="1"/>
        <v>4.2151898734177209</v>
      </c>
      <c r="E41" s="9">
        <f t="shared" si="2"/>
        <v>33.299999999999997</v>
      </c>
      <c r="F41" s="9">
        <f t="shared" si="3"/>
        <v>31.819809341166565</v>
      </c>
      <c r="G41" s="20">
        <f t="shared" si="4"/>
        <v>4.4450169934937916E-2</v>
      </c>
    </row>
    <row r="42" spans="1:8" x14ac:dyDescent="0.3">
      <c r="B42" s="18" t="s">
        <v>16</v>
      </c>
      <c r="C42" s="18">
        <f>$C5</f>
        <v>158</v>
      </c>
      <c r="D42" s="18">
        <f t="shared" si="1"/>
        <v>31.349206349206348</v>
      </c>
      <c r="E42" s="18">
        <f t="shared" si="2"/>
        <v>158</v>
      </c>
      <c r="F42" s="18">
        <f t="shared" si="3"/>
        <v>151.1484613855082</v>
      </c>
      <c r="G42" s="20">
        <f t="shared" si="4"/>
        <v>4.3364168446150639E-2</v>
      </c>
    </row>
    <row r="43" spans="1:8" x14ac:dyDescent="0.3">
      <c r="B43" s="9" t="s">
        <v>15</v>
      </c>
      <c r="C43" s="9">
        <f>$C7</f>
        <v>185</v>
      </c>
      <c r="D43" s="9">
        <f t="shared" si="1"/>
        <v>5.1587301587301591</v>
      </c>
      <c r="E43" s="9">
        <f t="shared" si="2"/>
        <v>39</v>
      </c>
      <c r="F43" s="9">
        <f t="shared" si="3"/>
        <v>38.239051026107553</v>
      </c>
      <c r="G43" s="20">
        <f t="shared" si="4"/>
        <v>1.9511512151088376E-2</v>
      </c>
    </row>
    <row r="44" spans="1:8" x14ac:dyDescent="0.3">
      <c r="B44" s="18" t="s">
        <v>16</v>
      </c>
      <c r="C44" s="18">
        <f>$C7</f>
        <v>185</v>
      </c>
      <c r="D44" s="18">
        <f t="shared" si="1"/>
        <v>37.298387096774192</v>
      </c>
      <c r="E44" s="18">
        <f t="shared" si="2"/>
        <v>185</v>
      </c>
      <c r="F44" s="18">
        <f t="shared" si="3"/>
        <v>179.58126414838736</v>
      </c>
      <c r="G44" s="20">
        <f t="shared" si="4"/>
        <v>2.9290464062771016E-2</v>
      </c>
    </row>
    <row r="45" spans="1:8" x14ac:dyDescent="0.3">
      <c r="B45" s="9" t="s">
        <v>15</v>
      </c>
      <c r="C45" s="9">
        <f>$C9</f>
        <v>217.2</v>
      </c>
      <c r="D45" s="9">
        <f t="shared" si="1"/>
        <v>5.9973753280839901</v>
      </c>
      <c r="E45" s="9">
        <f t="shared" si="2"/>
        <v>45.7</v>
      </c>
      <c r="F45" s="9">
        <f t="shared" si="3"/>
        <v>44.634134125539802</v>
      </c>
      <c r="G45" s="20">
        <f t="shared" si="4"/>
        <v>2.3323104473965003E-2</v>
      </c>
    </row>
    <row r="46" spans="1:8" x14ac:dyDescent="0.3">
      <c r="B46" s="18" t="s">
        <v>16</v>
      </c>
      <c r="C46" s="18">
        <f>$C9</f>
        <v>217.2</v>
      </c>
      <c r="D46" s="18">
        <f t="shared" si="1"/>
        <v>44.599589322381924</v>
      </c>
      <c r="E46" s="18">
        <f t="shared" si="2"/>
        <v>217.19999999999996</v>
      </c>
      <c r="F46" s="18">
        <f t="shared" si="3"/>
        <v>214.39706494623078</v>
      </c>
      <c r="G46" s="20">
        <f t="shared" si="4"/>
        <v>1.2904857521957531E-2</v>
      </c>
    </row>
    <row r="47" spans="1:8" x14ac:dyDescent="0.3">
      <c r="B47" s="9" t="s">
        <v>15</v>
      </c>
      <c r="C47" s="9">
        <f>$C11</f>
        <v>250.4</v>
      </c>
      <c r="D47" s="9">
        <f t="shared" si="1"/>
        <v>6.7305236270753515</v>
      </c>
      <c r="E47" s="9">
        <f t="shared" si="2"/>
        <v>52.7</v>
      </c>
      <c r="F47" s="9">
        <f t="shared" si="3"/>
        <v>50.649334402250105</v>
      </c>
      <c r="G47" s="20">
        <f t="shared" si="4"/>
        <v>3.8912060678366181E-2</v>
      </c>
    </row>
    <row r="48" spans="1:8" x14ac:dyDescent="0.3">
      <c r="B48" s="18" t="s">
        <v>16</v>
      </c>
      <c r="C48" s="18">
        <f>$C11</f>
        <v>250.4</v>
      </c>
      <c r="D48" s="18">
        <f t="shared" si="1"/>
        <v>50.791075050709942</v>
      </c>
      <c r="E48" s="18">
        <f t="shared" si="2"/>
        <v>250.4</v>
      </c>
      <c r="F48" s="18">
        <f t="shared" si="3"/>
        <v>244.41667490652407</v>
      </c>
      <c r="G48" s="20">
        <f t="shared" si="4"/>
        <v>2.3895068264680273E-2</v>
      </c>
    </row>
    <row r="49" spans="2:7" x14ac:dyDescent="0.3">
      <c r="B49" s="9" t="s">
        <v>15</v>
      </c>
      <c r="C49" s="9">
        <f>$C13</f>
        <v>277.7</v>
      </c>
      <c r="D49" s="9">
        <f t="shared" si="1"/>
        <v>7.3033707865168545</v>
      </c>
      <c r="E49" s="9">
        <f t="shared" si="2"/>
        <v>58.5</v>
      </c>
      <c r="F49" s="9">
        <f t="shared" si="3"/>
        <v>55.463579816117544</v>
      </c>
      <c r="G49" s="20">
        <f t="shared" si="4"/>
        <v>5.1904618527905226E-2</v>
      </c>
    </row>
    <row r="50" spans="2:7" x14ac:dyDescent="0.3">
      <c r="B50" s="18" t="s">
        <v>16</v>
      </c>
      <c r="C50" s="18">
        <f>$C13</f>
        <v>277.7</v>
      </c>
      <c r="D50" s="18">
        <f t="shared" si="1"/>
        <v>55.099206349206348</v>
      </c>
      <c r="E50" s="18">
        <f t="shared" si="2"/>
        <v>277.7</v>
      </c>
      <c r="F50" s="18">
        <f t="shared" si="3"/>
        <v>265.65777042250397</v>
      </c>
      <c r="G50" s="20">
        <f t="shared" si="4"/>
        <v>4.3364168446150583E-2</v>
      </c>
    </row>
    <row r="51" spans="2:7" x14ac:dyDescent="0.3">
      <c r="B51" s="9" t="s">
        <v>15</v>
      </c>
      <c r="C51" s="9">
        <f>$C15</f>
        <v>302.7</v>
      </c>
      <c r="D51" s="9">
        <f t="shared" si="1"/>
        <v>8.1457800511508953</v>
      </c>
      <c r="E51" s="9">
        <f t="shared" si="2"/>
        <v>63.7</v>
      </c>
      <c r="F51" s="9">
        <f t="shared" si="3"/>
        <v>61.269940119433798</v>
      </c>
      <c r="G51" s="20">
        <f t="shared" si="4"/>
        <v>3.8148506759281081E-2</v>
      </c>
    </row>
    <row r="52" spans="2:7" x14ac:dyDescent="0.3">
      <c r="B52" s="18" t="s">
        <v>16</v>
      </c>
      <c r="C52" s="18">
        <f>$C15</f>
        <v>302.7</v>
      </c>
      <c r="D52" s="18">
        <f t="shared" si="1"/>
        <v>60.661322645290575</v>
      </c>
      <c r="E52" s="18">
        <f t="shared" si="2"/>
        <v>302.7</v>
      </c>
      <c r="F52" s="18">
        <f t="shared" si="3"/>
        <v>292.22022773083552</v>
      </c>
      <c r="G52" s="20">
        <f t="shared" si="4"/>
        <v>3.4620985362287651E-2</v>
      </c>
    </row>
    <row r="53" spans="2:7" x14ac:dyDescent="0.3">
      <c r="B53" s="9" t="s">
        <v>15</v>
      </c>
      <c r="C53" s="9">
        <f>$C17</f>
        <v>331.4</v>
      </c>
      <c r="D53" s="9">
        <f t="shared" si="1"/>
        <v>9.2819148936170208</v>
      </c>
      <c r="E53" s="9">
        <f t="shared" si="2"/>
        <v>69.8</v>
      </c>
      <c r="F53" s="9">
        <f t="shared" si="3"/>
        <v>68.679077210389892</v>
      </c>
      <c r="G53" s="20">
        <f t="shared" si="4"/>
        <v>1.605906575372644E-2</v>
      </c>
    </row>
    <row r="54" spans="2:7" x14ac:dyDescent="0.3">
      <c r="B54" s="18" t="s">
        <v>16</v>
      </c>
      <c r="C54" s="18">
        <f>$C17</f>
        <v>331.4</v>
      </c>
      <c r="D54" s="18">
        <f t="shared" si="1"/>
        <v>69.475890985324952</v>
      </c>
      <c r="E54" s="18">
        <f t="shared" si="2"/>
        <v>331.4</v>
      </c>
      <c r="F54" s="18">
        <f t="shared" si="3"/>
        <v>333.39720453304506</v>
      </c>
      <c r="G54" s="20">
        <f t="shared" si="4"/>
        <v>-6.0265676917473704E-3</v>
      </c>
    </row>
    <row r="55" spans="2:7" x14ac:dyDescent="0.3">
      <c r="B55" s="9" t="s">
        <v>15</v>
      </c>
      <c r="C55" s="9">
        <f>$C19</f>
        <v>372.2</v>
      </c>
      <c r="D55" s="9">
        <f t="shared" si="1"/>
        <v>9.8245614035087723</v>
      </c>
      <c r="E55" s="9">
        <f t="shared" si="2"/>
        <v>78.400000000000006</v>
      </c>
      <c r="F55" s="9">
        <f t="shared" si="3"/>
        <v>74.495400840186846</v>
      </c>
      <c r="G55" s="20">
        <f t="shared" si="4"/>
        <v>4.9803560711902541E-2</v>
      </c>
    </row>
    <row r="56" spans="2:7" x14ac:dyDescent="0.3">
      <c r="B56" s="18" t="s">
        <v>16</v>
      </c>
      <c r="C56" s="18">
        <f>$C19</f>
        <v>372.2</v>
      </c>
      <c r="D56" s="18">
        <f t="shared" si="1"/>
        <v>76.270491803278688</v>
      </c>
      <c r="E56" s="18">
        <f t="shared" si="2"/>
        <v>372.2</v>
      </c>
      <c r="F56" s="18">
        <f t="shared" si="3"/>
        <v>366.70806738410073</v>
      </c>
      <c r="G56" s="20">
        <f t="shared" si="4"/>
        <v>1.4755326748788981E-2</v>
      </c>
    </row>
    <row r="57" spans="2:7" x14ac:dyDescent="0.3">
      <c r="B57" s="9" t="s">
        <v>15</v>
      </c>
      <c r="C57" s="9">
        <f>$C21</f>
        <v>431.1</v>
      </c>
      <c r="D57" s="9">
        <f t="shared" si="1"/>
        <v>11.537484116899618</v>
      </c>
      <c r="E57" s="9">
        <f t="shared" si="2"/>
        <v>90.8</v>
      </c>
      <c r="F57" s="9">
        <f t="shared" si="3"/>
        <v>86.979905476825195</v>
      </c>
      <c r="G57" s="20">
        <f t="shared" si="4"/>
        <v>4.2071525585625574E-2</v>
      </c>
    </row>
    <row r="58" spans="2:7" x14ac:dyDescent="0.3">
      <c r="B58" s="18" t="s">
        <v>16</v>
      </c>
      <c r="C58" s="18">
        <f>$C21</f>
        <v>431.1</v>
      </c>
      <c r="D58" s="18">
        <f t="shared" si="1"/>
        <v>86.740442655935624</v>
      </c>
      <c r="E58" s="18">
        <f t="shared" si="2"/>
        <v>431.1</v>
      </c>
      <c r="F58" s="18">
        <f t="shared" si="3"/>
        <v>417.7038025532849</v>
      </c>
      <c r="G58" s="20">
        <f t="shared" si="4"/>
        <v>3.107445475925567E-2</v>
      </c>
    </row>
    <row r="59" spans="2:7" x14ac:dyDescent="0.3">
      <c r="B59" s="9" t="s">
        <v>15</v>
      </c>
      <c r="C59" s="9">
        <f>$C23</f>
        <v>483.7</v>
      </c>
      <c r="D59" s="9">
        <f t="shared" si="1"/>
        <v>11.821345707656615</v>
      </c>
      <c r="E59" s="9">
        <f t="shared" si="2"/>
        <v>101.9</v>
      </c>
      <c r="F59" s="9">
        <f t="shared" si="3"/>
        <v>92.650138117457658</v>
      </c>
      <c r="G59" s="20">
        <f t="shared" si="4"/>
        <v>9.0773914450857182E-2</v>
      </c>
    </row>
    <row r="60" spans="2:7" x14ac:dyDescent="0.3">
      <c r="B60" s="18" t="s">
        <v>16</v>
      </c>
      <c r="C60" s="18">
        <f>$C23</f>
        <v>483.7</v>
      </c>
      <c r="D60" s="18">
        <f t="shared" si="1"/>
        <v>96.354581673306782</v>
      </c>
      <c r="E60" s="18">
        <f t="shared" si="2"/>
        <v>483.7</v>
      </c>
      <c r="F60" s="18">
        <f t="shared" si="3"/>
        <v>464.40627343668041</v>
      </c>
      <c r="G60" s="20">
        <f t="shared" si="4"/>
        <v>3.9887795251849455E-2</v>
      </c>
    </row>
    <row r="61" spans="2:7" x14ac:dyDescent="0.3">
      <c r="B61" s="9" t="s">
        <v>15</v>
      </c>
      <c r="C61" s="9">
        <f>$C25</f>
        <v>563.5</v>
      </c>
      <c r="D61" s="9">
        <f t="shared" si="1"/>
        <v>15.14030612244898</v>
      </c>
      <c r="E61" s="9">
        <f t="shared" si="2"/>
        <v>118.7</v>
      </c>
      <c r="F61" s="9">
        <f t="shared" si="3"/>
        <v>113.95457963499385</v>
      </c>
      <c r="G61" s="20">
        <f t="shared" si="4"/>
        <v>3.9978267607465492E-2</v>
      </c>
    </row>
    <row r="62" spans="2:7" x14ac:dyDescent="0.3">
      <c r="B62" s="18" t="s">
        <v>16</v>
      </c>
      <c r="C62" s="18">
        <f>$C25</f>
        <v>563.5</v>
      </c>
      <c r="D62" s="18">
        <f t="shared" si="1"/>
        <v>114.99999999999999</v>
      </c>
      <c r="E62" s="18">
        <f t="shared" si="2"/>
        <v>563.5</v>
      </c>
      <c r="F62" s="18">
        <f t="shared" si="3"/>
        <v>553.11266279608344</v>
      </c>
      <c r="G62" s="20">
        <f t="shared" si="4"/>
        <v>1.8433606395592828E-2</v>
      </c>
    </row>
    <row r="63" spans="2:7" x14ac:dyDescent="0.3">
      <c r="B63" s="9" t="s">
        <v>15</v>
      </c>
      <c r="C63" s="9">
        <f>$C27</f>
        <v>614.20000000000005</v>
      </c>
      <c r="D63" s="9">
        <f t="shared" si="1"/>
        <v>16.297229219143578</v>
      </c>
      <c r="E63" s="9">
        <f t="shared" si="2"/>
        <v>129.4</v>
      </c>
      <c r="F63" s="9">
        <f t="shared" si="3"/>
        <v>123.30459381005583</v>
      </c>
      <c r="G63" s="20">
        <f t="shared" si="4"/>
        <v>4.7105148299413993E-2</v>
      </c>
    </row>
    <row r="64" spans="2:7" x14ac:dyDescent="0.3">
      <c r="B64" s="18" t="s">
        <v>16</v>
      </c>
      <c r="C64" s="18">
        <f>$C27</f>
        <v>614.20000000000005</v>
      </c>
      <c r="D64" s="18">
        <f t="shared" si="1"/>
        <v>126.11909650924025</v>
      </c>
      <c r="E64" s="18">
        <f t="shared" si="2"/>
        <v>614.20000000000005</v>
      </c>
      <c r="F64" s="18">
        <f t="shared" si="3"/>
        <v>606.27383651001367</v>
      </c>
      <c r="G64" s="20">
        <f t="shared" si="4"/>
        <v>1.2904857521957634E-2</v>
      </c>
    </row>
    <row r="65" spans="2:7" x14ac:dyDescent="0.3">
      <c r="B65" s="9" t="s">
        <v>15</v>
      </c>
      <c r="C65" s="9">
        <f>$C29</f>
        <v>663.8</v>
      </c>
      <c r="D65" s="9">
        <f t="shared" si="1"/>
        <v>17.344913151364764</v>
      </c>
      <c r="E65" s="9">
        <f t="shared" si="2"/>
        <v>139.80000000000001</v>
      </c>
      <c r="F65" s="9">
        <f t="shared" si="3"/>
        <v>132.08172854863477</v>
      </c>
      <c r="G65" s="20">
        <f t="shared" si="4"/>
        <v>5.5209380911053214E-2</v>
      </c>
    </row>
    <row r="66" spans="2:7" x14ac:dyDescent="0.3">
      <c r="B66" s="18" t="s">
        <v>16</v>
      </c>
      <c r="C66" s="18">
        <f>$C29</f>
        <v>663.8</v>
      </c>
      <c r="D66" s="18">
        <f t="shared" si="1"/>
        <v>137.43271221532089</v>
      </c>
      <c r="E66" s="18">
        <f t="shared" si="2"/>
        <v>663.8</v>
      </c>
      <c r="F66" s="18">
        <f t="shared" si="3"/>
        <v>660.19798446895004</v>
      </c>
      <c r="G66" s="20">
        <f t="shared" si="4"/>
        <v>5.426356630084235E-3</v>
      </c>
    </row>
    <row r="67" spans="2:7" x14ac:dyDescent="0.3">
      <c r="B67" s="9" t="s">
        <v>15</v>
      </c>
      <c r="C67" s="9">
        <f>$C31</f>
        <v>694.8</v>
      </c>
      <c r="D67" s="9">
        <f t="shared" si="1"/>
        <v>18.828828828828833</v>
      </c>
      <c r="E67" s="9">
        <f t="shared" si="2"/>
        <v>146.30000000000001</v>
      </c>
      <c r="F67" s="9">
        <f t="shared" si="3"/>
        <v>141.21367137266594</v>
      </c>
      <c r="G67" s="20">
        <f t="shared" si="4"/>
        <v>3.4766429441791313E-2</v>
      </c>
    </row>
    <row r="68" spans="2:7" x14ac:dyDescent="0.3">
      <c r="B68" s="18" t="s">
        <v>16</v>
      </c>
      <c r="C68" s="18">
        <f>$C31</f>
        <v>694.8</v>
      </c>
      <c r="D68" s="18">
        <f t="shared" si="1"/>
        <v>148.77944325481798</v>
      </c>
      <c r="E68" s="18">
        <f t="shared" si="2"/>
        <v>694.8</v>
      </c>
      <c r="F68" s="18">
        <f t="shared" si="3"/>
        <v>712.70413485137112</v>
      </c>
      <c r="G68" s="20">
        <f t="shared" si="4"/>
        <v>-2.5768760580557239E-2</v>
      </c>
    </row>
    <row r="70" spans="2:7" x14ac:dyDescent="0.3">
      <c r="B70" t="s">
        <v>19</v>
      </c>
      <c r="C70" t="s">
        <v>20</v>
      </c>
      <c r="D70" t="s">
        <v>21</v>
      </c>
    </row>
    <row r="71" spans="2:7" x14ac:dyDescent="0.3">
      <c r="B71" cm="1">
        <f t="array" ref="B71:D71">LINEST(E39:E68,C39:D68)</f>
        <v>4.3977511457184102</v>
      </c>
      <c r="C71">
        <v>8.4066159784323691E-2</v>
      </c>
      <c r="D71">
        <v>4.8073296944068034</v>
      </c>
    </row>
    <row r="72" spans="2:7" x14ac:dyDescent="0.3">
      <c r="B72" s="35">
        <v>4.3977511457184102</v>
      </c>
      <c r="C72" s="66">
        <v>8.4066159784323691E-2</v>
      </c>
      <c r="D72" s="35">
        <v>4.8073296944068034</v>
      </c>
    </row>
    <row r="74" spans="2:7" x14ac:dyDescent="0.3">
      <c r="B74" s="2" t="s">
        <v>416</v>
      </c>
      <c r="C74" s="57">
        <v>0.2</v>
      </c>
    </row>
    <row r="75" spans="2:7" x14ac:dyDescent="0.3">
      <c r="B75" s="2" t="s">
        <v>415</v>
      </c>
      <c r="C75" s="57">
        <v>1</v>
      </c>
    </row>
    <row r="77" spans="2:7" x14ac:dyDescent="0.3">
      <c r="B77" t="s">
        <v>417</v>
      </c>
    </row>
    <row r="79" spans="2:7" x14ac:dyDescent="0.3">
      <c r="B79" s="2" t="s">
        <v>396</v>
      </c>
      <c r="C79" s="2" t="s">
        <v>402</v>
      </c>
      <c r="D79" s="2"/>
      <c r="F79" s="2" t="s">
        <v>397</v>
      </c>
      <c r="G79" s="2" t="s">
        <v>403</v>
      </c>
    </row>
    <row r="80" spans="2:7" x14ac:dyDescent="0.3">
      <c r="B80">
        <f>C74</f>
        <v>0.2</v>
      </c>
      <c r="C80" s="35">
        <f>B72*C74+C72</f>
        <v>0.96361638892800583</v>
      </c>
      <c r="D80" s="67"/>
      <c r="F80">
        <f>C75</f>
        <v>1</v>
      </c>
      <c r="G80" s="35">
        <f>B72*C75+C72</f>
        <v>4.4818173055027337</v>
      </c>
    </row>
  </sheetData>
  <hyperlinks>
    <hyperlink ref="C34" r:id="rId1" xr:uid="{3C036A51-C615-4057-BB10-072AF9E173CB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31FA-3803-498C-8E0E-56E345DEE875}">
  <sheetPr>
    <tabColor theme="9" tint="0.59999389629810485"/>
  </sheetPr>
  <dimension ref="B1:D44"/>
  <sheetViews>
    <sheetView topLeftCell="A19" workbookViewId="0">
      <selection activeCell="P26" sqref="P26"/>
    </sheetView>
  </sheetViews>
  <sheetFormatPr defaultRowHeight="14.4" x14ac:dyDescent="0.3"/>
  <cols>
    <col min="2" max="2" width="14" customWidth="1"/>
    <col min="3" max="3" width="11.6640625" customWidth="1"/>
    <col min="4" max="4" width="16.21875" customWidth="1"/>
  </cols>
  <sheetData>
    <row r="1" spans="2:4" x14ac:dyDescent="0.3">
      <c r="B1" s="10" t="s">
        <v>324</v>
      </c>
    </row>
    <row r="2" spans="2:4" x14ac:dyDescent="0.3">
      <c r="B2" s="3" t="s">
        <v>325</v>
      </c>
      <c r="C2" s="2" t="s">
        <v>323</v>
      </c>
      <c r="D2" s="3" t="s">
        <v>31</v>
      </c>
    </row>
    <row r="3" spans="2:4" x14ac:dyDescent="0.3">
      <c r="B3">
        <v>52.7</v>
      </c>
      <c r="C3">
        <v>5.04</v>
      </c>
      <c r="D3" s="9">
        <f>$B3/$C3</f>
        <v>10.456349206349207</v>
      </c>
    </row>
    <row r="4" spans="2:4" x14ac:dyDescent="0.3">
      <c r="B4">
        <v>38.799999999999997</v>
      </c>
      <c r="C4">
        <v>6.31</v>
      </c>
      <c r="D4" s="9">
        <f t="shared" ref="D4:D6" si="0">$B4/$C4</f>
        <v>6.1489698890649764</v>
      </c>
    </row>
    <row r="5" spans="2:4" x14ac:dyDescent="0.3">
      <c r="B5">
        <v>25</v>
      </c>
      <c r="C5">
        <v>7.84</v>
      </c>
      <c r="D5" s="9">
        <f t="shared" si="0"/>
        <v>3.1887755102040818</v>
      </c>
    </row>
    <row r="6" spans="2:4" x14ac:dyDescent="0.3">
      <c r="B6">
        <v>11.1</v>
      </c>
      <c r="C6">
        <v>8.9600000000000009</v>
      </c>
      <c r="D6" s="9">
        <f t="shared" si="0"/>
        <v>1.2388392857142856</v>
      </c>
    </row>
    <row r="20" spans="2:4" x14ac:dyDescent="0.3">
      <c r="B20" s="10" t="s">
        <v>326</v>
      </c>
    </row>
    <row r="21" spans="2:4" x14ac:dyDescent="0.3">
      <c r="B21" s="3" t="s">
        <v>325</v>
      </c>
      <c r="C21" s="2" t="s">
        <v>323</v>
      </c>
      <c r="D21" s="3" t="s">
        <v>31</v>
      </c>
    </row>
    <row r="22" spans="2:4" x14ac:dyDescent="0.3">
      <c r="B22">
        <v>217.2</v>
      </c>
      <c r="C22">
        <v>4.87</v>
      </c>
      <c r="D22" s="9">
        <f>$B22/$C22</f>
        <v>44.599589322381924</v>
      </c>
    </row>
    <row r="23" spans="2:4" x14ac:dyDescent="0.3">
      <c r="B23">
        <v>160</v>
      </c>
      <c r="C23">
        <v>5.91</v>
      </c>
      <c r="D23" s="9">
        <f t="shared" ref="D23:D25" si="1">$B23/$C23</f>
        <v>27.072758037225043</v>
      </c>
    </row>
    <row r="24" spans="2:4" x14ac:dyDescent="0.3">
      <c r="B24">
        <v>102.9</v>
      </c>
      <c r="C24">
        <v>6.9</v>
      </c>
      <c r="D24" s="9">
        <f t="shared" si="1"/>
        <v>14.913043478260869</v>
      </c>
    </row>
    <row r="25" spans="2:4" x14ac:dyDescent="0.3">
      <c r="B25">
        <v>45.7</v>
      </c>
      <c r="C25">
        <v>7.62</v>
      </c>
      <c r="D25" s="9">
        <f t="shared" si="1"/>
        <v>5.9973753280839901</v>
      </c>
    </row>
    <row r="39" spans="2:4" x14ac:dyDescent="0.3">
      <c r="B39" s="10" t="s">
        <v>327</v>
      </c>
    </row>
    <row r="40" spans="2:4" x14ac:dyDescent="0.3">
      <c r="B40" s="3" t="s">
        <v>325</v>
      </c>
      <c r="C40" s="2" t="s">
        <v>323</v>
      </c>
      <c r="D40" s="3" t="s">
        <v>31</v>
      </c>
    </row>
    <row r="41" spans="2:4" x14ac:dyDescent="0.3">
      <c r="B41">
        <v>694.8</v>
      </c>
      <c r="C41">
        <v>4.67</v>
      </c>
      <c r="D41" s="9">
        <f>$B41/$C41</f>
        <v>148.77944325481798</v>
      </c>
    </row>
    <row r="42" spans="2:4" x14ac:dyDescent="0.3">
      <c r="B42">
        <v>512.20000000000005</v>
      </c>
      <c r="C42">
        <v>6.07</v>
      </c>
      <c r="D42" s="9">
        <f t="shared" ref="D42:D44" si="2">$B42/$C42</f>
        <v>84.382207578253713</v>
      </c>
    </row>
    <row r="43" spans="2:4" x14ac:dyDescent="0.3">
      <c r="B43">
        <v>329.2</v>
      </c>
      <c r="C43">
        <v>7.43</v>
      </c>
      <c r="D43" s="9">
        <f t="shared" si="2"/>
        <v>44.306864064602962</v>
      </c>
    </row>
    <row r="44" spans="2:4" x14ac:dyDescent="0.3">
      <c r="B44">
        <v>146.30000000000001</v>
      </c>
      <c r="C44">
        <v>7.77</v>
      </c>
      <c r="D44" s="9">
        <f t="shared" si="2"/>
        <v>18.828828828828833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D040-34CF-4B8A-84B6-DE0BA75BBBD8}">
  <sheetPr>
    <tabColor rgb="FF00B050"/>
  </sheetPr>
  <dimension ref="A1:K68"/>
  <sheetViews>
    <sheetView zoomScaleNormal="100" workbookViewId="0">
      <selection activeCell="D24" sqref="D24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11" x14ac:dyDescent="0.3">
      <c r="B1" s="10" t="s">
        <v>328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11" x14ac:dyDescent="0.3">
      <c r="B2" s="45" t="s">
        <v>251</v>
      </c>
      <c r="C2" s="9">
        <v>178.3</v>
      </c>
      <c r="D2" s="9">
        <v>8</v>
      </c>
      <c r="E2" s="6" t="s">
        <v>184</v>
      </c>
      <c r="F2" s="9">
        <f t="shared" ref="F2:F25" si="0">$C2/$D2</f>
        <v>22.287500000000001</v>
      </c>
      <c r="G2" s="9" t="s">
        <v>15</v>
      </c>
    </row>
    <row r="3" spans="2:11" x14ac:dyDescent="0.3">
      <c r="B3" s="46" t="s">
        <v>252</v>
      </c>
      <c r="C3" s="18">
        <v>849</v>
      </c>
      <c r="D3" s="18">
        <v>5.76</v>
      </c>
      <c r="E3" s="23" t="s">
        <v>184</v>
      </c>
      <c r="F3" s="18">
        <f t="shared" si="0"/>
        <v>147.39583333333334</v>
      </c>
      <c r="G3" s="18" t="s">
        <v>16</v>
      </c>
    </row>
    <row r="4" spans="2:11" x14ac:dyDescent="0.3">
      <c r="B4" s="45" t="s">
        <v>251</v>
      </c>
      <c r="C4" s="9">
        <v>196.6</v>
      </c>
      <c r="D4" s="9">
        <v>8</v>
      </c>
      <c r="E4" s="6" t="s">
        <v>184</v>
      </c>
      <c r="F4" s="9">
        <f t="shared" si="0"/>
        <v>24.574999999999999</v>
      </c>
      <c r="G4" s="9" t="s">
        <v>15</v>
      </c>
    </row>
    <row r="5" spans="2:11" x14ac:dyDescent="0.3">
      <c r="B5" s="46" t="s">
        <v>252</v>
      </c>
      <c r="C5" s="18">
        <v>936.1</v>
      </c>
      <c r="D5" s="18">
        <v>5.66</v>
      </c>
      <c r="E5" s="23" t="s">
        <v>184</v>
      </c>
      <c r="F5" s="18">
        <f t="shared" si="0"/>
        <v>165.38869257950529</v>
      </c>
      <c r="G5" s="18" t="s">
        <v>16</v>
      </c>
    </row>
    <row r="6" spans="2:11" x14ac:dyDescent="0.3">
      <c r="B6" s="45" t="s">
        <v>251</v>
      </c>
      <c r="C6" s="9">
        <v>225.9</v>
      </c>
      <c r="D6" s="9">
        <v>8.08</v>
      </c>
      <c r="E6" s="6" t="s">
        <v>184</v>
      </c>
      <c r="F6" s="9">
        <f t="shared" si="0"/>
        <v>27.957920792079207</v>
      </c>
      <c r="G6" s="9" t="s">
        <v>15</v>
      </c>
      <c r="H6" s="2" t="s">
        <v>396</v>
      </c>
      <c r="I6" s="2" t="s">
        <v>402</v>
      </c>
      <c r="J6" s="2" t="s">
        <v>397</v>
      </c>
      <c r="K6" s="2" t="s">
        <v>403</v>
      </c>
    </row>
    <row r="7" spans="2:11" x14ac:dyDescent="0.3">
      <c r="B7" s="46" t="s">
        <v>252</v>
      </c>
      <c r="C7" s="18">
        <v>1075.9000000000001</v>
      </c>
      <c r="D7" s="18">
        <v>5.52</v>
      </c>
      <c r="E7" s="23" t="s">
        <v>184</v>
      </c>
      <c r="F7" s="18">
        <f t="shared" si="0"/>
        <v>194.90942028985509</v>
      </c>
      <c r="G7" s="18" t="s">
        <v>16</v>
      </c>
      <c r="H7" s="18">
        <f>I7/D6</f>
        <v>25.985612781930666</v>
      </c>
      <c r="I7" s="26">
        <f>K7*C6/C7</f>
        <v>209.96375127799979</v>
      </c>
      <c r="J7" s="26">
        <f>K7/D7</f>
        <v>181.15942028985509</v>
      </c>
      <c r="K7" s="26">
        <v>1000</v>
      </c>
    </row>
    <row r="8" spans="2:11" x14ac:dyDescent="0.3">
      <c r="B8" s="45" t="s">
        <v>251</v>
      </c>
      <c r="C8" s="9">
        <v>242.7</v>
      </c>
      <c r="D8" s="9">
        <v>8.1</v>
      </c>
      <c r="E8" s="6" t="s">
        <v>184</v>
      </c>
      <c r="F8" s="9">
        <f t="shared" si="0"/>
        <v>29.962962962962962</v>
      </c>
      <c r="G8" s="9" t="s">
        <v>15</v>
      </c>
    </row>
    <row r="9" spans="2:11" x14ac:dyDescent="0.3">
      <c r="B9" s="46" t="s">
        <v>252</v>
      </c>
      <c r="C9" s="18">
        <v>1155.7</v>
      </c>
      <c r="D9" s="18">
        <v>5.44</v>
      </c>
      <c r="E9" s="23" t="s">
        <v>184</v>
      </c>
      <c r="F9" s="18">
        <f t="shared" si="0"/>
        <v>212.44485294117646</v>
      </c>
      <c r="G9" s="18" t="s">
        <v>16</v>
      </c>
    </row>
    <row r="10" spans="2:11" x14ac:dyDescent="0.3">
      <c r="B10" s="45" t="s">
        <v>251</v>
      </c>
      <c r="C10" s="9">
        <v>272</v>
      </c>
      <c r="D10" s="9">
        <v>7.55</v>
      </c>
      <c r="E10" s="6" t="s">
        <v>184</v>
      </c>
      <c r="F10" s="9">
        <f t="shared" si="0"/>
        <v>36.026490066225165</v>
      </c>
      <c r="G10" s="9" t="s">
        <v>15</v>
      </c>
    </row>
    <row r="11" spans="2:11" x14ac:dyDescent="0.3">
      <c r="B11" s="46" t="s">
        <v>252</v>
      </c>
      <c r="C11" s="18">
        <v>1295.2</v>
      </c>
      <c r="D11" s="18">
        <v>5.38</v>
      </c>
      <c r="E11" s="23" t="s">
        <v>184</v>
      </c>
      <c r="F11" s="18">
        <f t="shared" si="0"/>
        <v>240.74349442379184</v>
      </c>
      <c r="G11" s="18" t="s">
        <v>16</v>
      </c>
    </row>
    <row r="12" spans="2:11" x14ac:dyDescent="0.3">
      <c r="B12" s="45" t="s">
        <v>251</v>
      </c>
      <c r="C12" s="9">
        <v>289.8</v>
      </c>
      <c r="D12" s="9">
        <v>7.62</v>
      </c>
      <c r="E12" s="6" t="s">
        <v>184</v>
      </c>
      <c r="F12" s="9">
        <f t="shared" si="0"/>
        <v>38.031496062992126</v>
      </c>
      <c r="G12" s="9" t="s">
        <v>15</v>
      </c>
    </row>
    <row r="13" spans="2:11" x14ac:dyDescent="0.3">
      <c r="B13" s="46" t="s">
        <v>252</v>
      </c>
      <c r="C13" s="18">
        <v>1379.8</v>
      </c>
      <c r="D13" s="18">
        <v>5.36</v>
      </c>
      <c r="E13" s="23" t="s">
        <v>184</v>
      </c>
      <c r="F13" s="18">
        <f t="shared" si="0"/>
        <v>257.42537313432831</v>
      </c>
      <c r="G13" s="18" t="s">
        <v>16</v>
      </c>
    </row>
    <row r="14" spans="2:11" x14ac:dyDescent="0.3">
      <c r="B14" s="45" t="s">
        <v>251</v>
      </c>
      <c r="C14" s="9">
        <v>330</v>
      </c>
      <c r="D14" s="9">
        <v>7.87</v>
      </c>
      <c r="E14" s="6" t="s">
        <v>184</v>
      </c>
      <c r="F14" s="9">
        <f t="shared" si="0"/>
        <v>41.931385006353239</v>
      </c>
      <c r="G14" s="9" t="s">
        <v>15</v>
      </c>
    </row>
    <row r="15" spans="2:11" x14ac:dyDescent="0.3">
      <c r="B15" s="46" t="s">
        <v>252</v>
      </c>
      <c r="C15" s="18">
        <v>1571.2</v>
      </c>
      <c r="D15" s="18">
        <v>6.14</v>
      </c>
      <c r="E15" s="23" t="s">
        <v>184</v>
      </c>
      <c r="F15" s="18">
        <f t="shared" si="0"/>
        <v>255.89576547231272</v>
      </c>
      <c r="G15" s="18" t="s">
        <v>16</v>
      </c>
    </row>
    <row r="16" spans="2:11" x14ac:dyDescent="0.3">
      <c r="B16" s="45" t="s">
        <v>251</v>
      </c>
      <c r="C16" s="9">
        <v>351.7</v>
      </c>
      <c r="D16" s="9">
        <v>7.96</v>
      </c>
      <c r="E16" s="6" t="s">
        <v>184</v>
      </c>
      <c r="F16" s="9">
        <f t="shared" si="0"/>
        <v>44.183417085427138</v>
      </c>
      <c r="G16" s="9" t="s">
        <v>15</v>
      </c>
    </row>
    <row r="17" spans="1:8" x14ac:dyDescent="0.3">
      <c r="B17" s="46" t="s">
        <v>252</v>
      </c>
      <c r="C17" s="18">
        <v>1674.9</v>
      </c>
      <c r="D17" s="18">
        <v>5.96</v>
      </c>
      <c r="E17" s="23" t="s">
        <v>184</v>
      </c>
      <c r="F17" s="18">
        <f t="shared" si="0"/>
        <v>281.02348993288592</v>
      </c>
      <c r="G17" s="18" t="s">
        <v>16</v>
      </c>
    </row>
    <row r="18" spans="1:8" x14ac:dyDescent="0.3">
      <c r="B18" s="45" t="s">
        <v>251</v>
      </c>
      <c r="C18" s="9">
        <v>392.1</v>
      </c>
      <c r="D18" s="9">
        <v>8.01</v>
      </c>
      <c r="E18" s="6" t="s">
        <v>184</v>
      </c>
      <c r="F18" s="9">
        <f t="shared" si="0"/>
        <v>48.951310861423224</v>
      </c>
      <c r="G18" s="9" t="s">
        <v>15</v>
      </c>
    </row>
    <row r="19" spans="1:8" x14ac:dyDescent="0.3">
      <c r="B19" s="46" t="s">
        <v>252</v>
      </c>
      <c r="C19" s="18">
        <v>1867.4</v>
      </c>
      <c r="D19" s="18">
        <v>6.1</v>
      </c>
      <c r="E19" s="23" t="s">
        <v>184</v>
      </c>
      <c r="F19" s="18">
        <f t="shared" si="0"/>
        <v>306.13114754098365</v>
      </c>
      <c r="G19" s="18" t="s">
        <v>16</v>
      </c>
    </row>
    <row r="20" spans="1:8" x14ac:dyDescent="0.3">
      <c r="B20" s="45" t="s">
        <v>251</v>
      </c>
      <c r="C20" s="9">
        <v>408.6</v>
      </c>
      <c r="D20" s="9">
        <v>7.66</v>
      </c>
      <c r="E20" s="6" t="s">
        <v>184</v>
      </c>
      <c r="F20" s="9">
        <f t="shared" si="0"/>
        <v>53.342036553524807</v>
      </c>
      <c r="G20" s="9" t="s">
        <v>15</v>
      </c>
    </row>
    <row r="21" spans="1:8" x14ac:dyDescent="0.3">
      <c r="B21" s="46" t="s">
        <v>252</v>
      </c>
      <c r="C21" s="18">
        <v>1945.9</v>
      </c>
      <c r="D21" s="18">
        <v>5.92</v>
      </c>
      <c r="E21" s="23" t="s">
        <v>184</v>
      </c>
      <c r="F21" s="18">
        <f t="shared" si="0"/>
        <v>328.69932432432432</v>
      </c>
      <c r="G21" s="18" t="s">
        <v>16</v>
      </c>
    </row>
    <row r="22" spans="1:8" x14ac:dyDescent="0.3">
      <c r="B22" s="45" t="s">
        <v>251</v>
      </c>
      <c r="C22" s="9">
        <v>430.5</v>
      </c>
      <c r="D22" s="9">
        <v>7.72</v>
      </c>
      <c r="E22" s="6" t="s">
        <v>184</v>
      </c>
      <c r="F22" s="9">
        <f t="shared" si="0"/>
        <v>55.764248704663217</v>
      </c>
      <c r="G22" s="9" t="s">
        <v>15</v>
      </c>
    </row>
    <row r="23" spans="1:8" x14ac:dyDescent="0.3">
      <c r="B23" s="46" t="s">
        <v>252</v>
      </c>
      <c r="C23" s="18">
        <v>2049.9</v>
      </c>
      <c r="D23" s="18">
        <v>5.72</v>
      </c>
      <c r="E23" s="23" t="s">
        <v>184</v>
      </c>
      <c r="F23" s="18">
        <f t="shared" si="0"/>
        <v>358.37412587412592</v>
      </c>
      <c r="G23" s="18" t="s">
        <v>16</v>
      </c>
    </row>
    <row r="24" spans="1:8" x14ac:dyDescent="0.3">
      <c r="B24" s="45" t="s">
        <v>251</v>
      </c>
      <c r="C24" s="9">
        <v>452.6</v>
      </c>
      <c r="D24" s="9">
        <v>7.49</v>
      </c>
      <c r="E24" s="6" t="s">
        <v>184</v>
      </c>
      <c r="F24" s="9">
        <f t="shared" si="0"/>
        <v>60.42723631508678</v>
      </c>
      <c r="G24" s="9" t="s">
        <v>15</v>
      </c>
    </row>
    <row r="25" spans="1:8" x14ac:dyDescent="0.3">
      <c r="B25" s="46" t="s">
        <v>252</v>
      </c>
      <c r="C25" s="18">
        <v>2155.1999999999998</v>
      </c>
      <c r="D25" s="18">
        <v>5.57</v>
      </c>
      <c r="E25" s="23" t="s">
        <v>184</v>
      </c>
      <c r="F25" s="18">
        <f t="shared" si="0"/>
        <v>386.92998204667856</v>
      </c>
      <c r="G25" s="18" t="s">
        <v>16</v>
      </c>
    </row>
    <row r="27" spans="1:8" x14ac:dyDescent="0.3">
      <c r="B27" t="s">
        <v>1</v>
      </c>
      <c r="C27" t="s">
        <v>4</v>
      </c>
    </row>
    <row r="28" spans="1:8" x14ac:dyDescent="0.3">
      <c r="A28" t="s">
        <v>184</v>
      </c>
      <c r="B28" t="s">
        <v>183</v>
      </c>
      <c r="C28" s="4" t="s">
        <v>182</v>
      </c>
      <c r="D28" s="4"/>
      <c r="E28" s="4"/>
      <c r="H28" t="s">
        <v>332</v>
      </c>
    </row>
    <row r="29" spans="1:8" x14ac:dyDescent="0.3">
      <c r="C29" s="4"/>
      <c r="D29" s="4"/>
      <c r="E29" s="4"/>
    </row>
    <row r="30" spans="1:8" x14ac:dyDescent="0.3">
      <c r="C30" s="4"/>
      <c r="D30" s="4"/>
    </row>
    <row r="31" spans="1:8" x14ac:dyDescent="0.3">
      <c r="E31" s="10" t="s">
        <v>18</v>
      </c>
      <c r="F31" s="10" t="s">
        <v>18</v>
      </c>
      <c r="G31" s="10" t="s">
        <v>18</v>
      </c>
    </row>
    <row r="32" spans="1:8" x14ac:dyDescent="0.3">
      <c r="B32" s="2" t="s">
        <v>13</v>
      </c>
      <c r="C32" s="2" t="s">
        <v>12</v>
      </c>
      <c r="D32" s="2" t="s">
        <v>25</v>
      </c>
      <c r="E32" s="2" t="s">
        <v>17</v>
      </c>
      <c r="F32" s="2" t="s">
        <v>22</v>
      </c>
      <c r="G32" s="2" t="s">
        <v>23</v>
      </c>
    </row>
    <row r="33" spans="2:7" x14ac:dyDescent="0.3">
      <c r="B33" s="9" t="s">
        <v>15</v>
      </c>
      <c r="C33" s="9">
        <f>$C3</f>
        <v>849</v>
      </c>
      <c r="D33" s="9">
        <f t="shared" ref="D33:D56" si="1">$F2</f>
        <v>22.287500000000001</v>
      </c>
      <c r="E33" s="9">
        <f t="shared" ref="E33:E56" si="2">$D33*$D2</f>
        <v>178.3</v>
      </c>
      <c r="F33" s="9">
        <f t="shared" ref="F33:F56" si="3">$B$59*$D33+$C$59*$C33+$E$59</f>
        <v>193.49409523465675</v>
      </c>
      <c r="G33" s="20">
        <f t="shared" ref="G33:G56" si="4">($E33-$F33)/$E33</f>
        <v>-8.5216462336829737E-2</v>
      </c>
    </row>
    <row r="34" spans="2:7" x14ac:dyDescent="0.3">
      <c r="B34" s="18" t="s">
        <v>16</v>
      </c>
      <c r="C34" s="18">
        <f>$C3</f>
        <v>849</v>
      </c>
      <c r="D34" s="18">
        <f t="shared" si="1"/>
        <v>147.39583333333334</v>
      </c>
      <c r="E34" s="18">
        <f t="shared" si="2"/>
        <v>849</v>
      </c>
      <c r="F34" s="18">
        <f t="shared" si="3"/>
        <v>862.77121841407211</v>
      </c>
      <c r="G34" s="20">
        <f t="shared" si="4"/>
        <v>-1.6220516388777514E-2</v>
      </c>
    </row>
    <row r="35" spans="2:7" x14ac:dyDescent="0.3">
      <c r="B35" s="9" t="s">
        <v>15</v>
      </c>
      <c r="C35" s="9">
        <f>$C5</f>
        <v>936.1</v>
      </c>
      <c r="D35" s="9">
        <f t="shared" si="1"/>
        <v>24.574999999999999</v>
      </c>
      <c r="E35" s="9">
        <f t="shared" si="2"/>
        <v>196.6</v>
      </c>
      <c r="F35" s="9">
        <f t="shared" si="3"/>
        <v>213.35023513759063</v>
      </c>
      <c r="G35" s="20">
        <f t="shared" si="4"/>
        <v>-8.51995683499015E-2</v>
      </c>
    </row>
    <row r="36" spans="2:7" x14ac:dyDescent="0.3">
      <c r="B36" s="18" t="s">
        <v>16</v>
      </c>
      <c r="C36" s="18">
        <f>$C5</f>
        <v>936.1</v>
      </c>
      <c r="D36" s="18">
        <f t="shared" si="1"/>
        <v>165.38869257950529</v>
      </c>
      <c r="E36" s="18">
        <f t="shared" si="2"/>
        <v>936.09999999999991</v>
      </c>
      <c r="F36" s="18">
        <f t="shared" si="3"/>
        <v>966.64444474698439</v>
      </c>
      <c r="G36" s="20">
        <f t="shared" si="4"/>
        <v>-3.2629467735268119E-2</v>
      </c>
    </row>
    <row r="37" spans="2:7" x14ac:dyDescent="0.3">
      <c r="B37" s="9" t="s">
        <v>15</v>
      </c>
      <c r="C37" s="9">
        <f>$C7</f>
        <v>1075.9000000000001</v>
      </c>
      <c r="D37" s="9">
        <f t="shared" si="1"/>
        <v>27.957920792079207</v>
      </c>
      <c r="E37" s="9">
        <f t="shared" si="2"/>
        <v>225.9</v>
      </c>
      <c r="F37" s="9">
        <f t="shared" si="3"/>
        <v>243.6762899070369</v>
      </c>
      <c r="G37" s="20">
        <f t="shared" si="4"/>
        <v>-7.8690969043988035E-2</v>
      </c>
    </row>
    <row r="38" spans="2:7" x14ac:dyDescent="0.3">
      <c r="B38" s="18" t="s">
        <v>16</v>
      </c>
      <c r="C38" s="18">
        <f>$C7</f>
        <v>1075.9000000000001</v>
      </c>
      <c r="D38" s="18">
        <f t="shared" si="1"/>
        <v>194.90942028985509</v>
      </c>
      <c r="E38" s="18">
        <f t="shared" si="2"/>
        <v>1075.9000000000001</v>
      </c>
      <c r="F38" s="18">
        <f t="shared" si="3"/>
        <v>1136.7968064808947</v>
      </c>
      <c r="G38" s="20">
        <f t="shared" si="4"/>
        <v>-5.6600805354488901E-2</v>
      </c>
    </row>
    <row r="39" spans="2:7" x14ac:dyDescent="0.3">
      <c r="B39" s="9" t="s">
        <v>15</v>
      </c>
      <c r="C39" s="9">
        <f>$C9</f>
        <v>1155.7</v>
      </c>
      <c r="D39" s="9">
        <f t="shared" si="1"/>
        <v>29.962962962962962</v>
      </c>
      <c r="E39" s="9">
        <f t="shared" si="2"/>
        <v>242.7</v>
      </c>
      <c r="F39" s="9">
        <f t="shared" si="3"/>
        <v>261.38283961150557</v>
      </c>
      <c r="G39" s="20">
        <f t="shared" si="4"/>
        <v>-7.6979149614773743E-2</v>
      </c>
    </row>
    <row r="40" spans="2:7" x14ac:dyDescent="0.3">
      <c r="B40" s="18" t="s">
        <v>16</v>
      </c>
      <c r="C40" s="18">
        <f>$C9</f>
        <v>1155.7</v>
      </c>
      <c r="D40" s="18">
        <f t="shared" si="1"/>
        <v>212.44485294117646</v>
      </c>
      <c r="E40" s="18">
        <f t="shared" si="2"/>
        <v>1155.7</v>
      </c>
      <c r="F40" s="18">
        <f t="shared" si="3"/>
        <v>1237.5844330861848</v>
      </c>
      <c r="G40" s="20">
        <f t="shared" si="4"/>
        <v>-7.0852672048269269E-2</v>
      </c>
    </row>
    <row r="41" spans="2:7" x14ac:dyDescent="0.3">
      <c r="B41" s="9" t="s">
        <v>15</v>
      </c>
      <c r="C41" s="9">
        <f>$C11</f>
        <v>1295.2</v>
      </c>
      <c r="D41" s="9">
        <f t="shared" si="1"/>
        <v>36.026490066225165</v>
      </c>
      <c r="E41" s="9">
        <f t="shared" si="2"/>
        <v>272</v>
      </c>
      <c r="F41" s="9">
        <f t="shared" si="3"/>
        <v>306.02277195872608</v>
      </c>
      <c r="G41" s="20">
        <f t="shared" si="4"/>
        <v>-0.12508372043649296</v>
      </c>
    </row>
    <row r="42" spans="2:7" x14ac:dyDescent="0.3">
      <c r="B42" s="18" t="s">
        <v>16</v>
      </c>
      <c r="C42" s="18">
        <f>$C11</f>
        <v>1295.2</v>
      </c>
      <c r="D42" s="18">
        <f t="shared" si="1"/>
        <v>240.74349442379184</v>
      </c>
      <c r="E42" s="18">
        <f t="shared" si="2"/>
        <v>1295.2</v>
      </c>
      <c r="F42" s="18">
        <f t="shared" si="3"/>
        <v>1401.1729037831988</v>
      </c>
      <c r="G42" s="20">
        <f t="shared" si="4"/>
        <v>-8.1819721883260282E-2</v>
      </c>
    </row>
    <row r="43" spans="2:7" x14ac:dyDescent="0.3">
      <c r="B43" s="9" t="s">
        <v>15</v>
      </c>
      <c r="C43" s="9">
        <f>$C13</f>
        <v>1379.8</v>
      </c>
      <c r="D43" s="9">
        <f t="shared" si="1"/>
        <v>38.031496062992126</v>
      </c>
      <c r="E43" s="9">
        <f t="shared" si="2"/>
        <v>289.8</v>
      </c>
      <c r="F43" s="9">
        <f t="shared" si="3"/>
        <v>324.14900272369005</v>
      </c>
      <c r="G43" s="20">
        <f t="shared" si="4"/>
        <v>-0.11852657944682551</v>
      </c>
    </row>
    <row r="44" spans="2:7" x14ac:dyDescent="0.3">
      <c r="B44" s="18" t="s">
        <v>16</v>
      </c>
      <c r="C44" s="18">
        <f>$C13</f>
        <v>1379.8</v>
      </c>
      <c r="D44" s="18">
        <f t="shared" si="1"/>
        <v>257.42537313432831</v>
      </c>
      <c r="E44" s="18">
        <f t="shared" si="2"/>
        <v>1379.7999999999997</v>
      </c>
      <c r="F44" s="18">
        <f t="shared" si="3"/>
        <v>1497.8142492925213</v>
      </c>
      <c r="G44" s="20">
        <f t="shared" si="4"/>
        <v>-8.5529967598580628E-2</v>
      </c>
    </row>
    <row r="45" spans="2:7" x14ac:dyDescent="0.3">
      <c r="B45" s="9" t="s">
        <v>15</v>
      </c>
      <c r="C45" s="9">
        <f>$C15</f>
        <v>1571.2</v>
      </c>
      <c r="D45" s="9">
        <f t="shared" si="1"/>
        <v>41.931385006353239</v>
      </c>
      <c r="E45" s="9">
        <f t="shared" si="2"/>
        <v>330</v>
      </c>
      <c r="F45" s="9">
        <f t="shared" si="3"/>
        <v>361.75427202968967</v>
      </c>
      <c r="G45" s="20">
        <f t="shared" si="4"/>
        <v>-9.6225066756635377E-2</v>
      </c>
    </row>
    <row r="46" spans="2:7" x14ac:dyDescent="0.3">
      <c r="B46" s="18" t="s">
        <v>16</v>
      </c>
      <c r="C46" s="18">
        <f>$C15</f>
        <v>1571.2</v>
      </c>
      <c r="D46" s="18">
        <f t="shared" si="1"/>
        <v>255.89576547231272</v>
      </c>
      <c r="E46" s="18">
        <f t="shared" si="2"/>
        <v>1571.2</v>
      </c>
      <c r="F46" s="18">
        <f t="shared" si="3"/>
        <v>1506.3739884444497</v>
      </c>
      <c r="G46" s="20">
        <f t="shared" si="4"/>
        <v>4.1258917741567203E-2</v>
      </c>
    </row>
    <row r="47" spans="2:7" x14ac:dyDescent="0.3">
      <c r="B47" s="9" t="s">
        <v>15</v>
      </c>
      <c r="C47" s="9">
        <f>$C17</f>
        <v>1674.9</v>
      </c>
      <c r="D47" s="9">
        <f t="shared" si="1"/>
        <v>44.183417085427138</v>
      </c>
      <c r="E47" s="9">
        <f t="shared" si="2"/>
        <v>351.7</v>
      </c>
      <c r="F47" s="9">
        <f t="shared" si="3"/>
        <v>382.87273967294539</v>
      </c>
      <c r="G47" s="20">
        <f t="shared" si="4"/>
        <v>-8.8634460258587996E-2</v>
      </c>
    </row>
    <row r="48" spans="2:7" x14ac:dyDescent="0.3">
      <c r="B48" s="18" t="s">
        <v>16</v>
      </c>
      <c r="C48" s="18">
        <f>$C17</f>
        <v>1674.9</v>
      </c>
      <c r="D48" s="18">
        <f t="shared" si="1"/>
        <v>281.02348993288592</v>
      </c>
      <c r="E48" s="18">
        <f t="shared" si="2"/>
        <v>1674.9</v>
      </c>
      <c r="F48" s="18">
        <f t="shared" si="3"/>
        <v>1649.8678181432076</v>
      </c>
      <c r="G48" s="20">
        <f t="shared" si="4"/>
        <v>1.4945478450529867E-2</v>
      </c>
    </row>
    <row r="49" spans="2:7" x14ac:dyDescent="0.3">
      <c r="B49" s="9" t="s">
        <v>15</v>
      </c>
      <c r="C49" s="9">
        <f>$C19</f>
        <v>1867.4</v>
      </c>
      <c r="D49" s="9">
        <f t="shared" si="1"/>
        <v>48.951310861423224</v>
      </c>
      <c r="E49" s="9">
        <f t="shared" si="2"/>
        <v>392.1</v>
      </c>
      <c r="F49" s="9">
        <f t="shared" si="3"/>
        <v>425.21769212084092</v>
      </c>
      <c r="G49" s="20">
        <f t="shared" si="4"/>
        <v>-8.4462361950627132E-2</v>
      </c>
    </row>
    <row r="50" spans="2:7" x14ac:dyDescent="0.3">
      <c r="B50" s="18" t="s">
        <v>16</v>
      </c>
      <c r="C50" s="18">
        <f>$C19</f>
        <v>1867.4</v>
      </c>
      <c r="D50" s="18">
        <f t="shared" si="1"/>
        <v>306.13114754098365</v>
      </c>
      <c r="E50" s="18">
        <f t="shared" si="2"/>
        <v>1867.4</v>
      </c>
      <c r="F50" s="18">
        <f t="shared" si="3"/>
        <v>1801.0219782673653</v>
      </c>
      <c r="G50" s="20">
        <f t="shared" si="4"/>
        <v>3.5545690121363827E-2</v>
      </c>
    </row>
    <row r="51" spans="2:7" x14ac:dyDescent="0.3">
      <c r="B51" s="9" t="s">
        <v>15</v>
      </c>
      <c r="C51" s="9">
        <f>$C21</f>
        <v>1945.9</v>
      </c>
      <c r="D51" s="9">
        <f t="shared" si="1"/>
        <v>53.342036553524807</v>
      </c>
      <c r="E51" s="9">
        <f t="shared" si="2"/>
        <v>408.6</v>
      </c>
      <c r="F51" s="9">
        <f t="shared" si="3"/>
        <v>455.57293227297498</v>
      </c>
      <c r="G51" s="20">
        <f t="shared" si="4"/>
        <v>-0.11496067614531316</v>
      </c>
    </row>
    <row r="52" spans="2:7" x14ac:dyDescent="0.3">
      <c r="B52" s="18" t="s">
        <v>16</v>
      </c>
      <c r="C52" s="18">
        <f>$C21</f>
        <v>1945.9</v>
      </c>
      <c r="D52" s="18">
        <f t="shared" si="1"/>
        <v>328.69932432432432</v>
      </c>
      <c r="E52" s="18">
        <f t="shared" si="2"/>
        <v>1945.8999999999999</v>
      </c>
      <c r="F52" s="18">
        <f t="shared" si="3"/>
        <v>1928.6189596284173</v>
      </c>
      <c r="G52" s="20">
        <f t="shared" si="4"/>
        <v>8.8807443196374687E-3</v>
      </c>
    </row>
    <row r="53" spans="2:7" x14ac:dyDescent="0.3">
      <c r="B53" s="9" t="s">
        <v>15</v>
      </c>
      <c r="C53" s="9">
        <f>$C23</f>
        <v>2049.9</v>
      </c>
      <c r="D53" s="9">
        <f t="shared" si="1"/>
        <v>55.764248704663217</v>
      </c>
      <c r="E53" s="9">
        <f t="shared" si="2"/>
        <v>430.5</v>
      </c>
      <c r="F53" s="9">
        <f t="shared" si="3"/>
        <v>477.62803410329178</v>
      </c>
      <c r="G53" s="20">
        <f t="shared" si="4"/>
        <v>-0.10947278537350007</v>
      </c>
    </row>
    <row r="54" spans="2:7" x14ac:dyDescent="0.3">
      <c r="B54" s="18" t="s">
        <v>16</v>
      </c>
      <c r="C54" s="18">
        <f>$C23</f>
        <v>2049.9</v>
      </c>
      <c r="D54" s="18">
        <f t="shared" si="1"/>
        <v>358.37412587412592</v>
      </c>
      <c r="E54" s="18">
        <f t="shared" si="2"/>
        <v>2049.9</v>
      </c>
      <c r="F54" s="18">
        <f t="shared" si="3"/>
        <v>2096.4639872451362</v>
      </c>
      <c r="G54" s="20">
        <f t="shared" si="4"/>
        <v>-2.2715248180465438E-2</v>
      </c>
    </row>
    <row r="55" spans="2:7" x14ac:dyDescent="0.3">
      <c r="B55" s="9" t="s">
        <v>15</v>
      </c>
      <c r="C55" s="9">
        <f>$C25</f>
        <v>2155.1999999999998</v>
      </c>
      <c r="D55" s="9">
        <f t="shared" si="1"/>
        <v>60.42723631508678</v>
      </c>
      <c r="E55" s="9">
        <f t="shared" si="2"/>
        <v>452.6</v>
      </c>
      <c r="F55" s="9">
        <f t="shared" si="3"/>
        <v>511.78406107492845</v>
      </c>
      <c r="G55" s="20">
        <f t="shared" si="4"/>
        <v>-0.13076460688229877</v>
      </c>
    </row>
    <row r="56" spans="2:7" x14ac:dyDescent="0.3">
      <c r="B56" s="18" t="s">
        <v>16</v>
      </c>
      <c r="C56" s="18">
        <f>$C25</f>
        <v>2155.1999999999998</v>
      </c>
      <c r="D56" s="18">
        <f t="shared" si="1"/>
        <v>386.92998204667856</v>
      </c>
      <c r="E56" s="18">
        <f t="shared" si="2"/>
        <v>2155.1999999999998</v>
      </c>
      <c r="F56" s="18">
        <f t="shared" si="3"/>
        <v>2258.4368423185429</v>
      </c>
      <c r="G56" s="20">
        <f t="shared" si="4"/>
        <v>-4.7901281699398224E-2</v>
      </c>
    </row>
    <row r="58" spans="2:7" x14ac:dyDescent="0.3">
      <c r="B58" t="s">
        <v>19</v>
      </c>
      <c r="C58" t="s">
        <v>20</v>
      </c>
      <c r="D58" t="s">
        <v>21</v>
      </c>
    </row>
    <row r="59" spans="2:7" x14ac:dyDescent="0.3">
      <c r="B59" cm="1">
        <f t="array" ref="B59:D59">LINEST(E33:E56,C33:D56)</f>
        <v>5.3495806821774359</v>
      </c>
      <c r="C59">
        <v>8.7473870177417118E-2</v>
      </c>
      <c r="D59">
        <v>-32.228024820785208</v>
      </c>
    </row>
    <row r="60" spans="2:7" x14ac:dyDescent="0.3">
      <c r="B60" s="35">
        <v>5.3495806821774359</v>
      </c>
      <c r="C60" s="66">
        <v>8.7473870177417118E-2</v>
      </c>
      <c r="D60" s="8">
        <v>-32.228024820785208</v>
      </c>
    </row>
    <row r="62" spans="2:7" x14ac:dyDescent="0.3">
      <c r="B62" s="2" t="s">
        <v>416</v>
      </c>
      <c r="C62" s="57">
        <v>0.2</v>
      </c>
    </row>
    <row r="63" spans="2:7" x14ac:dyDescent="0.3">
      <c r="B63" s="2" t="s">
        <v>415</v>
      </c>
      <c r="C63" s="57">
        <v>1</v>
      </c>
    </row>
    <row r="65" spans="2:7" x14ac:dyDescent="0.3">
      <c r="B65" t="s">
        <v>417</v>
      </c>
    </row>
    <row r="67" spans="2:7" x14ac:dyDescent="0.3">
      <c r="B67" s="2" t="s">
        <v>396</v>
      </c>
      <c r="C67" s="2" t="s">
        <v>402</v>
      </c>
      <c r="D67" s="2"/>
      <c r="F67" s="2" t="s">
        <v>397</v>
      </c>
      <c r="G67" s="2" t="s">
        <v>403</v>
      </c>
    </row>
    <row r="68" spans="2:7" x14ac:dyDescent="0.3">
      <c r="B68">
        <f>C62</f>
        <v>0.2</v>
      </c>
      <c r="C68" s="35">
        <f>B60*C62+C60</f>
        <v>1.1573900066129044</v>
      </c>
      <c r="D68" s="67"/>
      <c r="F68">
        <f>C63</f>
        <v>1</v>
      </c>
      <c r="G68" s="35">
        <f>B60*C63+C60</f>
        <v>5.4370545523548532</v>
      </c>
    </row>
  </sheetData>
  <hyperlinks>
    <hyperlink ref="C28" r:id="rId1" xr:uid="{4BE99064-997E-4E37-BA98-E1F7450F4A7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9B48-72C5-4A97-80A4-4AF5C2FB0743}">
  <sheetPr>
    <tabColor theme="9" tint="0.59999389629810485"/>
  </sheetPr>
  <dimension ref="B1:D44"/>
  <sheetViews>
    <sheetView topLeftCell="A16" workbookViewId="0">
      <selection activeCell="D48" sqref="D48"/>
    </sheetView>
  </sheetViews>
  <sheetFormatPr defaultRowHeight="14.4" x14ac:dyDescent="0.3"/>
  <cols>
    <col min="2" max="2" width="14" customWidth="1"/>
    <col min="3" max="3" width="11.6640625" customWidth="1"/>
    <col min="4" max="4" width="16.21875" customWidth="1"/>
  </cols>
  <sheetData>
    <row r="1" spans="2:4" x14ac:dyDescent="0.3">
      <c r="B1" s="10" t="s">
        <v>329</v>
      </c>
    </row>
    <row r="2" spans="2:4" x14ac:dyDescent="0.3">
      <c r="B2" s="3" t="s">
        <v>325</v>
      </c>
      <c r="C2" s="2" t="s">
        <v>323</v>
      </c>
      <c r="D2" s="3" t="s">
        <v>31</v>
      </c>
    </row>
    <row r="3" spans="2:4" x14ac:dyDescent="0.3">
      <c r="B3">
        <v>849</v>
      </c>
      <c r="C3">
        <v>5.76</v>
      </c>
      <c r="D3" s="9">
        <f>$B3/$C3</f>
        <v>147.39583333333334</v>
      </c>
    </row>
    <row r="4" spans="2:4" x14ac:dyDescent="0.3">
      <c r="B4">
        <v>628.29999999999995</v>
      </c>
      <c r="C4">
        <v>6.77</v>
      </c>
      <c r="D4" s="9">
        <f t="shared" ref="D4:D6" si="0">$B4/$C4</f>
        <v>92.806499261447556</v>
      </c>
    </row>
    <row r="5" spans="2:4" x14ac:dyDescent="0.3">
      <c r="B5">
        <v>399.1</v>
      </c>
      <c r="C5">
        <v>7.86</v>
      </c>
      <c r="D5" s="9">
        <f t="shared" si="0"/>
        <v>50.776081424936386</v>
      </c>
    </row>
    <row r="6" spans="2:4" x14ac:dyDescent="0.3">
      <c r="B6">
        <v>178.3</v>
      </c>
      <c r="C6">
        <v>8</v>
      </c>
      <c r="D6" s="9">
        <f t="shared" si="0"/>
        <v>22.287500000000001</v>
      </c>
    </row>
    <row r="20" spans="2:4" x14ac:dyDescent="0.3">
      <c r="B20" s="10" t="s">
        <v>330</v>
      </c>
    </row>
    <row r="21" spans="2:4" x14ac:dyDescent="0.3">
      <c r="B21" s="3" t="s">
        <v>325</v>
      </c>
      <c r="C21" s="2" t="s">
        <v>323</v>
      </c>
      <c r="D21" s="3" t="s">
        <v>31</v>
      </c>
    </row>
    <row r="22" spans="2:4" x14ac:dyDescent="0.3">
      <c r="B22">
        <v>1571.2</v>
      </c>
      <c r="C22">
        <v>6.14</v>
      </c>
      <c r="D22" s="9">
        <f>$B22/$C22</f>
        <v>255.89576547231272</v>
      </c>
    </row>
    <row r="23" spans="2:4" x14ac:dyDescent="0.3">
      <c r="B23">
        <v>1162.7</v>
      </c>
      <c r="C23">
        <v>7.01</v>
      </c>
      <c r="D23" s="9">
        <f t="shared" ref="D23:D25" si="1">$B23/$C23</f>
        <v>165.86305278174038</v>
      </c>
    </row>
    <row r="24" spans="2:4" x14ac:dyDescent="0.3">
      <c r="B24">
        <v>738.5</v>
      </c>
      <c r="C24">
        <v>8.48</v>
      </c>
      <c r="D24" s="9">
        <f t="shared" si="1"/>
        <v>87.087264150943398</v>
      </c>
    </row>
    <row r="25" spans="2:4" x14ac:dyDescent="0.3">
      <c r="B25">
        <v>330</v>
      </c>
      <c r="C25">
        <v>7.87</v>
      </c>
      <c r="D25" s="9">
        <f t="shared" si="1"/>
        <v>41.931385006353239</v>
      </c>
    </row>
    <row r="39" spans="2:4" x14ac:dyDescent="0.3">
      <c r="B39" s="10" t="s">
        <v>331</v>
      </c>
    </row>
    <row r="40" spans="2:4" x14ac:dyDescent="0.3">
      <c r="B40" s="3" t="s">
        <v>325</v>
      </c>
      <c r="C40" s="2" t="s">
        <v>323</v>
      </c>
      <c r="D40" s="3" t="s">
        <v>31</v>
      </c>
    </row>
    <row r="41" spans="2:4" x14ac:dyDescent="0.3">
      <c r="B41">
        <v>2155.1999999999998</v>
      </c>
      <c r="C41">
        <v>5.57</v>
      </c>
      <c r="D41" s="9">
        <f>$B41/$C41</f>
        <v>386.92998204667856</v>
      </c>
    </row>
    <row r="42" spans="2:4" x14ac:dyDescent="0.3">
      <c r="B42">
        <v>1594.9</v>
      </c>
      <c r="C42">
        <v>6.42</v>
      </c>
      <c r="D42" s="9">
        <f t="shared" ref="D42:D44" si="2">$B42/$C42</f>
        <v>248.42679127725859</v>
      </c>
    </row>
    <row r="43" spans="2:4" x14ac:dyDescent="0.3">
      <c r="B43">
        <v>1013</v>
      </c>
      <c r="C43">
        <v>7.33</v>
      </c>
      <c r="D43" s="9">
        <f t="shared" si="2"/>
        <v>138.19918144611188</v>
      </c>
    </row>
    <row r="44" spans="2:4" x14ac:dyDescent="0.3">
      <c r="B44">
        <v>452.6</v>
      </c>
      <c r="C44">
        <v>7.49</v>
      </c>
      <c r="D44" s="9">
        <f t="shared" si="2"/>
        <v>60.42723631508678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76E3-7EB5-4FFC-AA0A-132D3DD422D6}">
  <sheetPr>
    <tabColor rgb="FF00B050"/>
  </sheetPr>
  <dimension ref="A1:H44"/>
  <sheetViews>
    <sheetView topLeftCell="A19" zoomScaleNormal="100" workbookViewId="0">
      <selection activeCell="B43" sqref="B43:G43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1:8" x14ac:dyDescent="0.3">
      <c r="B1" s="10" t="s">
        <v>334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1:8" x14ac:dyDescent="0.3">
      <c r="B2" s="45" t="s">
        <v>251</v>
      </c>
      <c r="C2" s="9">
        <v>8.6</v>
      </c>
      <c r="D2" s="9">
        <v>4.8099999999999996</v>
      </c>
      <c r="E2" s="15" t="s">
        <v>184</v>
      </c>
      <c r="F2" s="9">
        <f t="shared" ref="F2:F13" si="0">$C2/$D2</f>
        <v>1.787941787941788</v>
      </c>
      <c r="G2" s="9" t="s">
        <v>15</v>
      </c>
    </row>
    <row r="3" spans="1:8" x14ac:dyDescent="0.3">
      <c r="B3" s="46" t="s">
        <v>252</v>
      </c>
      <c r="C3" s="18">
        <v>40.700000000000003</v>
      </c>
      <c r="D3" s="18">
        <v>2.8</v>
      </c>
      <c r="E3" s="19" t="s">
        <v>184</v>
      </c>
      <c r="F3" s="18">
        <f t="shared" si="0"/>
        <v>14.535714285714288</v>
      </c>
      <c r="G3" s="18" t="s">
        <v>16</v>
      </c>
    </row>
    <row r="4" spans="1:8" x14ac:dyDescent="0.3">
      <c r="B4" s="45" t="s">
        <v>251</v>
      </c>
      <c r="C4" s="9">
        <v>10.1</v>
      </c>
      <c r="D4" s="9">
        <v>5.22</v>
      </c>
      <c r="E4" s="15" t="s">
        <v>184</v>
      </c>
      <c r="F4" s="9">
        <f t="shared" si="0"/>
        <v>1.9348659003831419</v>
      </c>
      <c r="G4" s="9" t="s">
        <v>15</v>
      </c>
    </row>
    <row r="5" spans="1:8" x14ac:dyDescent="0.3">
      <c r="B5" s="46" t="s">
        <v>252</v>
      </c>
      <c r="C5" s="18">
        <v>48.1</v>
      </c>
      <c r="D5" s="18">
        <v>2.79</v>
      </c>
      <c r="E5" s="19" t="s">
        <v>184</v>
      </c>
      <c r="F5" s="18">
        <f t="shared" si="0"/>
        <v>17.240143369175627</v>
      </c>
      <c r="G5" s="18" t="s">
        <v>16</v>
      </c>
    </row>
    <row r="6" spans="1:8" x14ac:dyDescent="0.3">
      <c r="B6" s="45" t="s">
        <v>251</v>
      </c>
      <c r="C6" s="9">
        <v>11.8</v>
      </c>
      <c r="D6" s="9">
        <v>4.8899999999999997</v>
      </c>
      <c r="E6" s="15" t="s">
        <v>184</v>
      </c>
      <c r="F6" s="9">
        <f t="shared" si="0"/>
        <v>2.4130879345603273</v>
      </c>
      <c r="G6" s="9" t="s">
        <v>15</v>
      </c>
    </row>
    <row r="7" spans="1:8" x14ac:dyDescent="0.3">
      <c r="B7" s="46" t="s">
        <v>252</v>
      </c>
      <c r="C7" s="18">
        <v>56.1</v>
      </c>
      <c r="D7" s="18">
        <v>3.12</v>
      </c>
      <c r="E7" s="19" t="s">
        <v>184</v>
      </c>
      <c r="F7" s="18">
        <f t="shared" si="0"/>
        <v>17.98076923076923</v>
      </c>
      <c r="G7" s="18" t="s">
        <v>16</v>
      </c>
    </row>
    <row r="8" spans="1:8" x14ac:dyDescent="0.3">
      <c r="B8" s="45" t="s">
        <v>251</v>
      </c>
      <c r="C8" s="9">
        <v>13.3</v>
      </c>
      <c r="D8" s="9">
        <v>5.05</v>
      </c>
      <c r="E8" s="15" t="s">
        <v>184</v>
      </c>
      <c r="F8" s="9">
        <f t="shared" si="0"/>
        <v>2.6336633663366338</v>
      </c>
      <c r="G8" s="9" t="s">
        <v>15</v>
      </c>
    </row>
    <row r="9" spans="1:8" x14ac:dyDescent="0.3">
      <c r="B9" s="46" t="s">
        <v>252</v>
      </c>
      <c r="C9" s="18">
        <v>63.3</v>
      </c>
      <c r="D9" s="18">
        <v>3.02</v>
      </c>
      <c r="E9" s="19" t="s">
        <v>184</v>
      </c>
      <c r="F9" s="18">
        <f t="shared" si="0"/>
        <v>20.960264900662249</v>
      </c>
      <c r="G9" s="18" t="s">
        <v>16</v>
      </c>
    </row>
    <row r="10" spans="1:8" x14ac:dyDescent="0.3">
      <c r="B10" s="45" t="s">
        <v>251</v>
      </c>
      <c r="C10" s="9">
        <v>15.6</v>
      </c>
      <c r="D10" s="9">
        <v>4.92</v>
      </c>
      <c r="E10" s="15" t="s">
        <v>184</v>
      </c>
      <c r="F10" s="9">
        <f t="shared" si="0"/>
        <v>3.1707317073170733</v>
      </c>
      <c r="G10" s="9" t="s">
        <v>15</v>
      </c>
    </row>
    <row r="11" spans="1:8" x14ac:dyDescent="0.3">
      <c r="B11" s="46" t="s">
        <v>252</v>
      </c>
      <c r="C11" s="18">
        <v>74.2</v>
      </c>
      <c r="D11" s="18">
        <v>3.05</v>
      </c>
      <c r="E11" s="19" t="s">
        <v>184</v>
      </c>
      <c r="F11" s="18">
        <f t="shared" si="0"/>
        <v>24.327868852459019</v>
      </c>
      <c r="G11" s="18" t="s">
        <v>16</v>
      </c>
    </row>
    <row r="12" spans="1:8" x14ac:dyDescent="0.3">
      <c r="B12" s="45" t="s">
        <v>251</v>
      </c>
      <c r="C12" s="9">
        <v>17.100000000000001</v>
      </c>
      <c r="D12" s="9">
        <v>4.68</v>
      </c>
      <c r="E12" s="15" t="s">
        <v>184</v>
      </c>
      <c r="F12" s="9">
        <f t="shared" si="0"/>
        <v>3.6538461538461542</v>
      </c>
      <c r="G12" s="9" t="s">
        <v>15</v>
      </c>
    </row>
    <row r="13" spans="1:8" x14ac:dyDescent="0.3">
      <c r="B13" s="46" t="s">
        <v>252</v>
      </c>
      <c r="C13" s="18">
        <v>81.3</v>
      </c>
      <c r="D13" s="18">
        <v>2.92</v>
      </c>
      <c r="E13" s="19" t="s">
        <v>184</v>
      </c>
      <c r="F13" s="18">
        <f t="shared" si="0"/>
        <v>27.842465753424658</v>
      </c>
      <c r="G13" s="18" t="s">
        <v>16</v>
      </c>
    </row>
    <row r="15" spans="1:8" x14ac:dyDescent="0.3">
      <c r="B15" t="s">
        <v>1</v>
      </c>
      <c r="C15" t="s">
        <v>4</v>
      </c>
    </row>
    <row r="16" spans="1:8" x14ac:dyDescent="0.3">
      <c r="A16" t="s">
        <v>184</v>
      </c>
      <c r="B16" t="s">
        <v>183</v>
      </c>
      <c r="C16" s="4" t="s">
        <v>182</v>
      </c>
      <c r="D16" s="4"/>
      <c r="E16" s="4"/>
      <c r="H16" t="s">
        <v>343</v>
      </c>
    </row>
    <row r="17" spans="2:7" x14ac:dyDescent="0.3">
      <c r="C17" s="4"/>
      <c r="D17" s="4"/>
      <c r="E17" s="4"/>
    </row>
    <row r="18" spans="2:7" x14ac:dyDescent="0.3">
      <c r="C18" s="4"/>
      <c r="D18" s="4"/>
    </row>
    <row r="19" spans="2:7" x14ac:dyDescent="0.3">
      <c r="E19" s="10" t="s">
        <v>18</v>
      </c>
      <c r="F19" s="10" t="s">
        <v>18</v>
      </c>
      <c r="G19" s="10" t="s">
        <v>18</v>
      </c>
    </row>
    <row r="20" spans="2:7" x14ac:dyDescent="0.3">
      <c r="B20" s="2" t="s">
        <v>13</v>
      </c>
      <c r="C20" s="2" t="s">
        <v>12</v>
      </c>
      <c r="D20" s="2" t="s">
        <v>25</v>
      </c>
      <c r="E20" s="2" t="s">
        <v>17</v>
      </c>
      <c r="F20" s="2" t="s">
        <v>22</v>
      </c>
      <c r="G20" s="2" t="s">
        <v>23</v>
      </c>
    </row>
    <row r="21" spans="2:7" x14ac:dyDescent="0.3">
      <c r="B21" s="9" t="s">
        <v>15</v>
      </c>
      <c r="C21" s="9">
        <f>$C3</f>
        <v>40.700000000000003</v>
      </c>
      <c r="D21" s="9">
        <f t="shared" ref="D21:D32" si="1">$F2</f>
        <v>1.787941787941788</v>
      </c>
      <c r="E21" s="9">
        <f t="shared" ref="E21:E32" si="2">$D21*$D2</f>
        <v>8.6</v>
      </c>
      <c r="F21" s="9">
        <f t="shared" ref="F21:F32" si="3">$B$35*$D21+$C$35*$C21+$E$35</f>
        <v>9.7063714883751047</v>
      </c>
      <c r="G21" s="20">
        <f t="shared" ref="G21:G32" si="4">($E21-$F21)/$E21</f>
        <v>-0.12864784748547733</v>
      </c>
    </row>
    <row r="22" spans="2:7" x14ac:dyDescent="0.3">
      <c r="B22" s="18" t="s">
        <v>16</v>
      </c>
      <c r="C22" s="18">
        <f>$C3</f>
        <v>40.700000000000003</v>
      </c>
      <c r="D22" s="18">
        <f t="shared" si="1"/>
        <v>14.535714285714288</v>
      </c>
      <c r="E22" s="18">
        <f t="shared" si="2"/>
        <v>40.700000000000003</v>
      </c>
      <c r="F22" s="18">
        <f t="shared" si="3"/>
        <v>43.875549551237285</v>
      </c>
      <c r="G22" s="20">
        <f t="shared" si="4"/>
        <v>-7.8023330497230509E-2</v>
      </c>
    </row>
    <row r="23" spans="2:7" x14ac:dyDescent="0.3">
      <c r="B23" s="9" t="s">
        <v>15</v>
      </c>
      <c r="C23" s="9">
        <f>$C5</f>
        <v>48.1</v>
      </c>
      <c r="D23" s="9">
        <f t="shared" si="1"/>
        <v>1.9348659003831419</v>
      </c>
      <c r="E23" s="9">
        <f t="shared" si="2"/>
        <v>10.1</v>
      </c>
      <c r="F23" s="9">
        <f t="shared" si="3"/>
        <v>10.993635712041392</v>
      </c>
      <c r="G23" s="20">
        <f t="shared" si="4"/>
        <v>-8.8478783370434924E-2</v>
      </c>
    </row>
    <row r="24" spans="2:7" x14ac:dyDescent="0.3">
      <c r="B24" s="18" t="s">
        <v>16</v>
      </c>
      <c r="C24" s="18">
        <f>$C5</f>
        <v>48.1</v>
      </c>
      <c r="D24" s="18">
        <f t="shared" si="1"/>
        <v>17.240143369175627</v>
      </c>
      <c r="E24" s="18">
        <f t="shared" si="2"/>
        <v>48.1</v>
      </c>
      <c r="F24" s="18">
        <f t="shared" si="3"/>
        <v>52.017959861540028</v>
      </c>
      <c r="G24" s="20">
        <f t="shared" si="4"/>
        <v>-8.1454466975884127E-2</v>
      </c>
    </row>
    <row r="25" spans="2:7" x14ac:dyDescent="0.3">
      <c r="B25" s="9" t="s">
        <v>15</v>
      </c>
      <c r="C25" s="9">
        <f>$C7</f>
        <v>56.1</v>
      </c>
      <c r="D25" s="9">
        <f t="shared" si="1"/>
        <v>2.4130879345603273</v>
      </c>
      <c r="E25" s="9">
        <f t="shared" si="2"/>
        <v>11.8</v>
      </c>
      <c r="F25" s="9">
        <f t="shared" si="3"/>
        <v>13.241353901505455</v>
      </c>
      <c r="G25" s="20">
        <f t="shared" si="4"/>
        <v>-0.12214863572080123</v>
      </c>
    </row>
    <row r="26" spans="2:7" x14ac:dyDescent="0.3">
      <c r="B26" s="18" t="s">
        <v>16</v>
      </c>
      <c r="C26" s="18">
        <f>$C7</f>
        <v>56.1</v>
      </c>
      <c r="D26" s="18">
        <f t="shared" si="1"/>
        <v>17.98076923076923</v>
      </c>
      <c r="E26" s="18">
        <f t="shared" si="2"/>
        <v>56.1</v>
      </c>
      <c r="F26" s="18">
        <f t="shared" si="3"/>
        <v>54.969026271639095</v>
      </c>
      <c r="G26" s="20">
        <f t="shared" si="4"/>
        <v>2.0159959507324538E-2</v>
      </c>
    </row>
    <row r="27" spans="2:7" x14ac:dyDescent="0.3">
      <c r="B27" s="9" t="s">
        <v>15</v>
      </c>
      <c r="C27" s="9">
        <f>$C9</f>
        <v>63.3</v>
      </c>
      <c r="D27" s="9">
        <f t="shared" si="1"/>
        <v>2.6336633663366338</v>
      </c>
      <c r="E27" s="9">
        <f t="shared" si="2"/>
        <v>13.3</v>
      </c>
      <c r="F27" s="9">
        <f t="shared" si="3"/>
        <v>14.70188615206283</v>
      </c>
      <c r="G27" s="20">
        <f t="shared" si="4"/>
        <v>-0.10540497383931045</v>
      </c>
    </row>
    <row r="28" spans="2:7" x14ac:dyDescent="0.3">
      <c r="B28" s="18" t="s">
        <v>16</v>
      </c>
      <c r="C28" s="18">
        <f>$C9</f>
        <v>63.3</v>
      </c>
      <c r="D28" s="18">
        <f t="shared" si="1"/>
        <v>20.960264900662249</v>
      </c>
      <c r="E28" s="18">
        <f t="shared" si="2"/>
        <v>63.29999999999999</v>
      </c>
      <c r="F28" s="18">
        <f t="shared" si="3"/>
        <v>63.824578859586119</v>
      </c>
      <c r="G28" s="20">
        <f t="shared" si="4"/>
        <v>-8.2871857754522674E-3</v>
      </c>
    </row>
    <row r="29" spans="2:7" x14ac:dyDescent="0.3">
      <c r="B29" s="9" t="s">
        <v>15</v>
      </c>
      <c r="C29" s="9">
        <f>$C11</f>
        <v>74.2</v>
      </c>
      <c r="D29" s="9">
        <f t="shared" si="1"/>
        <v>3.1707317073170733</v>
      </c>
      <c r="E29" s="9">
        <f t="shared" si="2"/>
        <v>15.6</v>
      </c>
      <c r="F29" s="9">
        <f t="shared" si="3"/>
        <v>17.457471340469187</v>
      </c>
      <c r="G29" s="20">
        <f t="shared" si="4"/>
        <v>-0.11906867567110176</v>
      </c>
    </row>
    <row r="30" spans="2:7" x14ac:dyDescent="0.3">
      <c r="B30" s="18" t="s">
        <v>16</v>
      </c>
      <c r="C30" s="18">
        <f>$C11</f>
        <v>74.2</v>
      </c>
      <c r="D30" s="18">
        <f t="shared" si="1"/>
        <v>24.327868852459019</v>
      </c>
      <c r="E30" s="18">
        <f t="shared" si="2"/>
        <v>74.2</v>
      </c>
      <c r="F30" s="18">
        <f t="shared" si="3"/>
        <v>74.167142503730972</v>
      </c>
      <c r="G30" s="20">
        <f t="shared" si="4"/>
        <v>4.4282339985217135E-4</v>
      </c>
    </row>
    <row r="31" spans="2:7" x14ac:dyDescent="0.3">
      <c r="B31" s="9" t="s">
        <v>15</v>
      </c>
      <c r="C31" s="9">
        <f>$C13</f>
        <v>81.3</v>
      </c>
      <c r="D31" s="9">
        <f t="shared" si="1"/>
        <v>3.6538461538461542</v>
      </c>
      <c r="E31" s="9">
        <f t="shared" si="2"/>
        <v>17.100000000000001</v>
      </c>
      <c r="F31" s="9">
        <f t="shared" si="3"/>
        <v>19.609640543018678</v>
      </c>
      <c r="G31" s="20">
        <f t="shared" si="4"/>
        <v>-0.14676260485489334</v>
      </c>
    </row>
    <row r="32" spans="2:7" x14ac:dyDescent="0.3">
      <c r="B32" s="18" t="s">
        <v>16</v>
      </c>
      <c r="C32" s="18">
        <f>$C13</f>
        <v>81.3</v>
      </c>
      <c r="D32" s="18">
        <f t="shared" si="1"/>
        <v>27.842465753424658</v>
      </c>
      <c r="E32" s="18">
        <f t="shared" si="2"/>
        <v>81.3</v>
      </c>
      <c r="F32" s="18">
        <f t="shared" si="3"/>
        <v>84.444908848697693</v>
      </c>
      <c r="G32" s="20">
        <f t="shared" si="4"/>
        <v>-3.8682765666638329E-2</v>
      </c>
    </row>
    <row r="34" spans="2:7" x14ac:dyDescent="0.3">
      <c r="B34" t="s">
        <v>19</v>
      </c>
      <c r="C34" t="s">
        <v>20</v>
      </c>
      <c r="D34" t="s">
        <v>21</v>
      </c>
    </row>
    <row r="35" spans="2:7" x14ac:dyDescent="0.3">
      <c r="B35" cm="1">
        <f t="array" ref="B35:D35">LINEST(E21:E32,C21:D32)</f>
        <v>2.6804038171243469</v>
      </c>
      <c r="C35">
        <v>0.12073625295282082</v>
      </c>
      <c r="D35">
        <v>-1.567460419491983</v>
      </c>
    </row>
    <row r="36" spans="2:7" x14ac:dyDescent="0.3">
      <c r="B36" s="35">
        <v>2.6804038171243469</v>
      </c>
      <c r="C36" s="67">
        <v>0.12073625295282082</v>
      </c>
      <c r="D36" s="35">
        <v>-1.567460419491983</v>
      </c>
    </row>
    <row r="38" spans="2:7" x14ac:dyDescent="0.3">
      <c r="B38" s="2" t="s">
        <v>416</v>
      </c>
      <c r="C38" s="57">
        <v>0.2</v>
      </c>
    </row>
    <row r="39" spans="2:7" x14ac:dyDescent="0.3">
      <c r="B39" s="2" t="s">
        <v>415</v>
      </c>
      <c r="C39" s="57">
        <v>1</v>
      </c>
    </row>
    <row r="41" spans="2:7" x14ac:dyDescent="0.3">
      <c r="B41" t="s">
        <v>417</v>
      </c>
    </row>
    <row r="43" spans="2:7" x14ac:dyDescent="0.3">
      <c r="B43" s="2" t="s">
        <v>396</v>
      </c>
      <c r="C43" s="2" t="s">
        <v>402</v>
      </c>
      <c r="D43" s="2"/>
      <c r="F43" s="2" t="s">
        <v>397</v>
      </c>
      <c r="G43" s="2" t="s">
        <v>403</v>
      </c>
    </row>
    <row r="44" spans="2:7" x14ac:dyDescent="0.3">
      <c r="B44">
        <f>C38</f>
        <v>0.2</v>
      </c>
      <c r="C44" s="35">
        <f>B36*C38+C36</f>
        <v>0.6568170163776903</v>
      </c>
      <c r="D44" s="67"/>
      <c r="F44">
        <f>C39</f>
        <v>1</v>
      </c>
      <c r="G44" s="35">
        <f>B36*C39+C36</f>
        <v>2.8011400700771678</v>
      </c>
    </row>
  </sheetData>
  <hyperlinks>
    <hyperlink ref="C16" r:id="rId1" xr:uid="{29E2F833-BF41-4DD6-89C4-D5A97833D74A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ED47-920F-471F-8876-EA48BF706057}">
  <sheetPr>
    <tabColor theme="9" tint="0.59999389629810485"/>
  </sheetPr>
  <dimension ref="B1:D62"/>
  <sheetViews>
    <sheetView workbookViewId="0">
      <selection activeCell="B25" sqref="B25"/>
    </sheetView>
  </sheetViews>
  <sheetFormatPr defaultRowHeight="14.4" x14ac:dyDescent="0.3"/>
  <cols>
    <col min="2" max="2" width="14" customWidth="1"/>
    <col min="3" max="3" width="11.6640625" customWidth="1"/>
    <col min="4" max="4" width="16.21875" customWidth="1"/>
  </cols>
  <sheetData>
    <row r="1" spans="2:4" x14ac:dyDescent="0.3">
      <c r="B1" s="10" t="s">
        <v>346</v>
      </c>
    </row>
    <row r="2" spans="2:4" x14ac:dyDescent="0.3">
      <c r="B2" s="3" t="s">
        <v>325</v>
      </c>
      <c r="C2" s="2" t="s">
        <v>323</v>
      </c>
      <c r="D2" s="3" t="s">
        <v>31</v>
      </c>
    </row>
    <row r="3" spans="2:4" x14ac:dyDescent="0.3">
      <c r="B3">
        <v>40.700000000000003</v>
      </c>
      <c r="C3" s="9">
        <v>2.8</v>
      </c>
      <c r="D3" s="9">
        <f>$B3/$C3</f>
        <v>14.535714285714288</v>
      </c>
    </row>
    <row r="4" spans="2:4" x14ac:dyDescent="0.3">
      <c r="B4">
        <v>30</v>
      </c>
      <c r="C4" s="9">
        <v>3.7</v>
      </c>
      <c r="D4" s="9">
        <f t="shared" ref="D4:D6" si="0">$B4/$C4</f>
        <v>8.108108108108107</v>
      </c>
    </row>
    <row r="5" spans="2:4" x14ac:dyDescent="0.3">
      <c r="B5">
        <v>19.3</v>
      </c>
      <c r="C5" s="9">
        <v>4.5999999999999996</v>
      </c>
      <c r="D5" s="9">
        <f t="shared" si="0"/>
        <v>4.1956521739130439</v>
      </c>
    </row>
    <row r="6" spans="2:4" x14ac:dyDescent="0.3">
      <c r="B6">
        <v>8.6</v>
      </c>
      <c r="C6" s="9">
        <v>4.8099999999999996</v>
      </c>
      <c r="D6" s="9">
        <f t="shared" si="0"/>
        <v>1.787941787941788</v>
      </c>
    </row>
    <row r="19" spans="2:4" x14ac:dyDescent="0.3">
      <c r="B19" s="10" t="s">
        <v>347</v>
      </c>
    </row>
    <row r="20" spans="2:4" x14ac:dyDescent="0.3">
      <c r="B20" s="3" t="s">
        <v>325</v>
      </c>
      <c r="C20" s="2" t="s">
        <v>323</v>
      </c>
      <c r="D20" s="3" t="s">
        <v>31</v>
      </c>
    </row>
    <row r="21" spans="2:4" x14ac:dyDescent="0.3">
      <c r="B21">
        <v>63.3</v>
      </c>
      <c r="C21">
        <v>3.02</v>
      </c>
      <c r="D21" s="9">
        <f>$B21/$C21</f>
        <v>20.960264900662249</v>
      </c>
    </row>
    <row r="22" spans="2:4" x14ac:dyDescent="0.3">
      <c r="B22">
        <v>46.7</v>
      </c>
      <c r="C22">
        <v>3.86</v>
      </c>
      <c r="D22" s="9">
        <f t="shared" ref="D22:D24" si="1">$B22/$C22</f>
        <v>12.098445595854923</v>
      </c>
    </row>
    <row r="23" spans="2:4" x14ac:dyDescent="0.3">
      <c r="B23">
        <v>30</v>
      </c>
      <c r="C23">
        <v>4.8</v>
      </c>
      <c r="D23" s="9">
        <f t="shared" si="1"/>
        <v>6.25</v>
      </c>
    </row>
    <row r="24" spans="2:4" x14ac:dyDescent="0.3">
      <c r="B24">
        <v>13.3</v>
      </c>
      <c r="C24">
        <v>5.05</v>
      </c>
      <c r="D24" s="9">
        <f t="shared" si="1"/>
        <v>2.6336633663366338</v>
      </c>
    </row>
    <row r="38" spans="2:4" x14ac:dyDescent="0.3">
      <c r="B38" s="10" t="s">
        <v>348</v>
      </c>
    </row>
    <row r="39" spans="2:4" x14ac:dyDescent="0.3">
      <c r="B39" s="3" t="s">
        <v>325</v>
      </c>
      <c r="C39" s="2" t="s">
        <v>323</v>
      </c>
      <c r="D39" s="3" t="s">
        <v>31</v>
      </c>
    </row>
    <row r="40" spans="2:4" x14ac:dyDescent="0.3">
      <c r="B40">
        <v>81.3</v>
      </c>
      <c r="C40">
        <v>2.92</v>
      </c>
      <c r="D40" s="9">
        <f>$B40/$C40</f>
        <v>27.842465753424658</v>
      </c>
    </row>
    <row r="41" spans="2:4" x14ac:dyDescent="0.3">
      <c r="B41">
        <v>59.9</v>
      </c>
      <c r="C41">
        <v>3.8</v>
      </c>
      <c r="D41" s="9">
        <f t="shared" ref="D41:D43" si="2">$B41/$C41</f>
        <v>15.763157894736842</v>
      </c>
    </row>
    <row r="42" spans="2:4" x14ac:dyDescent="0.3">
      <c r="B42">
        <v>38.5</v>
      </c>
      <c r="C42">
        <v>4.6100000000000003</v>
      </c>
      <c r="D42" s="9">
        <f t="shared" si="2"/>
        <v>8.3514099783080251</v>
      </c>
    </row>
    <row r="43" spans="2:4" x14ac:dyDescent="0.3">
      <c r="B43">
        <v>17.100000000000001</v>
      </c>
      <c r="C43">
        <v>4.68</v>
      </c>
      <c r="D43" s="9">
        <f t="shared" si="2"/>
        <v>3.6538461538461542</v>
      </c>
    </row>
    <row r="57" spans="2:4" x14ac:dyDescent="0.3">
      <c r="B57" s="10"/>
    </row>
    <row r="58" spans="2:4" x14ac:dyDescent="0.3">
      <c r="B58" s="3"/>
      <c r="C58" s="2"/>
      <c r="D58" s="3"/>
    </row>
    <row r="59" spans="2:4" x14ac:dyDescent="0.3">
      <c r="D59" s="9"/>
    </row>
    <row r="60" spans="2:4" x14ac:dyDescent="0.3">
      <c r="D60" s="9"/>
    </row>
    <row r="61" spans="2:4" x14ac:dyDescent="0.3">
      <c r="D61" s="9"/>
    </row>
    <row r="62" spans="2:4" x14ac:dyDescent="0.3">
      <c r="D62" s="9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4102-97D8-450F-8BA3-A884023E777F}">
  <sheetPr>
    <tabColor rgb="FF00B050"/>
  </sheetPr>
  <dimension ref="A1:H80"/>
  <sheetViews>
    <sheetView topLeftCell="A58" workbookViewId="0">
      <selection activeCell="C80" sqref="C80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7" x14ac:dyDescent="0.3">
      <c r="B1" s="10" t="s">
        <v>334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7" x14ac:dyDescent="0.3">
      <c r="B2" s="45" t="s">
        <v>251</v>
      </c>
      <c r="C2" s="9">
        <v>20.3</v>
      </c>
      <c r="D2" s="9">
        <v>5.94</v>
      </c>
      <c r="E2" s="15" t="s">
        <v>184</v>
      </c>
      <c r="F2" s="9">
        <f t="shared" ref="F2:F13" si="0">$C2/$D2</f>
        <v>3.4175084175084174</v>
      </c>
      <c r="G2" s="9" t="s">
        <v>15</v>
      </c>
    </row>
    <row r="3" spans="2:7" x14ac:dyDescent="0.3">
      <c r="B3" s="46" t="s">
        <v>252</v>
      </c>
      <c r="C3" s="18">
        <v>96.2</v>
      </c>
      <c r="D3" s="18">
        <v>2.91</v>
      </c>
      <c r="E3" s="19" t="s">
        <v>184</v>
      </c>
      <c r="F3" s="18">
        <f t="shared" si="0"/>
        <v>33.058419243986251</v>
      </c>
      <c r="G3" s="18" t="s">
        <v>16</v>
      </c>
    </row>
    <row r="4" spans="2:7" x14ac:dyDescent="0.3">
      <c r="B4" s="45" t="s">
        <v>251</v>
      </c>
      <c r="C4" s="9">
        <v>21.1</v>
      </c>
      <c r="D4" s="9">
        <v>6.29</v>
      </c>
      <c r="E4" s="15" t="s">
        <v>184</v>
      </c>
      <c r="F4" s="9">
        <f t="shared" si="0"/>
        <v>3.3545310015898253</v>
      </c>
      <c r="G4" s="9" t="s">
        <v>15</v>
      </c>
    </row>
    <row r="5" spans="2:7" x14ac:dyDescent="0.3">
      <c r="B5" s="46" t="s">
        <v>252</v>
      </c>
      <c r="C5" s="18">
        <v>100</v>
      </c>
      <c r="D5" s="18">
        <v>3</v>
      </c>
      <c r="E5" s="19" t="s">
        <v>184</v>
      </c>
      <c r="F5" s="18">
        <f t="shared" si="0"/>
        <v>33.333333333333336</v>
      </c>
      <c r="G5" s="18" t="s">
        <v>16</v>
      </c>
    </row>
    <row r="6" spans="2:7" x14ac:dyDescent="0.3">
      <c r="B6" s="45" t="s">
        <v>251</v>
      </c>
      <c r="C6" s="9">
        <v>23.4</v>
      </c>
      <c r="D6" s="9">
        <v>5.85</v>
      </c>
      <c r="E6" s="15" t="s">
        <v>184</v>
      </c>
      <c r="F6" s="9">
        <f t="shared" si="0"/>
        <v>4</v>
      </c>
      <c r="G6" s="9" t="s">
        <v>15</v>
      </c>
    </row>
    <row r="7" spans="2:7" x14ac:dyDescent="0.3">
      <c r="B7" s="46" t="s">
        <v>252</v>
      </c>
      <c r="C7" s="18">
        <v>111.2</v>
      </c>
      <c r="D7" s="18">
        <v>3.17</v>
      </c>
      <c r="E7" s="19" t="s">
        <v>184</v>
      </c>
      <c r="F7" s="18">
        <f t="shared" si="0"/>
        <v>35.078864353312305</v>
      </c>
      <c r="G7" s="18" t="s">
        <v>16</v>
      </c>
    </row>
    <row r="8" spans="2:7" x14ac:dyDescent="0.3">
      <c r="B8" s="45" t="s">
        <v>251</v>
      </c>
      <c r="C8" s="9">
        <v>24.4</v>
      </c>
      <c r="D8" s="9">
        <v>5.83</v>
      </c>
      <c r="E8" s="15" t="s">
        <v>184</v>
      </c>
      <c r="F8" s="9">
        <f t="shared" si="0"/>
        <v>4.1852487135506005</v>
      </c>
      <c r="G8" s="9" t="s">
        <v>15</v>
      </c>
    </row>
    <row r="9" spans="2:7" x14ac:dyDescent="0.3">
      <c r="B9" s="46" t="s">
        <v>252</v>
      </c>
      <c r="C9" s="18">
        <v>115.8</v>
      </c>
      <c r="D9" s="18">
        <v>3.22</v>
      </c>
      <c r="E9" s="19" t="s">
        <v>184</v>
      </c>
      <c r="F9" s="18">
        <f t="shared" si="0"/>
        <v>35.962732919254655</v>
      </c>
      <c r="G9" s="18" t="s">
        <v>16</v>
      </c>
    </row>
    <row r="10" spans="2:7" x14ac:dyDescent="0.3">
      <c r="B10" s="45" t="s">
        <v>251</v>
      </c>
      <c r="C10" s="9">
        <v>25.7</v>
      </c>
      <c r="D10" s="9">
        <v>5.6</v>
      </c>
      <c r="E10" s="15" t="s">
        <v>184</v>
      </c>
      <c r="F10" s="9">
        <f t="shared" si="0"/>
        <v>4.5892857142857144</v>
      </c>
      <c r="G10" s="9" t="s">
        <v>15</v>
      </c>
    </row>
    <row r="11" spans="2:7" x14ac:dyDescent="0.3">
      <c r="B11" s="46" t="s">
        <v>252</v>
      </c>
      <c r="C11" s="18">
        <v>122.1</v>
      </c>
      <c r="D11" s="18">
        <v>3.05</v>
      </c>
      <c r="E11" s="19" t="s">
        <v>184</v>
      </c>
      <c r="F11" s="18">
        <f t="shared" si="0"/>
        <v>40.032786885245905</v>
      </c>
      <c r="G11" s="18" t="s">
        <v>16</v>
      </c>
    </row>
    <row r="12" spans="2:7" x14ac:dyDescent="0.3">
      <c r="B12" s="45" t="s">
        <v>251</v>
      </c>
      <c r="C12" s="9">
        <v>27.6</v>
      </c>
      <c r="D12" s="9">
        <v>5.94</v>
      </c>
      <c r="E12" s="15" t="s">
        <v>184</v>
      </c>
      <c r="F12" s="9">
        <f t="shared" si="0"/>
        <v>4.6464646464646462</v>
      </c>
      <c r="G12" s="9" t="s">
        <v>15</v>
      </c>
    </row>
    <row r="13" spans="2:7" x14ac:dyDescent="0.3">
      <c r="B13" s="46" t="s">
        <v>252</v>
      </c>
      <c r="C13" s="18">
        <v>130.9</v>
      </c>
      <c r="D13" s="18">
        <v>3.1</v>
      </c>
      <c r="E13" s="19" t="s">
        <v>184</v>
      </c>
      <c r="F13" s="18">
        <f t="shared" si="0"/>
        <v>42.225806451612904</v>
      </c>
      <c r="G13" s="18" t="s">
        <v>16</v>
      </c>
    </row>
    <row r="14" spans="2:7" x14ac:dyDescent="0.3">
      <c r="B14" s="45" t="s">
        <v>251</v>
      </c>
      <c r="C14" s="9">
        <v>28.9</v>
      </c>
      <c r="D14" s="9">
        <v>6.28</v>
      </c>
      <c r="E14" s="15" t="s">
        <v>184</v>
      </c>
      <c r="F14" s="9">
        <f t="shared" ref="F14:F31" si="1">$C14/$D14</f>
        <v>4.6019108280254777</v>
      </c>
      <c r="G14" s="9" t="s">
        <v>15</v>
      </c>
    </row>
    <row r="15" spans="2:7" x14ac:dyDescent="0.3">
      <c r="B15" s="46" t="s">
        <v>252</v>
      </c>
      <c r="C15" s="18">
        <v>137</v>
      </c>
      <c r="D15" s="18">
        <v>3.15</v>
      </c>
      <c r="E15" s="19" t="s">
        <v>184</v>
      </c>
      <c r="F15" s="18">
        <f t="shared" si="1"/>
        <v>43.492063492063494</v>
      </c>
      <c r="G15" s="18" t="s">
        <v>16</v>
      </c>
    </row>
    <row r="16" spans="2:7" x14ac:dyDescent="0.3">
      <c r="B16" s="45" t="s">
        <v>251</v>
      </c>
      <c r="C16" s="9">
        <v>33</v>
      </c>
      <c r="D16" s="9">
        <v>5.8</v>
      </c>
      <c r="E16" s="15" t="s">
        <v>184</v>
      </c>
      <c r="F16" s="9">
        <f t="shared" si="1"/>
        <v>5.6896551724137936</v>
      </c>
      <c r="G16" s="9" t="s">
        <v>15</v>
      </c>
    </row>
    <row r="17" spans="2:7" x14ac:dyDescent="0.3">
      <c r="B17" s="46" t="s">
        <v>252</v>
      </c>
      <c r="C17" s="18">
        <v>156.80000000000001</v>
      </c>
      <c r="D17" s="18">
        <v>2.92</v>
      </c>
      <c r="E17" s="19" t="s">
        <v>184</v>
      </c>
      <c r="F17" s="18">
        <f t="shared" si="1"/>
        <v>53.69863013698631</v>
      </c>
      <c r="G17" s="18" t="s">
        <v>16</v>
      </c>
    </row>
    <row r="18" spans="2:7" x14ac:dyDescent="0.3">
      <c r="B18" s="45" t="s">
        <v>251</v>
      </c>
      <c r="C18" s="9">
        <v>39</v>
      </c>
      <c r="D18" s="9">
        <v>6.29</v>
      </c>
      <c r="E18" s="15" t="s">
        <v>184</v>
      </c>
      <c r="F18" s="9">
        <f t="shared" si="1"/>
        <v>6.2003179650238476</v>
      </c>
      <c r="G18" s="9" t="s">
        <v>15</v>
      </c>
    </row>
    <row r="19" spans="2:7" x14ac:dyDescent="0.3">
      <c r="B19" s="46" t="s">
        <v>252</v>
      </c>
      <c r="C19" s="18">
        <v>185.2</v>
      </c>
      <c r="D19" s="18">
        <v>3.36</v>
      </c>
      <c r="E19" s="19" t="s">
        <v>184</v>
      </c>
      <c r="F19" s="18">
        <f t="shared" si="1"/>
        <v>55.11904761904762</v>
      </c>
      <c r="G19" s="18" t="s">
        <v>16</v>
      </c>
    </row>
    <row r="20" spans="2:7" x14ac:dyDescent="0.3">
      <c r="B20" s="45" t="s">
        <v>251</v>
      </c>
      <c r="C20" s="9">
        <v>41.8</v>
      </c>
      <c r="D20" s="9">
        <v>6.34</v>
      </c>
      <c r="E20" s="15" t="s">
        <v>184</v>
      </c>
      <c r="F20" s="9">
        <f t="shared" si="1"/>
        <v>6.5930599369085172</v>
      </c>
      <c r="G20" s="9" t="s">
        <v>15</v>
      </c>
    </row>
    <row r="21" spans="2:7" x14ac:dyDescent="0.3">
      <c r="B21" s="46" t="s">
        <v>252</v>
      </c>
      <c r="C21" s="18">
        <v>198.6</v>
      </c>
      <c r="D21" s="18">
        <v>3.31</v>
      </c>
      <c r="E21" s="19" t="s">
        <v>184</v>
      </c>
      <c r="F21" s="18">
        <f t="shared" si="1"/>
        <v>60</v>
      </c>
      <c r="G21" s="18" t="s">
        <v>16</v>
      </c>
    </row>
    <row r="22" spans="2:7" x14ac:dyDescent="0.3">
      <c r="B22" s="45" t="s">
        <v>251</v>
      </c>
      <c r="C22" s="9">
        <v>47.1</v>
      </c>
      <c r="D22" s="9">
        <v>5.96</v>
      </c>
      <c r="E22" s="15" t="s">
        <v>184</v>
      </c>
      <c r="F22" s="9">
        <f t="shared" si="1"/>
        <v>7.9026845637583891</v>
      </c>
      <c r="G22" s="9" t="s">
        <v>15</v>
      </c>
    </row>
    <row r="23" spans="2:7" x14ac:dyDescent="0.3">
      <c r="B23" s="46" t="s">
        <v>252</v>
      </c>
      <c r="C23" s="18">
        <v>223.7</v>
      </c>
      <c r="D23" s="18">
        <v>3.15</v>
      </c>
      <c r="E23" s="19" t="s">
        <v>184</v>
      </c>
      <c r="F23" s="18">
        <f t="shared" si="1"/>
        <v>71.015873015873012</v>
      </c>
      <c r="G23" s="18" t="s">
        <v>16</v>
      </c>
    </row>
    <row r="24" spans="2:7" x14ac:dyDescent="0.3">
      <c r="B24" s="45" t="s">
        <v>251</v>
      </c>
      <c r="C24" s="9">
        <v>49.8</v>
      </c>
      <c r="D24" s="9">
        <v>6.01</v>
      </c>
      <c r="E24" s="15" t="s">
        <v>184</v>
      </c>
      <c r="F24" s="9">
        <f t="shared" si="1"/>
        <v>8.2861896838602327</v>
      </c>
      <c r="G24" s="9" t="s">
        <v>15</v>
      </c>
    </row>
    <row r="25" spans="2:7" x14ac:dyDescent="0.3">
      <c r="B25" s="46" t="s">
        <v>252</v>
      </c>
      <c r="C25" s="18">
        <v>236.7</v>
      </c>
      <c r="D25" s="18">
        <v>3.14</v>
      </c>
      <c r="E25" s="19" t="s">
        <v>184</v>
      </c>
      <c r="F25" s="18">
        <f t="shared" si="1"/>
        <v>75.382165605095537</v>
      </c>
      <c r="G25" s="18" t="s">
        <v>16</v>
      </c>
    </row>
    <row r="26" spans="2:7" x14ac:dyDescent="0.3">
      <c r="B26" s="45" t="s">
        <v>251</v>
      </c>
      <c r="C26" s="9">
        <v>52</v>
      </c>
      <c r="D26" s="9">
        <v>6.05</v>
      </c>
      <c r="E26" s="15" t="s">
        <v>184</v>
      </c>
      <c r="F26" s="9">
        <f t="shared" si="1"/>
        <v>8.5950413223140494</v>
      </c>
      <c r="G26" s="9" t="s">
        <v>15</v>
      </c>
    </row>
    <row r="27" spans="2:7" x14ac:dyDescent="0.3">
      <c r="B27" s="46" t="s">
        <v>252</v>
      </c>
      <c r="C27" s="18">
        <v>246.8</v>
      </c>
      <c r="D27" s="18">
        <v>3.09</v>
      </c>
      <c r="E27" s="19" t="s">
        <v>184</v>
      </c>
      <c r="F27" s="18">
        <f t="shared" si="1"/>
        <v>79.870550161812304</v>
      </c>
      <c r="G27" s="18" t="s">
        <v>16</v>
      </c>
    </row>
    <row r="28" spans="2:7" x14ac:dyDescent="0.3">
      <c r="B28" s="45" t="s">
        <v>251</v>
      </c>
      <c r="C28" s="9">
        <v>56.1</v>
      </c>
      <c r="D28" s="9">
        <v>5.77</v>
      </c>
      <c r="E28" s="15" t="s">
        <v>184</v>
      </c>
      <c r="F28" s="9">
        <f t="shared" si="1"/>
        <v>9.7227036395147319</v>
      </c>
      <c r="G28" s="9" t="s">
        <v>15</v>
      </c>
    </row>
    <row r="29" spans="2:7" x14ac:dyDescent="0.3">
      <c r="B29" s="46" t="s">
        <v>252</v>
      </c>
      <c r="C29" s="18">
        <v>266.39999999999998</v>
      </c>
      <c r="D29" s="18">
        <v>2.98</v>
      </c>
      <c r="E29" s="19" t="s">
        <v>184</v>
      </c>
      <c r="F29" s="18">
        <f t="shared" si="1"/>
        <v>89.395973154362409</v>
      </c>
      <c r="G29" s="18" t="s">
        <v>16</v>
      </c>
    </row>
    <row r="30" spans="2:7" x14ac:dyDescent="0.3">
      <c r="B30" s="45" t="s">
        <v>251</v>
      </c>
      <c r="C30" s="9">
        <v>65.2</v>
      </c>
      <c r="D30" s="9">
        <v>6.52</v>
      </c>
      <c r="E30" s="15" t="s">
        <v>184</v>
      </c>
      <c r="F30" s="9">
        <f t="shared" si="1"/>
        <v>10.000000000000002</v>
      </c>
      <c r="G30" s="9" t="s">
        <v>15</v>
      </c>
    </row>
    <row r="31" spans="2:7" x14ac:dyDescent="0.3">
      <c r="B31" s="46" t="s">
        <v>252</v>
      </c>
      <c r="C31" s="18">
        <v>309.7</v>
      </c>
      <c r="D31" s="18">
        <v>3.36</v>
      </c>
      <c r="E31" s="19" t="s">
        <v>184</v>
      </c>
      <c r="F31" s="18">
        <f t="shared" si="1"/>
        <v>92.172619047619051</v>
      </c>
      <c r="G31" s="18" t="s">
        <v>16</v>
      </c>
    </row>
    <row r="33" spans="1:8" x14ac:dyDescent="0.3">
      <c r="B33" t="s">
        <v>1</v>
      </c>
      <c r="C33" t="s">
        <v>4</v>
      </c>
      <c r="H33" t="s">
        <v>344</v>
      </c>
    </row>
    <row r="34" spans="1:8" x14ac:dyDescent="0.3">
      <c r="A34" t="s">
        <v>184</v>
      </c>
      <c r="B34" t="s">
        <v>183</v>
      </c>
      <c r="C34" s="4" t="s">
        <v>182</v>
      </c>
      <c r="D34" s="4"/>
      <c r="E34" s="4"/>
      <c r="H34" t="s">
        <v>339</v>
      </c>
    </row>
    <row r="35" spans="1:8" x14ac:dyDescent="0.3">
      <c r="C35" s="4"/>
      <c r="D35" s="4"/>
      <c r="E35" s="4"/>
    </row>
    <row r="36" spans="1:8" x14ac:dyDescent="0.3">
      <c r="C36" s="4"/>
      <c r="D36" s="4"/>
    </row>
    <row r="37" spans="1:8" x14ac:dyDescent="0.3">
      <c r="E37" s="10" t="s">
        <v>18</v>
      </c>
      <c r="F37" s="10" t="s">
        <v>18</v>
      </c>
      <c r="G37" s="10" t="s">
        <v>18</v>
      </c>
    </row>
    <row r="38" spans="1:8" x14ac:dyDescent="0.3">
      <c r="B38" s="2" t="s">
        <v>13</v>
      </c>
      <c r="C38" s="2" t="s">
        <v>12</v>
      </c>
      <c r="D38" s="2" t="s">
        <v>25</v>
      </c>
      <c r="E38" s="2" t="s">
        <v>17</v>
      </c>
      <c r="F38" s="2" t="s">
        <v>22</v>
      </c>
      <c r="G38" s="2" t="s">
        <v>23</v>
      </c>
    </row>
    <row r="39" spans="1:8" x14ac:dyDescent="0.3">
      <c r="B39" s="9" t="s">
        <v>15</v>
      </c>
      <c r="C39" s="9">
        <f>$C3</f>
        <v>96.2</v>
      </c>
      <c r="D39" s="9">
        <f t="shared" ref="D39:D68" si="2">$F2</f>
        <v>3.4175084175084174</v>
      </c>
      <c r="E39" s="9">
        <f t="shared" ref="E39:E68" si="3">$D39*$D2</f>
        <v>20.3</v>
      </c>
      <c r="F39" s="9">
        <f t="shared" ref="F39:F68" si="4">$B$71*$D39+$C$71*$C39+$E$71</f>
        <v>22.439712560261114</v>
      </c>
      <c r="G39" s="20">
        <f t="shared" ref="G39:G50" si="5">($E39-$F39)/$E39</f>
        <v>-0.10540455961877405</v>
      </c>
    </row>
    <row r="40" spans="1:8" x14ac:dyDescent="0.3">
      <c r="B40" s="18" t="s">
        <v>16</v>
      </c>
      <c r="C40" s="18">
        <f>$C3</f>
        <v>96.2</v>
      </c>
      <c r="D40" s="18">
        <f t="shared" si="2"/>
        <v>33.058419243986251</v>
      </c>
      <c r="E40" s="18">
        <f t="shared" si="3"/>
        <v>96.199999999999989</v>
      </c>
      <c r="F40" s="18">
        <f t="shared" si="4"/>
        <v>104.92809918135855</v>
      </c>
      <c r="G40" s="20">
        <f t="shared" si="5"/>
        <v>-9.0728681718903942E-2</v>
      </c>
    </row>
    <row r="41" spans="1:8" x14ac:dyDescent="0.3">
      <c r="B41" s="9" t="s">
        <v>15</v>
      </c>
      <c r="C41" s="9">
        <f>$C5</f>
        <v>100</v>
      </c>
      <c r="D41" s="9">
        <f t="shared" si="2"/>
        <v>3.3545310015898253</v>
      </c>
      <c r="E41" s="9">
        <f t="shared" si="3"/>
        <v>21.1</v>
      </c>
      <c r="F41" s="9">
        <f t="shared" si="4"/>
        <v>22.775162072740351</v>
      </c>
      <c r="G41" s="20">
        <f t="shared" si="5"/>
        <v>-7.9391567428452561E-2</v>
      </c>
    </row>
    <row r="42" spans="1:8" x14ac:dyDescent="0.3">
      <c r="B42" s="18" t="s">
        <v>16</v>
      </c>
      <c r="C42" s="18">
        <f>$C5</f>
        <v>100</v>
      </c>
      <c r="D42" s="18">
        <f t="shared" si="2"/>
        <v>33.333333333333336</v>
      </c>
      <c r="E42" s="18">
        <f t="shared" si="3"/>
        <v>100</v>
      </c>
      <c r="F42" s="18">
        <f t="shared" si="4"/>
        <v>106.20387489654817</v>
      </c>
      <c r="G42" s="20">
        <f t="shared" si="5"/>
        <v>-6.2038748965481713E-2</v>
      </c>
    </row>
    <row r="43" spans="1:8" x14ac:dyDescent="0.3">
      <c r="B43" s="9" t="s">
        <v>15</v>
      </c>
      <c r="C43" s="9">
        <f>$C7</f>
        <v>111.2</v>
      </c>
      <c r="D43" s="9">
        <f t="shared" si="2"/>
        <v>4</v>
      </c>
      <c r="E43" s="9">
        <f t="shared" si="3"/>
        <v>23.4</v>
      </c>
      <c r="F43" s="9">
        <f t="shared" si="4"/>
        <v>26.076705909452077</v>
      </c>
      <c r="G43" s="20">
        <f t="shared" si="5"/>
        <v>-0.114389141429576</v>
      </c>
    </row>
    <row r="44" spans="1:8" x14ac:dyDescent="0.3">
      <c r="B44" s="18" t="s">
        <v>16</v>
      </c>
      <c r="C44" s="18">
        <f>$C7</f>
        <v>111.2</v>
      </c>
      <c r="D44" s="18">
        <f t="shared" si="2"/>
        <v>35.078864353312305</v>
      </c>
      <c r="E44" s="18">
        <f t="shared" si="3"/>
        <v>111.2</v>
      </c>
      <c r="F44" s="18">
        <f t="shared" si="4"/>
        <v>112.56680715932993</v>
      </c>
      <c r="G44" s="20">
        <f t="shared" si="5"/>
        <v>-1.2291431288938157E-2</v>
      </c>
    </row>
    <row r="45" spans="1:8" x14ac:dyDescent="0.3">
      <c r="B45" s="9" t="s">
        <v>15</v>
      </c>
      <c r="C45" s="9">
        <f>$C9</f>
        <v>115.8</v>
      </c>
      <c r="D45" s="9">
        <f t="shared" si="2"/>
        <v>4.1852487135506005</v>
      </c>
      <c r="E45" s="9">
        <f t="shared" si="3"/>
        <v>24.400000000000002</v>
      </c>
      <c r="F45" s="9">
        <f t="shared" si="4"/>
        <v>27.210467817206844</v>
      </c>
      <c r="G45" s="20">
        <f t="shared" si="5"/>
        <v>-0.11518310726257547</v>
      </c>
    </row>
    <row r="46" spans="1:8" x14ac:dyDescent="0.3">
      <c r="B46" s="18" t="s">
        <v>16</v>
      </c>
      <c r="C46" s="18">
        <f>$C9</f>
        <v>115.8</v>
      </c>
      <c r="D46" s="18">
        <f t="shared" si="2"/>
        <v>35.962732919254655</v>
      </c>
      <c r="E46" s="18">
        <f t="shared" si="3"/>
        <v>115.8</v>
      </c>
      <c r="F46" s="18">
        <f t="shared" si="4"/>
        <v>115.64477465586123</v>
      </c>
      <c r="G46" s="20">
        <f t="shared" si="5"/>
        <v>1.3404606575023363E-3</v>
      </c>
    </row>
    <row r="47" spans="1:8" x14ac:dyDescent="0.3">
      <c r="B47" s="9" t="s">
        <v>15</v>
      </c>
      <c r="C47" s="9">
        <f>$C11</f>
        <v>122.1</v>
      </c>
      <c r="D47" s="9">
        <f t="shared" si="2"/>
        <v>4.5892857142857144</v>
      </c>
      <c r="E47" s="9">
        <f t="shared" si="3"/>
        <v>25.7</v>
      </c>
      <c r="F47" s="9">
        <f t="shared" si="4"/>
        <v>29.181576688772829</v>
      </c>
      <c r="G47" s="20">
        <f t="shared" si="5"/>
        <v>-0.13546991006898168</v>
      </c>
    </row>
    <row r="48" spans="1:8" x14ac:dyDescent="0.3">
      <c r="B48" s="18" t="s">
        <v>16</v>
      </c>
      <c r="C48" s="18">
        <f>$C11</f>
        <v>122.1</v>
      </c>
      <c r="D48" s="18">
        <f t="shared" si="2"/>
        <v>40.032786885245905</v>
      </c>
      <c r="E48" s="18">
        <f t="shared" si="3"/>
        <v>122.10000000000001</v>
      </c>
      <c r="F48" s="18">
        <f t="shared" si="4"/>
        <v>127.81812820741919</v>
      </c>
      <c r="G48" s="20">
        <f t="shared" si="5"/>
        <v>-4.6831516850279968E-2</v>
      </c>
    </row>
    <row r="49" spans="2:7" x14ac:dyDescent="0.3">
      <c r="B49" s="9" t="s">
        <v>15</v>
      </c>
      <c r="C49" s="9">
        <f>$C13</f>
        <v>130.9</v>
      </c>
      <c r="D49" s="9">
        <f t="shared" si="2"/>
        <v>4.6464646464646462</v>
      </c>
      <c r="E49" s="9">
        <f t="shared" si="3"/>
        <v>27.6</v>
      </c>
      <c r="F49" s="9">
        <f t="shared" si="4"/>
        <v>30.523400072983932</v>
      </c>
      <c r="G49" s="20">
        <f t="shared" si="5"/>
        <v>-0.10592029249941778</v>
      </c>
    </row>
    <row r="50" spans="2:7" x14ac:dyDescent="0.3">
      <c r="B50" s="18" t="s">
        <v>16</v>
      </c>
      <c r="C50" s="18">
        <f>$C13</f>
        <v>130.9</v>
      </c>
      <c r="D50" s="18">
        <f t="shared" si="2"/>
        <v>42.225806451612904</v>
      </c>
      <c r="E50" s="18">
        <f t="shared" si="3"/>
        <v>130.9</v>
      </c>
      <c r="F50" s="18">
        <f t="shared" si="4"/>
        <v>135.10383263581784</v>
      </c>
      <c r="G50" s="20">
        <f t="shared" si="5"/>
        <v>-3.2114840609761899E-2</v>
      </c>
    </row>
    <row r="51" spans="2:7" x14ac:dyDescent="0.3">
      <c r="B51" s="9" t="s">
        <v>15</v>
      </c>
      <c r="C51" s="9">
        <f>$C15</f>
        <v>137</v>
      </c>
      <c r="D51" s="9">
        <f t="shared" si="2"/>
        <v>4.6019108280254777</v>
      </c>
      <c r="E51" s="9">
        <f t="shared" si="3"/>
        <v>28.900000000000002</v>
      </c>
      <c r="F51" s="9">
        <f t="shared" si="4"/>
        <v>31.21923550427875</v>
      </c>
      <c r="G51" s="20">
        <f t="shared" ref="G51:G68" si="6">($E51-$F51)/$E51</f>
        <v>-8.0250363469852856E-2</v>
      </c>
    </row>
    <row r="52" spans="2:7" x14ac:dyDescent="0.3">
      <c r="B52" s="18" t="s">
        <v>16</v>
      </c>
      <c r="C52" s="18">
        <f>$C15</f>
        <v>137</v>
      </c>
      <c r="D52" s="18">
        <f t="shared" si="2"/>
        <v>43.492063492063494</v>
      </c>
      <c r="E52" s="18">
        <f t="shared" si="3"/>
        <v>137</v>
      </c>
      <c r="F52" s="18">
        <f t="shared" si="4"/>
        <v>139.44755438033093</v>
      </c>
      <c r="G52" s="20">
        <f t="shared" si="6"/>
        <v>-1.7865360440371736E-2</v>
      </c>
    </row>
    <row r="53" spans="2:7" x14ac:dyDescent="0.3">
      <c r="B53" s="9" t="s">
        <v>15</v>
      </c>
      <c r="C53" s="9">
        <f>$C17</f>
        <v>156.80000000000001</v>
      </c>
      <c r="D53" s="9">
        <f t="shared" si="2"/>
        <v>5.6896551724137936</v>
      </c>
      <c r="E53" s="9">
        <f t="shared" si="3"/>
        <v>33</v>
      </c>
      <c r="F53" s="9">
        <f t="shared" si="4"/>
        <v>36.907417058115833</v>
      </c>
      <c r="G53" s="20">
        <f t="shared" si="6"/>
        <v>-0.1184065775186616</v>
      </c>
    </row>
    <row r="54" spans="2:7" x14ac:dyDescent="0.3">
      <c r="B54" s="18" t="s">
        <v>16</v>
      </c>
      <c r="C54" s="18">
        <f>$C17</f>
        <v>156.80000000000001</v>
      </c>
      <c r="D54" s="18">
        <f t="shared" si="2"/>
        <v>53.69863013698631</v>
      </c>
      <c r="E54" s="18">
        <f t="shared" si="3"/>
        <v>156.80000000000001</v>
      </c>
      <c r="F54" s="18">
        <f t="shared" si="4"/>
        <v>170.51272059766382</v>
      </c>
      <c r="G54" s="20">
        <f t="shared" si="6"/>
        <v>-8.7453575240202822E-2</v>
      </c>
    </row>
    <row r="55" spans="2:7" x14ac:dyDescent="0.3">
      <c r="B55" s="9" t="s">
        <v>15</v>
      </c>
      <c r="C55" s="9">
        <f>$C19</f>
        <v>185.2</v>
      </c>
      <c r="D55" s="9">
        <f t="shared" si="2"/>
        <v>6.2003179650238476</v>
      </c>
      <c r="E55" s="9">
        <f t="shared" si="3"/>
        <v>39</v>
      </c>
      <c r="F55" s="9">
        <f t="shared" si="4"/>
        <v>42.145444086786554</v>
      </c>
      <c r="G55" s="20">
        <f t="shared" si="6"/>
        <v>-8.0652412481706515E-2</v>
      </c>
    </row>
    <row r="56" spans="2:7" x14ac:dyDescent="0.3">
      <c r="B56" s="18" t="s">
        <v>16</v>
      </c>
      <c r="C56" s="18">
        <f>$C19</f>
        <v>185.2</v>
      </c>
      <c r="D56" s="18">
        <f t="shared" si="2"/>
        <v>55.11904761904762</v>
      </c>
      <c r="E56" s="18">
        <f t="shared" si="3"/>
        <v>185.2</v>
      </c>
      <c r="F56" s="18">
        <f t="shared" si="4"/>
        <v>178.28252530999382</v>
      </c>
      <c r="G56" s="20">
        <f t="shared" si="6"/>
        <v>3.7351375216016058E-2</v>
      </c>
    </row>
    <row r="57" spans="2:7" x14ac:dyDescent="0.3">
      <c r="B57" s="9" t="s">
        <v>15</v>
      </c>
      <c r="C57" s="9">
        <f>$C21</f>
        <v>198.6</v>
      </c>
      <c r="D57" s="9">
        <f t="shared" si="2"/>
        <v>6.5930599369085172</v>
      </c>
      <c r="E57" s="9">
        <f t="shared" si="3"/>
        <v>41.8</v>
      </c>
      <c r="F57" s="9">
        <f t="shared" si="4"/>
        <v>45.039342645951315</v>
      </c>
      <c r="G57" s="20">
        <f t="shared" si="6"/>
        <v>-7.7496235549074602E-2</v>
      </c>
    </row>
    <row r="58" spans="2:7" x14ac:dyDescent="0.3">
      <c r="B58" s="18" t="s">
        <v>16</v>
      </c>
      <c r="C58" s="18">
        <f>$C21</f>
        <v>198.6</v>
      </c>
      <c r="D58" s="18">
        <f t="shared" si="2"/>
        <v>60</v>
      </c>
      <c r="E58" s="18">
        <f t="shared" si="3"/>
        <v>198.6</v>
      </c>
      <c r="F58" s="18">
        <f t="shared" si="4"/>
        <v>193.66676998663667</v>
      </c>
      <c r="G58" s="20">
        <f t="shared" si="6"/>
        <v>2.4840030278768018E-2</v>
      </c>
    </row>
    <row r="59" spans="2:7" x14ac:dyDescent="0.3">
      <c r="B59" s="9" t="s">
        <v>15</v>
      </c>
      <c r="C59" s="9">
        <f>$C23</f>
        <v>223.7</v>
      </c>
      <c r="D59" s="9">
        <f t="shared" si="2"/>
        <v>7.9026845637583891</v>
      </c>
      <c r="E59" s="9">
        <f t="shared" si="3"/>
        <v>47.1</v>
      </c>
      <c r="F59" s="9">
        <f t="shared" si="4"/>
        <v>52.057307273624517</v>
      </c>
      <c r="G59" s="20">
        <f t="shared" si="6"/>
        <v>-0.10525068521495785</v>
      </c>
    </row>
    <row r="60" spans="2:7" x14ac:dyDescent="0.3">
      <c r="B60" s="18" t="s">
        <v>16</v>
      </c>
      <c r="C60" s="18">
        <f>$C23</f>
        <v>223.7</v>
      </c>
      <c r="D60" s="18">
        <f t="shared" si="2"/>
        <v>71.015873015873012</v>
      </c>
      <c r="E60" s="18">
        <f t="shared" si="3"/>
        <v>223.7</v>
      </c>
      <c r="F60" s="18">
        <f t="shared" si="4"/>
        <v>227.69648113051113</v>
      </c>
      <c r="G60" s="20">
        <f t="shared" si="6"/>
        <v>-1.786536044037167E-2</v>
      </c>
    </row>
    <row r="61" spans="2:7" x14ac:dyDescent="0.3">
      <c r="B61" s="9" t="s">
        <v>15</v>
      </c>
      <c r="C61" s="9">
        <f>$C25</f>
        <v>236.7</v>
      </c>
      <c r="D61" s="9">
        <f t="shared" si="2"/>
        <v>8.2861896838602327</v>
      </c>
      <c r="E61" s="9">
        <f t="shared" si="3"/>
        <v>49.8</v>
      </c>
      <c r="F61" s="9">
        <f t="shared" si="4"/>
        <v>54.871741345133259</v>
      </c>
      <c r="G61" s="20">
        <f t="shared" si="6"/>
        <v>-0.10184219568540687</v>
      </c>
    </row>
    <row r="62" spans="2:7" x14ac:dyDescent="0.3">
      <c r="B62" s="18" t="s">
        <v>16</v>
      </c>
      <c r="C62" s="18">
        <f>$C25</f>
        <v>236.7</v>
      </c>
      <c r="D62" s="18">
        <f t="shared" si="2"/>
        <v>75.382165605095537</v>
      </c>
      <c r="E62" s="18">
        <f t="shared" si="3"/>
        <v>236.7</v>
      </c>
      <c r="F62" s="18">
        <f t="shared" si="4"/>
        <v>241.59470795406355</v>
      </c>
      <c r="G62" s="20">
        <f t="shared" si="6"/>
        <v>-2.067895206617475E-2</v>
      </c>
    </row>
    <row r="63" spans="2:7" x14ac:dyDescent="0.3">
      <c r="B63" s="9" t="s">
        <v>15</v>
      </c>
      <c r="C63" s="9">
        <f>$C27</f>
        <v>246.8</v>
      </c>
      <c r="D63" s="9">
        <f t="shared" si="2"/>
        <v>8.5950413223140494</v>
      </c>
      <c r="E63" s="9">
        <f t="shared" si="3"/>
        <v>52</v>
      </c>
      <c r="F63" s="9">
        <f t="shared" si="4"/>
        <v>57.088667479097111</v>
      </c>
      <c r="G63" s="20">
        <f t="shared" si="6"/>
        <v>-9.7858989982636757E-2</v>
      </c>
    </row>
    <row r="64" spans="2:7" x14ac:dyDescent="0.3">
      <c r="B64" s="18" t="s">
        <v>16</v>
      </c>
      <c r="C64" s="18">
        <f>$C27</f>
        <v>246.8</v>
      </c>
      <c r="D64" s="18">
        <f t="shared" si="2"/>
        <v>79.870550161812304</v>
      </c>
      <c r="E64" s="18">
        <f t="shared" si="3"/>
        <v>246.8</v>
      </c>
      <c r="F64" s="18">
        <f t="shared" si="4"/>
        <v>255.44295436949818</v>
      </c>
      <c r="G64" s="20">
        <f t="shared" si="6"/>
        <v>-3.5020074430705712E-2</v>
      </c>
    </row>
    <row r="65" spans="2:7" x14ac:dyDescent="0.3">
      <c r="B65" s="9" t="s">
        <v>15</v>
      </c>
      <c r="C65" s="9">
        <f>$C29</f>
        <v>266.39999999999998</v>
      </c>
      <c r="D65" s="9">
        <f t="shared" si="2"/>
        <v>9.7227036395147319</v>
      </c>
      <c r="E65" s="9">
        <f t="shared" si="3"/>
        <v>56.1</v>
      </c>
      <c r="F65" s="9">
        <f t="shared" si="4"/>
        <v>62.86105817864361</v>
      </c>
      <c r="G65" s="20">
        <f t="shared" si="6"/>
        <v>-0.12051797109881655</v>
      </c>
    </row>
    <row r="66" spans="2:7" x14ac:dyDescent="0.3">
      <c r="B66" s="18" t="s">
        <v>16</v>
      </c>
      <c r="C66" s="18">
        <f>$C29</f>
        <v>266.39999999999998</v>
      </c>
      <c r="D66" s="18">
        <f t="shared" si="2"/>
        <v>89.395973154362409</v>
      </c>
      <c r="E66" s="18">
        <f t="shared" si="3"/>
        <v>266.39999999999998</v>
      </c>
      <c r="F66" s="18">
        <f t="shared" si="4"/>
        <v>284.58567040739007</v>
      </c>
      <c r="G66" s="20">
        <f t="shared" si="6"/>
        <v>-6.8264528556269119E-2</v>
      </c>
    </row>
    <row r="67" spans="2:7" x14ac:dyDescent="0.3">
      <c r="B67" s="9" t="s">
        <v>15</v>
      </c>
      <c r="C67" s="9">
        <f>$C31</f>
        <v>309.7</v>
      </c>
      <c r="D67" s="9">
        <f t="shared" si="2"/>
        <v>10.000000000000002</v>
      </c>
      <c r="E67" s="9">
        <f t="shared" si="3"/>
        <v>65.2</v>
      </c>
      <c r="F67" s="9">
        <f t="shared" si="4"/>
        <v>69.452168374670137</v>
      </c>
      <c r="G67" s="20">
        <f t="shared" si="6"/>
        <v>-6.5217306359971375E-2</v>
      </c>
    </row>
    <row r="68" spans="2:7" x14ac:dyDescent="0.3">
      <c r="B68" s="18" t="s">
        <v>16</v>
      </c>
      <c r="C68" s="18">
        <f>$C31</f>
        <v>309.7</v>
      </c>
      <c r="D68" s="18">
        <f t="shared" si="2"/>
        <v>92.172619047619051</v>
      </c>
      <c r="E68" s="18">
        <f t="shared" si="3"/>
        <v>309.7</v>
      </c>
      <c r="F68" s="18">
        <f t="shared" si="4"/>
        <v>298.13227909559987</v>
      </c>
      <c r="G68" s="20">
        <f t="shared" si="6"/>
        <v>3.7351375216015885E-2</v>
      </c>
    </row>
    <row r="70" spans="2:7" x14ac:dyDescent="0.3">
      <c r="B70" t="s">
        <v>19</v>
      </c>
      <c r="C70" t="s">
        <v>20</v>
      </c>
      <c r="D70" t="s">
        <v>21</v>
      </c>
    </row>
    <row r="71" spans="2:7" x14ac:dyDescent="0.3">
      <c r="B71" cm="1">
        <f t="array" ref="B71:D71">LINEST(E39:E68,C39:D68)</f>
        <v>2.7829234770819404</v>
      </c>
      <c r="C71">
        <v>0.1343975899381683</v>
      </c>
      <c r="D71">
        <v>-3.6325529011913744</v>
      </c>
    </row>
    <row r="72" spans="2:7" x14ac:dyDescent="0.3">
      <c r="B72" s="35">
        <v>2.7829234770819404</v>
      </c>
      <c r="C72" s="67">
        <v>0.1343975899381683</v>
      </c>
      <c r="D72" s="35">
        <v>-3.6325529011913744</v>
      </c>
    </row>
    <row r="74" spans="2:7" x14ac:dyDescent="0.3">
      <c r="B74" s="2" t="s">
        <v>416</v>
      </c>
      <c r="C74" s="57">
        <v>0.2</v>
      </c>
    </row>
    <row r="75" spans="2:7" x14ac:dyDescent="0.3">
      <c r="B75" s="2" t="s">
        <v>415</v>
      </c>
      <c r="C75" s="57">
        <v>1</v>
      </c>
    </row>
    <row r="77" spans="2:7" x14ac:dyDescent="0.3">
      <c r="B77" t="s">
        <v>417</v>
      </c>
    </row>
    <row r="79" spans="2:7" x14ac:dyDescent="0.3">
      <c r="B79" s="2" t="s">
        <v>396</v>
      </c>
      <c r="C79" s="2" t="s">
        <v>402</v>
      </c>
      <c r="D79" s="2"/>
      <c r="F79" s="2" t="s">
        <v>397</v>
      </c>
      <c r="G79" s="2" t="s">
        <v>403</v>
      </c>
    </row>
    <row r="80" spans="2:7" x14ac:dyDescent="0.3">
      <c r="B80">
        <f>C74</f>
        <v>0.2</v>
      </c>
      <c r="C80" s="35">
        <f>B72*C74+C72</f>
        <v>0.69098228535455641</v>
      </c>
      <c r="D80" s="67"/>
      <c r="F80">
        <f>C75</f>
        <v>1</v>
      </c>
      <c r="G80" s="35">
        <f>B72*C75+C72</f>
        <v>2.9173210670201088</v>
      </c>
    </row>
  </sheetData>
  <hyperlinks>
    <hyperlink ref="C34" r:id="rId1" xr:uid="{87AED3BE-9306-41A9-9312-FA7BB9556D67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4294-E976-4C43-A3A9-D9557A9E1090}">
  <sheetPr>
    <tabColor theme="9" tint="0.59999389629810485"/>
  </sheetPr>
  <dimension ref="B1:D62"/>
  <sheetViews>
    <sheetView workbookViewId="0">
      <selection activeCell="O8" sqref="O8"/>
    </sheetView>
  </sheetViews>
  <sheetFormatPr defaultRowHeight="14.4" x14ac:dyDescent="0.3"/>
  <cols>
    <col min="2" max="2" width="14" customWidth="1"/>
    <col min="3" max="3" width="11.6640625" customWidth="1"/>
    <col min="4" max="4" width="16.21875" customWidth="1"/>
  </cols>
  <sheetData>
    <row r="1" spans="2:4" x14ac:dyDescent="0.3">
      <c r="B1" s="10" t="s">
        <v>345</v>
      </c>
    </row>
    <row r="2" spans="2:4" x14ac:dyDescent="0.3">
      <c r="B2" s="3" t="s">
        <v>325</v>
      </c>
      <c r="C2" s="2" t="s">
        <v>323</v>
      </c>
      <c r="D2" s="3" t="s">
        <v>31</v>
      </c>
    </row>
    <row r="3" spans="2:4" x14ac:dyDescent="0.3">
      <c r="B3">
        <v>96.2</v>
      </c>
      <c r="C3">
        <v>2.91</v>
      </c>
      <c r="D3" s="9">
        <f>$B3/$C3</f>
        <v>33.058419243986251</v>
      </c>
    </row>
    <row r="4" spans="2:4" x14ac:dyDescent="0.3">
      <c r="B4">
        <v>70.900000000000006</v>
      </c>
      <c r="C4">
        <v>3.83</v>
      </c>
      <c r="D4" s="9">
        <f t="shared" ref="D4:D6" si="0">$B4/$C4</f>
        <v>18.511749347258487</v>
      </c>
    </row>
    <row r="5" spans="2:4" x14ac:dyDescent="0.3">
      <c r="B5">
        <v>45.6</v>
      </c>
      <c r="C5">
        <v>5.33</v>
      </c>
      <c r="D5" s="9">
        <f t="shared" si="0"/>
        <v>8.5553470919324575</v>
      </c>
    </row>
    <row r="6" spans="2:4" x14ac:dyDescent="0.3">
      <c r="B6">
        <v>20.3</v>
      </c>
      <c r="C6">
        <v>5.94</v>
      </c>
      <c r="D6" s="9">
        <f t="shared" si="0"/>
        <v>3.4175084175084174</v>
      </c>
    </row>
    <row r="19" spans="2:4" x14ac:dyDescent="0.3">
      <c r="B19" s="10" t="s">
        <v>340</v>
      </c>
    </row>
    <row r="20" spans="2:4" x14ac:dyDescent="0.3">
      <c r="B20" s="3" t="s">
        <v>325</v>
      </c>
      <c r="C20" s="2" t="s">
        <v>323</v>
      </c>
      <c r="D20" s="3" t="s">
        <v>31</v>
      </c>
    </row>
    <row r="21" spans="2:4" x14ac:dyDescent="0.3">
      <c r="B21">
        <v>137</v>
      </c>
      <c r="C21">
        <v>3.15</v>
      </c>
      <c r="D21" s="9">
        <f>$B21/$C21</f>
        <v>43.492063492063494</v>
      </c>
    </row>
    <row r="22" spans="2:4" x14ac:dyDescent="0.3">
      <c r="B22">
        <v>101</v>
      </c>
      <c r="C22">
        <v>4.22</v>
      </c>
      <c r="D22" s="9">
        <f t="shared" ref="D22:D24" si="1">$B22/$C22</f>
        <v>23.933649289099527</v>
      </c>
    </row>
    <row r="23" spans="2:4" x14ac:dyDescent="0.3">
      <c r="B23">
        <v>64.900000000000006</v>
      </c>
      <c r="C23">
        <v>5.51</v>
      </c>
      <c r="D23" s="9">
        <f t="shared" si="1"/>
        <v>11.778584392014521</v>
      </c>
    </row>
    <row r="24" spans="2:4" x14ac:dyDescent="0.3">
      <c r="B24">
        <v>28.9</v>
      </c>
      <c r="C24">
        <v>6.28</v>
      </c>
      <c r="D24" s="9">
        <f t="shared" si="1"/>
        <v>4.6019108280254777</v>
      </c>
    </row>
    <row r="38" spans="2:4" x14ac:dyDescent="0.3">
      <c r="B38" s="10" t="s">
        <v>341</v>
      </c>
    </row>
    <row r="39" spans="2:4" x14ac:dyDescent="0.3">
      <c r="B39" s="3" t="s">
        <v>325</v>
      </c>
      <c r="C39" s="2" t="s">
        <v>323</v>
      </c>
      <c r="D39" s="3" t="s">
        <v>31</v>
      </c>
    </row>
    <row r="40" spans="2:4" x14ac:dyDescent="0.3">
      <c r="B40">
        <v>236.7</v>
      </c>
      <c r="C40">
        <v>3.14</v>
      </c>
      <c r="D40" s="9">
        <f>$B40/$C40</f>
        <v>75.382165605095537</v>
      </c>
    </row>
    <row r="41" spans="2:4" x14ac:dyDescent="0.3">
      <c r="B41">
        <v>174.4</v>
      </c>
      <c r="C41">
        <v>3.93</v>
      </c>
      <c r="D41" s="9">
        <f t="shared" ref="D41:D43" si="2">$B41/$C41</f>
        <v>44.376590330788801</v>
      </c>
    </row>
    <row r="42" spans="2:4" x14ac:dyDescent="0.3">
      <c r="B42">
        <v>112.1</v>
      </c>
      <c r="C42">
        <v>5.23</v>
      </c>
      <c r="D42" s="9">
        <f t="shared" si="2"/>
        <v>21.434034416826002</v>
      </c>
    </row>
    <row r="43" spans="2:4" x14ac:dyDescent="0.3">
      <c r="B43">
        <v>49.8</v>
      </c>
      <c r="C43">
        <v>6.01</v>
      </c>
      <c r="D43" s="9">
        <f t="shared" si="2"/>
        <v>8.2861896838602327</v>
      </c>
    </row>
    <row r="57" spans="2:4" x14ac:dyDescent="0.3">
      <c r="B57" s="10" t="s">
        <v>342</v>
      </c>
    </row>
    <row r="58" spans="2:4" x14ac:dyDescent="0.3">
      <c r="B58" s="3" t="s">
        <v>325</v>
      </c>
      <c r="C58" s="2" t="s">
        <v>323</v>
      </c>
      <c r="D58" s="3" t="s">
        <v>31</v>
      </c>
    </row>
    <row r="59" spans="2:4" x14ac:dyDescent="0.3">
      <c r="B59">
        <v>309.7</v>
      </c>
      <c r="C59">
        <v>3.36</v>
      </c>
      <c r="D59" s="9">
        <f>$B59/$C59</f>
        <v>92.172619047619051</v>
      </c>
    </row>
    <row r="60" spans="2:4" x14ac:dyDescent="0.3">
      <c r="B60">
        <v>228.2</v>
      </c>
      <c r="C60">
        <v>4.21</v>
      </c>
      <c r="D60" s="9">
        <f t="shared" ref="D60:D62" si="3">$B60/$C60</f>
        <v>54.204275534441805</v>
      </c>
    </row>
    <row r="61" spans="2:4" x14ac:dyDescent="0.3">
      <c r="B61">
        <v>146.69999999999999</v>
      </c>
      <c r="C61">
        <v>5.71</v>
      </c>
      <c r="D61" s="9">
        <f t="shared" si="3"/>
        <v>25.691768826619963</v>
      </c>
    </row>
    <row r="62" spans="2:4" x14ac:dyDescent="0.3">
      <c r="B62">
        <v>65.2</v>
      </c>
      <c r="C62">
        <v>6.52</v>
      </c>
      <c r="D62" s="9">
        <f t="shared" si="3"/>
        <v>10.000000000000002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80C4-817A-4C93-B3F9-57B3331BF866}">
  <sheetPr>
    <tabColor rgb="FF00B050"/>
  </sheetPr>
  <dimension ref="A1:K84"/>
  <sheetViews>
    <sheetView topLeftCell="A22" zoomScaleNormal="100" workbookViewId="0">
      <selection activeCell="G84" sqref="G84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11" x14ac:dyDescent="0.3">
      <c r="B1" s="10" t="s">
        <v>334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11" x14ac:dyDescent="0.3">
      <c r="B2" s="45" t="s">
        <v>251</v>
      </c>
      <c r="C2" s="9">
        <v>70.2</v>
      </c>
      <c r="D2" s="9">
        <v>5.76</v>
      </c>
      <c r="E2" s="15" t="s">
        <v>184</v>
      </c>
      <c r="F2" s="9">
        <f t="shared" ref="F2:F33" si="0">$C2/$D2</f>
        <v>12.187500000000002</v>
      </c>
      <c r="G2" s="9" t="s">
        <v>15</v>
      </c>
    </row>
    <row r="3" spans="2:11" x14ac:dyDescent="0.3">
      <c r="B3" s="46" t="s">
        <v>252</v>
      </c>
      <c r="C3" s="18">
        <v>334.2</v>
      </c>
      <c r="D3" s="18">
        <v>3.27</v>
      </c>
      <c r="E3" s="19" t="s">
        <v>184</v>
      </c>
      <c r="F3" s="18">
        <f t="shared" si="0"/>
        <v>102.20183486238531</v>
      </c>
      <c r="G3" s="18" t="s">
        <v>16</v>
      </c>
    </row>
    <row r="4" spans="2:11" x14ac:dyDescent="0.3">
      <c r="B4" s="45" t="s">
        <v>251</v>
      </c>
      <c r="C4" s="9">
        <v>81.400000000000006</v>
      </c>
      <c r="D4" s="9">
        <v>5.68</v>
      </c>
      <c r="E4" s="15" t="s">
        <v>184</v>
      </c>
      <c r="F4" s="9">
        <f t="shared" si="0"/>
        <v>14.33098591549296</v>
      </c>
      <c r="G4" s="9" t="s">
        <v>15</v>
      </c>
    </row>
    <row r="5" spans="2:11" x14ac:dyDescent="0.3">
      <c r="B5" s="46" t="s">
        <v>252</v>
      </c>
      <c r="C5" s="18">
        <v>387.5</v>
      </c>
      <c r="D5" s="18">
        <v>3.28</v>
      </c>
      <c r="E5" s="19" t="s">
        <v>184</v>
      </c>
      <c r="F5" s="18">
        <f t="shared" si="0"/>
        <v>118.14024390243902</v>
      </c>
      <c r="G5" s="18" t="s">
        <v>16</v>
      </c>
    </row>
    <row r="6" spans="2:11" x14ac:dyDescent="0.3">
      <c r="B6" s="45" t="s">
        <v>251</v>
      </c>
      <c r="C6" s="9">
        <v>96.1</v>
      </c>
      <c r="D6" s="9">
        <v>5.73</v>
      </c>
      <c r="E6" s="15" t="s">
        <v>184</v>
      </c>
      <c r="F6" s="9">
        <f t="shared" si="0"/>
        <v>16.771378708551481</v>
      </c>
      <c r="G6" s="9" t="s">
        <v>15</v>
      </c>
    </row>
    <row r="7" spans="2:11" x14ac:dyDescent="0.3">
      <c r="B7" s="46" t="s">
        <v>252</v>
      </c>
      <c r="C7" s="18">
        <v>458</v>
      </c>
      <c r="D7" s="18">
        <v>3.27</v>
      </c>
      <c r="E7" s="19" t="s">
        <v>184</v>
      </c>
      <c r="F7" s="18">
        <f t="shared" si="0"/>
        <v>140.06116207951069</v>
      </c>
      <c r="G7" s="18" t="s">
        <v>16</v>
      </c>
    </row>
    <row r="8" spans="2:11" x14ac:dyDescent="0.3">
      <c r="B8" s="45" t="s">
        <v>251</v>
      </c>
      <c r="C8" s="9">
        <v>113.4</v>
      </c>
      <c r="D8" s="9">
        <v>5.39</v>
      </c>
      <c r="E8" s="15" t="s">
        <v>184</v>
      </c>
      <c r="F8" s="9">
        <f t="shared" si="0"/>
        <v>21.038961038961041</v>
      </c>
      <c r="G8" s="9" t="s">
        <v>15</v>
      </c>
    </row>
    <row r="9" spans="2:11" x14ac:dyDescent="0.3">
      <c r="B9" s="46" t="s">
        <v>252</v>
      </c>
      <c r="C9" s="18">
        <v>540</v>
      </c>
      <c r="D9" s="18">
        <v>3.35</v>
      </c>
      <c r="E9" s="19" t="s">
        <v>184</v>
      </c>
      <c r="F9" s="18">
        <f t="shared" si="0"/>
        <v>161.19402985074626</v>
      </c>
      <c r="G9" s="18" t="s">
        <v>16</v>
      </c>
    </row>
    <row r="10" spans="2:11" x14ac:dyDescent="0.3">
      <c r="B10" s="45" t="s">
        <v>251</v>
      </c>
      <c r="C10" s="9">
        <v>122.5</v>
      </c>
      <c r="D10" s="9">
        <v>5.44</v>
      </c>
      <c r="E10" s="15" t="s">
        <v>184</v>
      </c>
      <c r="F10" s="9">
        <f t="shared" si="0"/>
        <v>22.518382352941174</v>
      </c>
      <c r="G10" s="9" t="s">
        <v>15</v>
      </c>
    </row>
    <row r="11" spans="2:11" x14ac:dyDescent="0.3">
      <c r="B11" s="46" t="s">
        <v>252</v>
      </c>
      <c r="C11" s="18">
        <v>583</v>
      </c>
      <c r="D11" s="18">
        <v>3.36</v>
      </c>
      <c r="E11" s="19" t="s">
        <v>184</v>
      </c>
      <c r="F11" s="18">
        <f t="shared" si="0"/>
        <v>173.51190476190476</v>
      </c>
      <c r="G11" s="18" t="s">
        <v>16</v>
      </c>
    </row>
    <row r="12" spans="2:11" x14ac:dyDescent="0.3">
      <c r="B12" s="45" t="s">
        <v>251</v>
      </c>
      <c r="C12" s="9">
        <v>133.69999999999999</v>
      </c>
      <c r="D12" s="9">
        <v>5.32</v>
      </c>
      <c r="E12" s="15" t="s">
        <v>184</v>
      </c>
      <c r="F12" s="9">
        <f t="shared" si="0"/>
        <v>25.131578947368418</v>
      </c>
      <c r="G12" s="9" t="s">
        <v>15</v>
      </c>
    </row>
    <row r="13" spans="2:11" x14ac:dyDescent="0.3">
      <c r="B13" s="46" t="s">
        <v>252</v>
      </c>
      <c r="C13" s="18">
        <v>636.70000000000005</v>
      </c>
      <c r="D13" s="18">
        <v>3.3</v>
      </c>
      <c r="E13" s="19" t="s">
        <v>184</v>
      </c>
      <c r="F13" s="18">
        <f t="shared" si="0"/>
        <v>192.93939393939397</v>
      </c>
      <c r="G13" s="18" t="s">
        <v>16</v>
      </c>
    </row>
    <row r="14" spans="2:11" x14ac:dyDescent="0.3">
      <c r="B14" s="45" t="s">
        <v>251</v>
      </c>
      <c r="C14" s="9">
        <v>145.30000000000001</v>
      </c>
      <c r="D14" s="9">
        <v>5.65</v>
      </c>
      <c r="E14" s="15" t="s">
        <v>184</v>
      </c>
      <c r="F14" s="9">
        <f t="shared" si="0"/>
        <v>25.716814159292035</v>
      </c>
      <c r="G14" s="9" t="s">
        <v>15</v>
      </c>
    </row>
    <row r="15" spans="2:11" x14ac:dyDescent="0.3">
      <c r="B15" s="46" t="s">
        <v>252</v>
      </c>
      <c r="C15" s="18">
        <v>691.9</v>
      </c>
      <c r="D15" s="18">
        <v>3.4</v>
      </c>
      <c r="E15" s="19" t="s">
        <v>184</v>
      </c>
      <c r="F15" s="18">
        <f t="shared" si="0"/>
        <v>203.5</v>
      </c>
      <c r="G15" s="18" t="s">
        <v>16</v>
      </c>
    </row>
    <row r="16" spans="2:11" x14ac:dyDescent="0.3">
      <c r="B16" s="45" t="s">
        <v>251</v>
      </c>
      <c r="C16" s="9">
        <v>157.4</v>
      </c>
      <c r="D16" s="9">
        <v>5.63</v>
      </c>
      <c r="E16" s="15" t="s">
        <v>184</v>
      </c>
      <c r="F16" s="9">
        <f t="shared" si="0"/>
        <v>27.957371225577266</v>
      </c>
      <c r="G16" s="9" t="s">
        <v>15</v>
      </c>
      <c r="H16" s="2" t="s">
        <v>396</v>
      </c>
      <c r="I16" s="2" t="s">
        <v>402</v>
      </c>
      <c r="J16" s="2" t="s">
        <v>397</v>
      </c>
      <c r="K16" s="2" t="s">
        <v>403</v>
      </c>
    </row>
    <row r="17" spans="2:11" x14ac:dyDescent="0.3">
      <c r="B17" s="46" t="s">
        <v>252</v>
      </c>
      <c r="C17" s="18">
        <v>750</v>
      </c>
      <c r="D17" s="18">
        <v>3.35</v>
      </c>
      <c r="E17" s="19" t="s">
        <v>184</v>
      </c>
      <c r="F17" s="18">
        <f t="shared" si="0"/>
        <v>223.88059701492537</v>
      </c>
      <c r="G17" s="18" t="s">
        <v>16</v>
      </c>
      <c r="H17" s="18">
        <f>I17/D16</f>
        <v>27.957371225577266</v>
      </c>
      <c r="I17" s="26">
        <f>K17*C16/C17</f>
        <v>157.4</v>
      </c>
      <c r="J17" s="26">
        <f>K17/D17</f>
        <v>223.88059701492537</v>
      </c>
      <c r="K17" s="26">
        <v>750</v>
      </c>
    </row>
    <row r="18" spans="2:11" x14ac:dyDescent="0.3">
      <c r="B18" s="45" t="s">
        <v>251</v>
      </c>
      <c r="C18" s="9">
        <v>173.9</v>
      </c>
      <c r="D18" s="9">
        <v>5.73</v>
      </c>
      <c r="E18" s="15" t="s">
        <v>184</v>
      </c>
      <c r="F18" s="9">
        <f t="shared" si="0"/>
        <v>30.349040139616054</v>
      </c>
      <c r="G18" s="9" t="s">
        <v>15</v>
      </c>
    </row>
    <row r="19" spans="2:11" x14ac:dyDescent="0.3">
      <c r="B19" s="46" t="s">
        <v>252</v>
      </c>
      <c r="C19" s="18">
        <v>828.2</v>
      </c>
      <c r="D19" s="18">
        <v>3.32</v>
      </c>
      <c r="E19" s="19" t="s">
        <v>184</v>
      </c>
      <c r="F19" s="18">
        <f t="shared" si="0"/>
        <v>249.45783132530124</v>
      </c>
      <c r="G19" s="18" t="s">
        <v>16</v>
      </c>
    </row>
    <row r="20" spans="2:11" x14ac:dyDescent="0.3">
      <c r="B20" s="45" t="s">
        <v>251</v>
      </c>
      <c r="C20" s="9">
        <v>186.3</v>
      </c>
      <c r="D20" s="9">
        <v>5.34</v>
      </c>
      <c r="E20" s="15" t="s">
        <v>184</v>
      </c>
      <c r="F20" s="9">
        <f t="shared" si="0"/>
        <v>34.887640449438209</v>
      </c>
      <c r="G20" s="9" t="s">
        <v>15</v>
      </c>
    </row>
    <row r="21" spans="2:11" x14ac:dyDescent="0.3">
      <c r="B21" s="46" t="s">
        <v>252</v>
      </c>
      <c r="C21" s="18">
        <v>887</v>
      </c>
      <c r="D21" s="18">
        <v>3.28</v>
      </c>
      <c r="E21" s="19" t="s">
        <v>184</v>
      </c>
      <c r="F21" s="18">
        <f t="shared" si="0"/>
        <v>270.42682926829269</v>
      </c>
      <c r="G21" s="18" t="s">
        <v>16</v>
      </c>
    </row>
    <row r="22" spans="2:11" x14ac:dyDescent="0.3">
      <c r="B22" s="45" t="s">
        <v>251</v>
      </c>
      <c r="C22" s="9">
        <v>210.6</v>
      </c>
      <c r="D22" s="9">
        <v>7.04</v>
      </c>
      <c r="E22" s="15" t="s">
        <v>184</v>
      </c>
      <c r="F22" s="9">
        <f t="shared" si="0"/>
        <v>29.914772727272727</v>
      </c>
      <c r="G22" s="9" t="s">
        <v>15</v>
      </c>
    </row>
    <row r="23" spans="2:11" x14ac:dyDescent="0.3">
      <c r="B23" s="46" t="s">
        <v>252</v>
      </c>
      <c r="C23" s="18">
        <v>1003</v>
      </c>
      <c r="D23" s="18">
        <v>3.33</v>
      </c>
      <c r="E23" s="19" t="s">
        <v>184</v>
      </c>
      <c r="F23" s="18">
        <f t="shared" si="0"/>
        <v>301.20120120120117</v>
      </c>
      <c r="G23" s="18" t="s">
        <v>16</v>
      </c>
    </row>
    <row r="24" spans="2:11" x14ac:dyDescent="0.3">
      <c r="B24" s="45" t="s">
        <v>251</v>
      </c>
      <c r="C24" s="9">
        <v>235.4</v>
      </c>
      <c r="D24" s="9">
        <v>7.1</v>
      </c>
      <c r="E24" s="15" t="s">
        <v>184</v>
      </c>
      <c r="F24" s="9">
        <f t="shared" si="0"/>
        <v>33.154929577464792</v>
      </c>
      <c r="G24" s="9" t="s">
        <v>15</v>
      </c>
    </row>
    <row r="25" spans="2:11" x14ac:dyDescent="0.3">
      <c r="B25" s="46" t="s">
        <v>252</v>
      </c>
      <c r="C25" s="18">
        <v>1121</v>
      </c>
      <c r="D25" s="18">
        <v>3.3</v>
      </c>
      <c r="E25" s="19" t="s">
        <v>184</v>
      </c>
      <c r="F25" s="18">
        <f t="shared" si="0"/>
        <v>339.69696969696969</v>
      </c>
      <c r="G25" s="18" t="s">
        <v>16</v>
      </c>
    </row>
    <row r="26" spans="2:11" x14ac:dyDescent="0.3">
      <c r="B26" s="45" t="s">
        <v>251</v>
      </c>
      <c r="C26" s="9">
        <v>263.8</v>
      </c>
      <c r="D26" s="9">
        <v>6.9</v>
      </c>
      <c r="E26" s="15" t="s">
        <v>184</v>
      </c>
      <c r="F26" s="9">
        <f t="shared" si="0"/>
        <v>38.231884057971016</v>
      </c>
      <c r="G26" s="9" t="s">
        <v>15</v>
      </c>
    </row>
    <row r="27" spans="2:11" x14ac:dyDescent="0.3">
      <c r="B27" s="46" t="s">
        <v>252</v>
      </c>
      <c r="C27" s="18">
        <v>1254.5999999999999</v>
      </c>
      <c r="D27" s="18">
        <v>3.32</v>
      </c>
      <c r="E27" s="19" t="s">
        <v>184</v>
      </c>
      <c r="F27" s="18">
        <f t="shared" si="0"/>
        <v>377.89156626506025</v>
      </c>
      <c r="G27" s="18" t="s">
        <v>16</v>
      </c>
    </row>
    <row r="28" spans="2:11" x14ac:dyDescent="0.3">
      <c r="B28" s="45" t="s">
        <v>251</v>
      </c>
      <c r="C28" s="9">
        <v>289.3</v>
      </c>
      <c r="D28" s="9">
        <v>6.85</v>
      </c>
      <c r="E28" s="15" t="s">
        <v>184</v>
      </c>
      <c r="F28" s="9">
        <f t="shared" si="0"/>
        <v>42.23357664233577</v>
      </c>
      <c r="G28" s="9" t="s">
        <v>15</v>
      </c>
    </row>
    <row r="29" spans="2:11" x14ac:dyDescent="0.3">
      <c r="B29" s="46" t="s">
        <v>252</v>
      </c>
      <c r="C29" s="18">
        <v>1376</v>
      </c>
      <c r="D29" s="18">
        <v>3.31</v>
      </c>
      <c r="E29" s="19" t="s">
        <v>184</v>
      </c>
      <c r="F29" s="18">
        <f t="shared" si="0"/>
        <v>415.70996978851963</v>
      </c>
      <c r="G29" s="18" t="s">
        <v>16</v>
      </c>
    </row>
    <row r="30" spans="2:11" x14ac:dyDescent="0.3">
      <c r="B30" s="45" t="s">
        <v>251</v>
      </c>
      <c r="C30" s="9">
        <v>311.3</v>
      </c>
      <c r="D30" s="9">
        <v>6.89</v>
      </c>
      <c r="E30" s="15" t="s">
        <v>184</v>
      </c>
      <c r="F30" s="9">
        <f t="shared" si="0"/>
        <v>45.181422351233678</v>
      </c>
      <c r="G30" s="9" t="s">
        <v>15</v>
      </c>
    </row>
    <row r="31" spans="2:11" x14ac:dyDescent="0.3">
      <c r="B31" s="46" t="s">
        <v>252</v>
      </c>
      <c r="C31" s="18">
        <v>1481</v>
      </c>
      <c r="D31" s="18">
        <v>3.22</v>
      </c>
      <c r="E31" s="19" t="s">
        <v>184</v>
      </c>
      <c r="F31" s="18">
        <f t="shared" si="0"/>
        <v>459.93788819875772</v>
      </c>
      <c r="G31" s="18" t="s">
        <v>16</v>
      </c>
    </row>
    <row r="32" spans="2:11" x14ac:dyDescent="0.3">
      <c r="B32" s="45" t="s">
        <v>251</v>
      </c>
      <c r="C32" s="9">
        <v>339.8</v>
      </c>
      <c r="D32" s="9">
        <v>7.07</v>
      </c>
      <c r="E32" s="15" t="s">
        <v>184</v>
      </c>
      <c r="F32" s="9">
        <f t="shared" si="0"/>
        <v>48.062234794908065</v>
      </c>
      <c r="G32" s="9" t="s">
        <v>15</v>
      </c>
    </row>
    <row r="33" spans="1:8" x14ac:dyDescent="0.3">
      <c r="B33" s="46" t="s">
        <v>252</v>
      </c>
      <c r="C33" s="18">
        <v>1616.9</v>
      </c>
      <c r="D33" s="18">
        <v>3.15</v>
      </c>
      <c r="E33" s="19" t="s">
        <v>184</v>
      </c>
      <c r="F33" s="18">
        <f t="shared" si="0"/>
        <v>513.30158730158735</v>
      </c>
      <c r="G33" s="18" t="s">
        <v>16</v>
      </c>
    </row>
    <row r="35" spans="1:8" x14ac:dyDescent="0.3">
      <c r="B35" t="s">
        <v>1</v>
      </c>
      <c r="C35" t="s">
        <v>4</v>
      </c>
    </row>
    <row r="36" spans="1:8" x14ac:dyDescent="0.3">
      <c r="A36" t="s">
        <v>184</v>
      </c>
      <c r="B36" t="s">
        <v>183</v>
      </c>
      <c r="C36" s="4" t="s">
        <v>182</v>
      </c>
      <c r="D36" s="4"/>
      <c r="E36" s="4"/>
      <c r="H36" t="s">
        <v>338</v>
      </c>
    </row>
    <row r="37" spans="1:8" x14ac:dyDescent="0.3">
      <c r="C37" s="4"/>
      <c r="D37" s="4"/>
      <c r="E37" s="4"/>
    </row>
    <row r="38" spans="1:8" x14ac:dyDescent="0.3">
      <c r="C38" s="4"/>
      <c r="D38" s="4"/>
    </row>
    <row r="39" spans="1:8" x14ac:dyDescent="0.3">
      <c r="E39" s="10" t="s">
        <v>18</v>
      </c>
      <c r="F39" s="10" t="s">
        <v>18</v>
      </c>
      <c r="G39" s="10" t="s">
        <v>18</v>
      </c>
    </row>
    <row r="40" spans="1:8" x14ac:dyDescent="0.3">
      <c r="B40" s="2" t="s">
        <v>13</v>
      </c>
      <c r="C40" s="2" t="s">
        <v>12</v>
      </c>
      <c r="D40" s="2" t="s">
        <v>25</v>
      </c>
      <c r="E40" s="2" t="s">
        <v>17</v>
      </c>
      <c r="F40" s="2" t="s">
        <v>22</v>
      </c>
      <c r="G40" s="2" t="s">
        <v>23</v>
      </c>
    </row>
    <row r="41" spans="1:8" x14ac:dyDescent="0.3">
      <c r="B41" s="9" t="s">
        <v>15</v>
      </c>
      <c r="C41" s="9">
        <f>$C3</f>
        <v>334.2</v>
      </c>
      <c r="D41" s="9">
        <f t="shared" ref="D41:D72" si="1">$F2</f>
        <v>12.187500000000002</v>
      </c>
      <c r="E41" s="9">
        <f t="shared" ref="E41:E72" si="2">$D41*$D2</f>
        <v>70.2</v>
      </c>
      <c r="F41" s="9">
        <f t="shared" ref="F41:F72" si="3">$B$75*$D41+$C$75*$C41+$E$75</f>
        <v>73.806413732896502</v>
      </c>
      <c r="G41" s="20">
        <f t="shared" ref="G41:G72" si="4">($E41-$F41)/$E41</f>
        <v>-5.1373414998525622E-2</v>
      </c>
    </row>
    <row r="42" spans="1:8" x14ac:dyDescent="0.3">
      <c r="B42" s="18" t="s">
        <v>16</v>
      </c>
      <c r="C42" s="18">
        <f>$C3</f>
        <v>334.2</v>
      </c>
      <c r="D42" s="18">
        <f t="shared" si="1"/>
        <v>102.20183486238531</v>
      </c>
      <c r="E42" s="18">
        <f t="shared" si="2"/>
        <v>334.2</v>
      </c>
      <c r="F42" s="18">
        <f t="shared" si="3"/>
        <v>333.52188455038487</v>
      </c>
      <c r="G42" s="20">
        <f t="shared" si="4"/>
        <v>2.0290707648567335E-3</v>
      </c>
    </row>
    <row r="43" spans="1:8" x14ac:dyDescent="0.3">
      <c r="B43" s="9" t="s">
        <v>15</v>
      </c>
      <c r="C43" s="9">
        <f>$C5</f>
        <v>387.5</v>
      </c>
      <c r="D43" s="9">
        <f t="shared" si="1"/>
        <v>14.33098591549296</v>
      </c>
      <c r="E43" s="9">
        <f t="shared" si="2"/>
        <v>81.400000000000006</v>
      </c>
      <c r="F43" s="9">
        <f t="shared" si="3"/>
        <v>86.153810957980014</v>
      </c>
      <c r="G43" s="20">
        <f t="shared" si="4"/>
        <v>-5.8400626019410415E-2</v>
      </c>
    </row>
    <row r="44" spans="1:8" x14ac:dyDescent="0.3">
      <c r="B44" s="18" t="s">
        <v>16</v>
      </c>
      <c r="C44" s="18">
        <f>$C5</f>
        <v>387.5</v>
      </c>
      <c r="D44" s="18">
        <f t="shared" si="1"/>
        <v>118.14024390243902</v>
      </c>
      <c r="E44" s="18">
        <f t="shared" si="2"/>
        <v>387.5</v>
      </c>
      <c r="F44" s="18">
        <f t="shared" si="3"/>
        <v>385.67133063428292</v>
      </c>
      <c r="G44" s="20">
        <f t="shared" si="4"/>
        <v>4.7191467502376147E-3</v>
      </c>
    </row>
    <row r="45" spans="1:8" x14ac:dyDescent="0.3">
      <c r="B45" s="9" t="s">
        <v>15</v>
      </c>
      <c r="C45" s="9">
        <f>$C7</f>
        <v>458</v>
      </c>
      <c r="D45" s="9">
        <f t="shared" si="1"/>
        <v>16.771378708551481</v>
      </c>
      <c r="E45" s="9">
        <f t="shared" si="2"/>
        <v>96.1</v>
      </c>
      <c r="F45" s="9">
        <f t="shared" si="3"/>
        <v>101.34663136957973</v>
      </c>
      <c r="G45" s="20">
        <f t="shared" si="4"/>
        <v>-5.4595539745886906E-2</v>
      </c>
    </row>
    <row r="46" spans="1:8" x14ac:dyDescent="0.3">
      <c r="B46" s="18" t="s">
        <v>16</v>
      </c>
      <c r="C46" s="18">
        <f>$C7</f>
        <v>458</v>
      </c>
      <c r="D46" s="18">
        <f t="shared" si="1"/>
        <v>140.06116207951069</v>
      </c>
      <c r="E46" s="18">
        <f t="shared" si="2"/>
        <v>458</v>
      </c>
      <c r="F46" s="18">
        <f t="shared" si="3"/>
        <v>457.07068558969559</v>
      </c>
      <c r="G46" s="20">
        <f t="shared" si="4"/>
        <v>2.0290707648567994E-3</v>
      </c>
    </row>
    <row r="47" spans="1:8" x14ac:dyDescent="0.3">
      <c r="B47" s="9" t="s">
        <v>15</v>
      </c>
      <c r="C47" s="9">
        <f>$C9</f>
        <v>540</v>
      </c>
      <c r="D47" s="9">
        <f t="shared" si="1"/>
        <v>21.038961038961041</v>
      </c>
      <c r="E47" s="9">
        <f t="shared" si="2"/>
        <v>113.4</v>
      </c>
      <c r="F47" s="9">
        <f t="shared" si="3"/>
        <v>123.14108216781541</v>
      </c>
      <c r="G47" s="20">
        <f t="shared" si="4"/>
        <v>-8.5900195483381001E-2</v>
      </c>
    </row>
    <row r="48" spans="1:8" x14ac:dyDescent="0.3">
      <c r="B48" s="18" t="s">
        <v>16</v>
      </c>
      <c r="C48" s="18">
        <f>$C9</f>
        <v>540</v>
      </c>
      <c r="D48" s="18">
        <f t="shared" si="1"/>
        <v>161.19402985074626</v>
      </c>
      <c r="E48" s="18">
        <f t="shared" si="2"/>
        <v>540</v>
      </c>
      <c r="F48" s="18">
        <f t="shared" si="3"/>
        <v>527.52600307579723</v>
      </c>
      <c r="G48" s="20">
        <f t="shared" si="4"/>
        <v>2.3099994304079195E-2</v>
      </c>
    </row>
    <row r="49" spans="2:7" x14ac:dyDescent="0.3">
      <c r="B49" s="9" t="s">
        <v>15</v>
      </c>
      <c r="C49" s="9">
        <f>$C11</f>
        <v>583</v>
      </c>
      <c r="D49" s="9">
        <f t="shared" si="1"/>
        <v>22.518382352941174</v>
      </c>
      <c r="E49" s="9">
        <f t="shared" si="2"/>
        <v>122.5</v>
      </c>
      <c r="F49" s="9">
        <f t="shared" si="3"/>
        <v>132.38152725326023</v>
      </c>
      <c r="G49" s="20">
        <f t="shared" si="4"/>
        <v>-8.0665528598042699E-2</v>
      </c>
    </row>
    <row r="50" spans="2:7" x14ac:dyDescent="0.3">
      <c r="B50" s="18" t="s">
        <v>16</v>
      </c>
      <c r="C50" s="18">
        <f>$C11</f>
        <v>583</v>
      </c>
      <c r="D50" s="18">
        <f t="shared" si="1"/>
        <v>173.51190476190476</v>
      </c>
      <c r="E50" s="18">
        <f t="shared" si="2"/>
        <v>583</v>
      </c>
      <c r="F50" s="18">
        <f t="shared" si="3"/>
        <v>568.03829039868288</v>
      </c>
      <c r="G50" s="20">
        <f t="shared" si="4"/>
        <v>2.5663309779274657E-2</v>
      </c>
    </row>
    <row r="51" spans="2:7" x14ac:dyDescent="0.3">
      <c r="B51" s="9" t="s">
        <v>15</v>
      </c>
      <c r="C51" s="9">
        <f>$C13</f>
        <v>636.70000000000005</v>
      </c>
      <c r="D51" s="9">
        <f t="shared" si="1"/>
        <v>25.131578947368418</v>
      </c>
      <c r="E51" s="9">
        <f t="shared" si="2"/>
        <v>133.69999999999999</v>
      </c>
      <c r="F51" s="9">
        <f t="shared" si="3"/>
        <v>146.13041602444611</v>
      </c>
      <c r="G51" s="20">
        <f t="shared" si="4"/>
        <v>-9.2972445956964231E-2</v>
      </c>
    </row>
    <row r="52" spans="2:7" x14ac:dyDescent="0.3">
      <c r="B52" s="18" t="s">
        <v>16</v>
      </c>
      <c r="C52" s="18">
        <f>$C13</f>
        <v>636.70000000000005</v>
      </c>
      <c r="D52" s="18">
        <f t="shared" si="1"/>
        <v>192.93939393939397</v>
      </c>
      <c r="E52" s="18">
        <f t="shared" si="2"/>
        <v>636.70000000000005</v>
      </c>
      <c r="F52" s="18">
        <f t="shared" si="3"/>
        <v>630.30091780215594</v>
      </c>
      <c r="G52" s="20">
        <f t="shared" si="4"/>
        <v>1.0050388248537944E-2</v>
      </c>
    </row>
    <row r="53" spans="2:7" x14ac:dyDescent="0.3">
      <c r="B53" s="9" t="s">
        <v>15</v>
      </c>
      <c r="C53" s="9">
        <f>$C15</f>
        <v>691.9</v>
      </c>
      <c r="D53" s="9">
        <f t="shared" si="1"/>
        <v>25.716814159292035</v>
      </c>
      <c r="E53" s="9">
        <f t="shared" si="2"/>
        <v>145.30000000000001</v>
      </c>
      <c r="F53" s="9">
        <f t="shared" si="3"/>
        <v>154.20153192757101</v>
      </c>
      <c r="G53" s="20">
        <f t="shared" si="4"/>
        <v>-6.1263124071376455E-2</v>
      </c>
    </row>
    <row r="54" spans="2:7" x14ac:dyDescent="0.3">
      <c r="B54" s="18" t="s">
        <v>16</v>
      </c>
      <c r="C54" s="18">
        <f>$C15</f>
        <v>691.9</v>
      </c>
      <c r="D54" s="18">
        <f t="shared" si="1"/>
        <v>203.5</v>
      </c>
      <c r="E54" s="18">
        <f t="shared" si="2"/>
        <v>691.9</v>
      </c>
      <c r="F54" s="18">
        <f t="shared" si="3"/>
        <v>667.15365099440896</v>
      </c>
      <c r="G54" s="20">
        <f t="shared" si="4"/>
        <v>3.5765788416810253E-2</v>
      </c>
    </row>
    <row r="55" spans="2:7" x14ac:dyDescent="0.3">
      <c r="B55" s="9" t="s">
        <v>15</v>
      </c>
      <c r="C55" s="9">
        <f>$C17</f>
        <v>750</v>
      </c>
      <c r="D55" s="9">
        <f t="shared" si="1"/>
        <v>27.957371225577266</v>
      </c>
      <c r="E55" s="9">
        <f t="shared" si="2"/>
        <v>157.4</v>
      </c>
      <c r="F55" s="9">
        <f t="shared" si="3"/>
        <v>167.38401025688779</v>
      </c>
      <c r="G55" s="20">
        <f t="shared" si="4"/>
        <v>-6.3430814846809305E-2</v>
      </c>
    </row>
    <row r="56" spans="2:7" x14ac:dyDescent="0.3">
      <c r="B56" s="18" t="s">
        <v>16</v>
      </c>
      <c r="C56" s="18">
        <f>$C17</f>
        <v>750</v>
      </c>
      <c r="D56" s="18">
        <f t="shared" si="1"/>
        <v>223.88059701492537</v>
      </c>
      <c r="E56" s="18">
        <f t="shared" si="2"/>
        <v>750</v>
      </c>
      <c r="F56" s="18">
        <f t="shared" si="3"/>
        <v>732.67500427194068</v>
      </c>
      <c r="G56" s="20">
        <f t="shared" si="4"/>
        <v>2.3099994304079094E-2</v>
      </c>
    </row>
    <row r="57" spans="2:7" x14ac:dyDescent="0.3">
      <c r="B57" s="9" t="s">
        <v>15</v>
      </c>
      <c r="C57" s="9">
        <f>$C19</f>
        <v>828.2</v>
      </c>
      <c r="D57" s="9">
        <f t="shared" si="1"/>
        <v>30.349040139616054</v>
      </c>
      <c r="E57" s="9">
        <f t="shared" si="2"/>
        <v>173.9</v>
      </c>
      <c r="F57" s="9">
        <f t="shared" si="3"/>
        <v>183.32656947087554</v>
      </c>
      <c r="G57" s="20">
        <f t="shared" si="4"/>
        <v>-5.4206839970532113E-2</v>
      </c>
    </row>
    <row r="58" spans="2:7" x14ac:dyDescent="0.3">
      <c r="B58" s="18" t="s">
        <v>16</v>
      </c>
      <c r="C58" s="18">
        <f>$C19</f>
        <v>828.2</v>
      </c>
      <c r="D58" s="18">
        <f t="shared" si="1"/>
        <v>249.45783132530124</v>
      </c>
      <c r="E58" s="18">
        <f t="shared" si="2"/>
        <v>828.2</v>
      </c>
      <c r="F58" s="18">
        <f t="shared" si="3"/>
        <v>815.51413104136611</v>
      </c>
      <c r="G58" s="20">
        <f t="shared" si="4"/>
        <v>1.5317397921557513E-2</v>
      </c>
    </row>
    <row r="59" spans="2:7" x14ac:dyDescent="0.3">
      <c r="B59" s="9" t="s">
        <v>15</v>
      </c>
      <c r="C59" s="9">
        <f>$C21</f>
        <v>887</v>
      </c>
      <c r="D59" s="9">
        <f t="shared" si="1"/>
        <v>34.887640449438209</v>
      </c>
      <c r="E59" s="9">
        <f t="shared" si="2"/>
        <v>186.30000000000004</v>
      </c>
      <c r="F59" s="9">
        <f t="shared" si="3"/>
        <v>203.22045640522896</v>
      </c>
      <c r="G59" s="20">
        <f t="shared" si="4"/>
        <v>-9.0823705878845487E-2</v>
      </c>
    </row>
    <row r="60" spans="2:7" x14ac:dyDescent="0.3">
      <c r="B60" s="18" t="s">
        <v>16</v>
      </c>
      <c r="C60" s="18">
        <f>$C21</f>
        <v>887</v>
      </c>
      <c r="D60" s="18">
        <f t="shared" si="1"/>
        <v>270.42682926829269</v>
      </c>
      <c r="E60" s="18">
        <f t="shared" si="2"/>
        <v>887</v>
      </c>
      <c r="F60" s="18">
        <f t="shared" si="3"/>
        <v>882.8141168325393</v>
      </c>
      <c r="G60" s="20">
        <f t="shared" si="4"/>
        <v>4.7191467502375444E-3</v>
      </c>
    </row>
    <row r="61" spans="2:7" x14ac:dyDescent="0.3">
      <c r="B61" s="9" t="s">
        <v>15</v>
      </c>
      <c r="C61" s="9">
        <f>$C23</f>
        <v>1003</v>
      </c>
      <c r="D61" s="9">
        <f t="shared" si="1"/>
        <v>29.914772727272727</v>
      </c>
      <c r="E61" s="9">
        <f t="shared" si="2"/>
        <v>210.6</v>
      </c>
      <c r="F61" s="9">
        <f t="shared" si="3"/>
        <v>202.28501750059152</v>
      </c>
      <c r="G61" s="20">
        <f t="shared" si="4"/>
        <v>3.9482348050372616E-2</v>
      </c>
    </row>
    <row r="62" spans="2:7" x14ac:dyDescent="0.3">
      <c r="B62" s="18" t="s">
        <v>16</v>
      </c>
      <c r="C62" s="18">
        <f>$C23</f>
        <v>1003</v>
      </c>
      <c r="D62" s="18">
        <f t="shared" si="1"/>
        <v>301.20120120120117</v>
      </c>
      <c r="E62" s="18">
        <f t="shared" si="2"/>
        <v>1002.9999999999999</v>
      </c>
      <c r="F62" s="18">
        <f t="shared" si="3"/>
        <v>985.01904097826207</v>
      </c>
      <c r="G62" s="20">
        <f t="shared" si="4"/>
        <v>1.7927177489270009E-2</v>
      </c>
    </row>
    <row r="63" spans="2:7" x14ac:dyDescent="0.3">
      <c r="B63" s="9" t="s">
        <v>15</v>
      </c>
      <c r="C63" s="9">
        <f>$C25</f>
        <v>1121</v>
      </c>
      <c r="D63" s="9">
        <f t="shared" si="1"/>
        <v>33.154929577464792</v>
      </c>
      <c r="E63" s="9">
        <f t="shared" si="2"/>
        <v>235.4</v>
      </c>
      <c r="F63" s="9">
        <f t="shared" si="3"/>
        <v>225.27760675935156</v>
      </c>
      <c r="G63" s="20">
        <f t="shared" si="4"/>
        <v>4.3000820903349404E-2</v>
      </c>
    </row>
    <row r="64" spans="2:7" x14ac:dyDescent="0.3">
      <c r="B64" s="18" t="s">
        <v>16</v>
      </c>
      <c r="C64" s="18">
        <f>$C25</f>
        <v>1121</v>
      </c>
      <c r="D64" s="18">
        <f t="shared" si="1"/>
        <v>339.69696969696969</v>
      </c>
      <c r="E64" s="18">
        <f t="shared" si="2"/>
        <v>1121</v>
      </c>
      <c r="F64" s="18">
        <f t="shared" si="3"/>
        <v>1109.7335147733888</v>
      </c>
      <c r="G64" s="20">
        <f t="shared" si="4"/>
        <v>1.0050388248538062E-2</v>
      </c>
    </row>
    <row r="65" spans="2:7" x14ac:dyDescent="0.3">
      <c r="B65" s="9" t="s">
        <v>15</v>
      </c>
      <c r="C65" s="9">
        <f>$C27</f>
        <v>1254.5999999999999</v>
      </c>
      <c r="D65" s="9">
        <f t="shared" si="1"/>
        <v>38.231884057971016</v>
      </c>
      <c r="E65" s="9">
        <f t="shared" si="2"/>
        <v>263.8</v>
      </c>
      <c r="F65" s="9">
        <f t="shared" si="3"/>
        <v>255.37361495166735</v>
      </c>
      <c r="G65" s="20">
        <f t="shared" si="4"/>
        <v>3.1942323913315626E-2</v>
      </c>
    </row>
    <row r="66" spans="2:7" x14ac:dyDescent="0.3">
      <c r="B66" s="18" t="s">
        <v>16</v>
      </c>
      <c r="C66" s="18">
        <f>$C27</f>
        <v>1254.5999999999999</v>
      </c>
      <c r="D66" s="18">
        <f t="shared" si="1"/>
        <v>377.89156626506025</v>
      </c>
      <c r="E66" s="18">
        <f t="shared" si="2"/>
        <v>1254.5999999999999</v>
      </c>
      <c r="F66" s="18">
        <f t="shared" si="3"/>
        <v>1235.3827925676137</v>
      </c>
      <c r="G66" s="20">
        <f t="shared" si="4"/>
        <v>1.5317397921557632E-2</v>
      </c>
    </row>
    <row r="67" spans="2:7" x14ac:dyDescent="0.3">
      <c r="B67" s="9" t="s">
        <v>15</v>
      </c>
      <c r="C67" s="9">
        <f>$C29</f>
        <v>1376</v>
      </c>
      <c r="D67" s="9">
        <f t="shared" si="1"/>
        <v>42.23357664233577</v>
      </c>
      <c r="E67" s="9">
        <f t="shared" si="2"/>
        <v>289.3</v>
      </c>
      <c r="F67" s="9">
        <f t="shared" si="3"/>
        <v>280.95656723858866</v>
      </c>
      <c r="G67" s="20">
        <f t="shared" si="4"/>
        <v>2.8840071764297787E-2</v>
      </c>
    </row>
    <row r="68" spans="2:7" x14ac:dyDescent="0.3">
      <c r="B68" s="18" t="s">
        <v>16</v>
      </c>
      <c r="C68" s="18">
        <f>$C29</f>
        <v>1376</v>
      </c>
      <c r="D68" s="18">
        <f t="shared" si="1"/>
        <v>415.70996978851963</v>
      </c>
      <c r="E68" s="18">
        <f t="shared" si="2"/>
        <v>1376</v>
      </c>
      <c r="F68" s="18">
        <f t="shared" si="3"/>
        <v>1358.5360153728138</v>
      </c>
      <c r="G68" s="20">
        <f t="shared" si="4"/>
        <v>1.26918492930132E-2</v>
      </c>
    </row>
    <row r="69" spans="2:7" x14ac:dyDescent="0.3">
      <c r="B69" s="9" t="s">
        <v>15</v>
      </c>
      <c r="C69" s="9">
        <f>$C31</f>
        <v>1481</v>
      </c>
      <c r="D69" s="9">
        <f t="shared" si="1"/>
        <v>45.181422351233678</v>
      </c>
      <c r="E69" s="9">
        <f t="shared" si="2"/>
        <v>311.3</v>
      </c>
      <c r="F69" s="9">
        <f t="shared" si="3"/>
        <v>301.60262246649495</v>
      </c>
      <c r="G69" s="20">
        <f t="shared" si="4"/>
        <v>3.1151228825907682E-2</v>
      </c>
    </row>
    <row r="70" spans="2:7" x14ac:dyDescent="0.3">
      <c r="B70" s="18" t="s">
        <v>16</v>
      </c>
      <c r="C70" s="18">
        <f>$C31</f>
        <v>1481</v>
      </c>
      <c r="D70" s="18">
        <f t="shared" si="1"/>
        <v>459.93788819875772</v>
      </c>
      <c r="E70" s="18">
        <f t="shared" si="2"/>
        <v>1481</v>
      </c>
      <c r="F70" s="18">
        <f t="shared" si="3"/>
        <v>1498.2861392293357</v>
      </c>
      <c r="G70" s="20">
        <f t="shared" si="4"/>
        <v>-1.1671937359443437E-2</v>
      </c>
    </row>
    <row r="71" spans="2:7" x14ac:dyDescent="0.3">
      <c r="B71" s="9" t="s">
        <v>15</v>
      </c>
      <c r="C71" s="9">
        <f>$C33</f>
        <v>1616.9</v>
      </c>
      <c r="D71" s="9">
        <f t="shared" si="1"/>
        <v>48.062234794908065</v>
      </c>
      <c r="E71" s="9">
        <f t="shared" si="2"/>
        <v>339.8</v>
      </c>
      <c r="F71" s="9">
        <f t="shared" si="3"/>
        <v>325.6281123524281</v>
      </c>
      <c r="G71" s="20">
        <f t="shared" si="4"/>
        <v>4.170655576095323E-2</v>
      </c>
    </row>
    <row r="72" spans="2:7" x14ac:dyDescent="0.3">
      <c r="B72" s="18" t="s">
        <v>16</v>
      </c>
      <c r="C72" s="18">
        <f>$C33</f>
        <v>1616.9</v>
      </c>
      <c r="D72" s="18">
        <f t="shared" si="1"/>
        <v>513.30158730158735</v>
      </c>
      <c r="E72" s="18">
        <f t="shared" si="2"/>
        <v>1616.9</v>
      </c>
      <c r="F72" s="18">
        <f t="shared" si="3"/>
        <v>1667.9682814357343</v>
      </c>
      <c r="G72" s="20">
        <f t="shared" si="4"/>
        <v>-3.1584069166759973E-2</v>
      </c>
    </row>
    <row r="74" spans="2:7" x14ac:dyDescent="0.3">
      <c r="B74" t="s">
        <v>19</v>
      </c>
      <c r="C74" t="s">
        <v>20</v>
      </c>
      <c r="D74" t="s">
        <v>21</v>
      </c>
    </row>
    <row r="75" spans="2:7" x14ac:dyDescent="0.3">
      <c r="B75" cm="1">
        <f t="array" ref="B75:D75">LINEST(E41:E72,C41:D72)</f>
        <v>2.8852678988801461</v>
      </c>
      <c r="C75">
        <v>0.11562600603020562</v>
      </c>
      <c r="D75">
        <v>1.9366315504977933</v>
      </c>
    </row>
    <row r="76" spans="2:7" x14ac:dyDescent="0.3">
      <c r="B76" s="35">
        <v>2.8852678988801461</v>
      </c>
      <c r="C76" s="67">
        <v>0.11562600603020562</v>
      </c>
      <c r="D76" s="35">
        <v>1.9366315504977933</v>
      </c>
    </row>
    <row r="78" spans="2:7" x14ac:dyDescent="0.3">
      <c r="B78" s="2" t="s">
        <v>416</v>
      </c>
      <c r="C78" s="57">
        <v>0.2</v>
      </c>
    </row>
    <row r="79" spans="2:7" x14ac:dyDescent="0.3">
      <c r="B79" s="2" t="s">
        <v>415</v>
      </c>
      <c r="C79" s="57">
        <v>1</v>
      </c>
    </row>
    <row r="81" spans="2:7" x14ac:dyDescent="0.3">
      <c r="B81" t="s">
        <v>417</v>
      </c>
    </row>
    <row r="83" spans="2:7" x14ac:dyDescent="0.3">
      <c r="B83" s="2" t="s">
        <v>418</v>
      </c>
      <c r="C83" s="2" t="s">
        <v>379</v>
      </c>
      <c r="D83" s="2"/>
      <c r="F83" s="2" t="s">
        <v>419</v>
      </c>
      <c r="G83" s="2" t="s">
        <v>381</v>
      </c>
    </row>
    <row r="84" spans="2:7" x14ac:dyDescent="0.3">
      <c r="B84">
        <f>C78</f>
        <v>0.2</v>
      </c>
      <c r="C84" s="35">
        <f>B76*C78+C76</f>
        <v>0.6926795858062349</v>
      </c>
      <c r="D84" s="67"/>
      <c r="F84">
        <f>C79</f>
        <v>1</v>
      </c>
      <c r="G84" s="8">
        <f>B76*C79+C76</f>
        <v>3.0008939049103516</v>
      </c>
    </row>
  </sheetData>
  <hyperlinks>
    <hyperlink ref="C36" r:id="rId1" xr:uid="{A40551CC-F707-4600-9F35-6C6ACC8761F2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0687-E454-468B-AACB-2DE21CE206D6}">
  <sheetPr>
    <tabColor theme="9" tint="0.59999389629810485"/>
  </sheetPr>
  <dimension ref="B1:D44"/>
  <sheetViews>
    <sheetView topLeftCell="A10" workbookViewId="0">
      <selection activeCell="R47" sqref="R47"/>
    </sheetView>
  </sheetViews>
  <sheetFormatPr defaultRowHeight="14.4" x14ac:dyDescent="0.3"/>
  <cols>
    <col min="2" max="2" width="14" customWidth="1"/>
    <col min="3" max="3" width="11.6640625" customWidth="1"/>
    <col min="4" max="4" width="16.21875" customWidth="1"/>
  </cols>
  <sheetData>
    <row r="1" spans="2:4" x14ac:dyDescent="0.3">
      <c r="B1" s="10" t="s">
        <v>335</v>
      </c>
    </row>
    <row r="2" spans="2:4" x14ac:dyDescent="0.3">
      <c r="B2" s="3" t="s">
        <v>325</v>
      </c>
      <c r="C2" s="2" t="s">
        <v>323</v>
      </c>
      <c r="D2" s="3" t="s">
        <v>31</v>
      </c>
    </row>
    <row r="3" spans="2:4" x14ac:dyDescent="0.3">
      <c r="B3">
        <v>334.2</v>
      </c>
      <c r="C3">
        <v>3.27</v>
      </c>
      <c r="D3" s="9">
        <f>$B3/$C3</f>
        <v>102.20183486238531</v>
      </c>
    </row>
    <row r="4" spans="2:4" x14ac:dyDescent="0.3">
      <c r="B4">
        <v>248.1</v>
      </c>
      <c r="C4">
        <v>3.85</v>
      </c>
      <c r="D4" s="9">
        <f t="shared" ref="D4:D6" si="0">$B4/$C4</f>
        <v>64.441558441558442</v>
      </c>
    </row>
    <row r="5" spans="2:4" x14ac:dyDescent="0.3">
      <c r="B5">
        <v>157.19999999999999</v>
      </c>
      <c r="C5">
        <v>4.42</v>
      </c>
      <c r="D5" s="9">
        <f t="shared" si="0"/>
        <v>35.565610859728508</v>
      </c>
    </row>
    <row r="6" spans="2:4" x14ac:dyDescent="0.3">
      <c r="B6">
        <v>70.2</v>
      </c>
      <c r="C6">
        <v>5.76</v>
      </c>
      <c r="D6" s="9">
        <f t="shared" si="0"/>
        <v>12.187500000000002</v>
      </c>
    </row>
    <row r="20" spans="2:4" x14ac:dyDescent="0.3">
      <c r="B20" s="10" t="s">
        <v>336</v>
      </c>
    </row>
    <row r="21" spans="2:4" x14ac:dyDescent="0.3">
      <c r="B21" s="3" t="s">
        <v>325</v>
      </c>
      <c r="C21" s="2" t="s">
        <v>323</v>
      </c>
      <c r="D21" s="3" t="s">
        <v>31</v>
      </c>
    </row>
    <row r="22" spans="2:4" x14ac:dyDescent="0.3">
      <c r="B22">
        <v>828.2</v>
      </c>
      <c r="C22">
        <v>3.32</v>
      </c>
      <c r="D22" s="9">
        <f>$B22/$C22</f>
        <v>249.45783132530124</v>
      </c>
    </row>
    <row r="23" spans="2:4" x14ac:dyDescent="0.3">
      <c r="B23">
        <v>615.20000000000005</v>
      </c>
      <c r="C23">
        <v>4.16</v>
      </c>
      <c r="D23" s="9">
        <f t="shared" ref="D23:D25" si="1">$B23/$C23</f>
        <v>147.88461538461539</v>
      </c>
    </row>
    <row r="24" spans="2:4" x14ac:dyDescent="0.3">
      <c r="B24">
        <v>389.5</v>
      </c>
      <c r="C24">
        <v>4.5999999999999996</v>
      </c>
      <c r="D24" s="9">
        <f t="shared" si="1"/>
        <v>84.673913043478265</v>
      </c>
    </row>
    <row r="25" spans="2:4" x14ac:dyDescent="0.3">
      <c r="B25">
        <v>173.9</v>
      </c>
      <c r="C25">
        <v>5.73</v>
      </c>
      <c r="D25" s="9">
        <f t="shared" si="1"/>
        <v>30.349040139616054</v>
      </c>
    </row>
    <row r="39" spans="2:4" x14ac:dyDescent="0.3">
      <c r="B39" s="10" t="s">
        <v>337</v>
      </c>
    </row>
    <row r="40" spans="2:4" x14ac:dyDescent="0.3">
      <c r="B40" s="3" t="s">
        <v>325</v>
      </c>
      <c r="C40" s="2" t="s">
        <v>323</v>
      </c>
      <c r="D40" s="3" t="s">
        <v>31</v>
      </c>
    </row>
    <row r="41" spans="2:4" x14ac:dyDescent="0.3">
      <c r="B41">
        <v>1616.9</v>
      </c>
      <c r="C41">
        <v>3.15</v>
      </c>
      <c r="D41" s="9">
        <f>$B41/$C41</f>
        <v>513.30158730158735</v>
      </c>
    </row>
    <row r="42" spans="2:4" x14ac:dyDescent="0.3">
      <c r="B42">
        <v>1201.8</v>
      </c>
      <c r="C42">
        <v>4.03</v>
      </c>
      <c r="D42" s="9">
        <f t="shared" ref="D42:D44" si="2">$B42/$C42</f>
        <v>298.21339950372203</v>
      </c>
    </row>
    <row r="43" spans="2:4" x14ac:dyDescent="0.3">
      <c r="B43">
        <v>760.5</v>
      </c>
      <c r="C43">
        <v>5.31</v>
      </c>
      <c r="D43" s="9">
        <f t="shared" si="2"/>
        <v>143.22033898305085</v>
      </c>
    </row>
    <row r="44" spans="2:4" x14ac:dyDescent="0.3">
      <c r="B44">
        <v>339.8</v>
      </c>
      <c r="C44">
        <v>7.07</v>
      </c>
      <c r="D44" s="9">
        <f t="shared" si="2"/>
        <v>48.062234794908065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2FAE-E770-47C1-8E06-5A186B726741}">
  <sheetPr codeName="Sheet34">
    <tabColor rgb="FF00B050"/>
  </sheetPr>
  <dimension ref="A1:H53"/>
  <sheetViews>
    <sheetView zoomScaleNormal="100" workbookViewId="0">
      <selection activeCell="A15" sqref="A6:XFD15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2:8" x14ac:dyDescent="0.3">
      <c r="B1" s="10" t="s">
        <v>264</v>
      </c>
      <c r="C1" s="3" t="s">
        <v>399</v>
      </c>
      <c r="D1" s="3" t="s">
        <v>158</v>
      </c>
      <c r="E1" s="2" t="s">
        <v>153</v>
      </c>
      <c r="F1" s="5" t="s">
        <v>11</v>
      </c>
      <c r="G1" s="2" t="s">
        <v>24</v>
      </c>
    </row>
    <row r="2" spans="2:8" x14ac:dyDescent="0.3">
      <c r="B2" s="45" t="s">
        <v>254</v>
      </c>
      <c r="C2" s="9">
        <f>G2*E2</f>
        <v>12.666200931470392</v>
      </c>
      <c r="D2" s="8">
        <f>1.31496062992126*$D3</f>
        <v>5.9173228346456694</v>
      </c>
      <c r="E2" s="58">
        <f>2.998/$D2</f>
        <v>0.50664803725881569</v>
      </c>
      <c r="F2" s="15" t="s">
        <v>160</v>
      </c>
      <c r="G2" s="9">
        <f>50%*G3</f>
        <v>25</v>
      </c>
      <c r="H2" s="9" t="s">
        <v>15</v>
      </c>
    </row>
    <row r="3" spans="2:8" x14ac:dyDescent="0.3">
      <c r="B3" s="46" t="s">
        <v>255</v>
      </c>
      <c r="C3" s="18">
        <f>G3*E3</f>
        <v>33.311111111111117</v>
      </c>
      <c r="D3" s="34">
        <v>4.5</v>
      </c>
      <c r="E3" s="51">
        <f>2.998/$D3</f>
        <v>0.66622222222222227</v>
      </c>
      <c r="F3" s="19" t="s">
        <v>156</v>
      </c>
      <c r="G3" s="18">
        <v>50</v>
      </c>
      <c r="H3" s="18" t="s">
        <v>16</v>
      </c>
    </row>
    <row r="4" spans="2:8" x14ac:dyDescent="0.3">
      <c r="B4" s="45" t="s">
        <v>254</v>
      </c>
      <c r="C4" s="9">
        <f t="shared" ref="C4:C17" si="0">G4*E4</f>
        <v>25.332401862940785</v>
      </c>
      <c r="D4" s="8">
        <f>1.31496062992126*$D5</f>
        <v>5.9173228346456694</v>
      </c>
      <c r="E4" s="58">
        <f t="shared" ref="E4:E17" si="1">2.998/$D4</f>
        <v>0.50664803725881569</v>
      </c>
      <c r="F4" s="15" t="s">
        <v>160</v>
      </c>
      <c r="G4" s="9">
        <f>50%*G5</f>
        <v>50</v>
      </c>
      <c r="H4" s="9" t="s">
        <v>15</v>
      </c>
    </row>
    <row r="5" spans="2:8" x14ac:dyDescent="0.3">
      <c r="B5" s="46" t="s">
        <v>255</v>
      </c>
      <c r="C5" s="18">
        <f t="shared" si="0"/>
        <v>66.622222222222234</v>
      </c>
      <c r="D5" s="34">
        <v>4.5</v>
      </c>
      <c r="E5" s="51">
        <f t="shared" si="1"/>
        <v>0.66622222222222227</v>
      </c>
      <c r="F5" s="19" t="s">
        <v>156</v>
      </c>
      <c r="G5" s="18">
        <v>100</v>
      </c>
      <c r="H5" s="18" t="s">
        <v>16</v>
      </c>
    </row>
    <row r="6" spans="2:8" x14ac:dyDescent="0.3">
      <c r="B6" s="45" t="s">
        <v>254</v>
      </c>
      <c r="C6" s="9">
        <f t="shared" si="0"/>
        <v>126.66200931470392</v>
      </c>
      <c r="D6" s="8">
        <f>1.31496062992126*$D7</f>
        <v>5.9173228346456694</v>
      </c>
      <c r="E6" s="58">
        <f t="shared" si="1"/>
        <v>0.50664803725881569</v>
      </c>
      <c r="F6" s="15" t="s">
        <v>160</v>
      </c>
      <c r="G6" s="9">
        <f>50%*G7</f>
        <v>250</v>
      </c>
      <c r="H6" s="9" t="s">
        <v>15</v>
      </c>
    </row>
    <row r="7" spans="2:8" x14ac:dyDescent="0.3">
      <c r="B7" s="46" t="s">
        <v>255</v>
      </c>
      <c r="C7" s="18">
        <f t="shared" si="0"/>
        <v>333.11111111111114</v>
      </c>
      <c r="D7" s="34">
        <v>4.5</v>
      </c>
      <c r="E7" s="51">
        <f t="shared" si="1"/>
        <v>0.66622222222222227</v>
      </c>
      <c r="F7" s="19" t="s">
        <v>156</v>
      </c>
      <c r="G7" s="18">
        <v>500</v>
      </c>
      <c r="H7" s="18" t="s">
        <v>16</v>
      </c>
    </row>
    <row r="8" spans="2:8" x14ac:dyDescent="0.3">
      <c r="B8" s="45" t="s">
        <v>254</v>
      </c>
      <c r="C8" s="9">
        <f t="shared" si="0"/>
        <v>253.32401862940785</v>
      </c>
      <c r="D8" s="8">
        <f>1.31496062992126*$D9</f>
        <v>5.9173228346456694</v>
      </c>
      <c r="E8" s="58">
        <f t="shared" si="1"/>
        <v>0.50664803725881569</v>
      </c>
      <c r="F8" s="15" t="s">
        <v>160</v>
      </c>
      <c r="G8" s="9">
        <f>50%*G9</f>
        <v>500</v>
      </c>
      <c r="H8" s="9" t="s">
        <v>15</v>
      </c>
    </row>
    <row r="9" spans="2:8" x14ac:dyDescent="0.3">
      <c r="B9" s="46" t="s">
        <v>255</v>
      </c>
      <c r="C9" s="18">
        <f t="shared" si="0"/>
        <v>666.22222222222229</v>
      </c>
      <c r="D9" s="34">
        <v>4.5</v>
      </c>
      <c r="E9" s="51">
        <f t="shared" si="1"/>
        <v>0.66622222222222227</v>
      </c>
      <c r="F9" s="19" t="s">
        <v>156</v>
      </c>
      <c r="G9" s="18">
        <v>1000</v>
      </c>
      <c r="H9" s="18" t="s">
        <v>16</v>
      </c>
    </row>
    <row r="10" spans="2:8" x14ac:dyDescent="0.3">
      <c r="B10" s="45" t="s">
        <v>254</v>
      </c>
      <c r="C10" s="9">
        <f t="shared" si="0"/>
        <v>506.64803725881569</v>
      </c>
      <c r="D10" s="8">
        <f>1.31496062992126*$D11</f>
        <v>5.9173228346456694</v>
      </c>
      <c r="E10" s="58">
        <f t="shared" si="1"/>
        <v>0.50664803725881569</v>
      </c>
      <c r="F10" s="15" t="s">
        <v>160</v>
      </c>
      <c r="G10" s="9">
        <f>50%*G11</f>
        <v>1000</v>
      </c>
      <c r="H10" s="9" t="s">
        <v>15</v>
      </c>
    </row>
    <row r="11" spans="2:8" x14ac:dyDescent="0.3">
      <c r="B11" s="46" t="s">
        <v>255</v>
      </c>
      <c r="C11" s="18">
        <f t="shared" si="0"/>
        <v>1332.4444444444446</v>
      </c>
      <c r="D11" s="34">
        <v>4.5</v>
      </c>
      <c r="E11" s="51">
        <f t="shared" si="1"/>
        <v>0.66622222222222227</v>
      </c>
      <c r="F11" s="19" t="s">
        <v>156</v>
      </c>
      <c r="G11" s="18">
        <v>2000</v>
      </c>
      <c r="H11" s="18" t="s">
        <v>16</v>
      </c>
    </row>
    <row r="12" spans="2:8" x14ac:dyDescent="0.3">
      <c r="B12" s="45" t="s">
        <v>254</v>
      </c>
      <c r="C12" s="9">
        <f t="shared" si="0"/>
        <v>1013.2960745176314</v>
      </c>
      <c r="D12" s="8">
        <f>1.31496062992126*$D13</f>
        <v>5.9173228346456694</v>
      </c>
      <c r="E12" s="58">
        <f t="shared" si="1"/>
        <v>0.50664803725881569</v>
      </c>
      <c r="F12" s="15" t="s">
        <v>160</v>
      </c>
      <c r="G12" s="9">
        <f>50%*G13</f>
        <v>2000</v>
      </c>
      <c r="H12" s="9" t="s">
        <v>15</v>
      </c>
    </row>
    <row r="13" spans="2:8" x14ac:dyDescent="0.3">
      <c r="B13" s="46" t="s">
        <v>255</v>
      </c>
      <c r="C13" s="18">
        <f t="shared" si="0"/>
        <v>2664.8888888888891</v>
      </c>
      <c r="D13" s="34">
        <v>4.5</v>
      </c>
      <c r="E13" s="51">
        <f t="shared" si="1"/>
        <v>0.66622222222222227</v>
      </c>
      <c r="F13" s="19" t="s">
        <v>156</v>
      </c>
      <c r="G13" s="18">
        <v>4000</v>
      </c>
      <c r="H13" s="18" t="s">
        <v>16</v>
      </c>
    </row>
    <row r="14" spans="2:8" x14ac:dyDescent="0.3">
      <c r="B14" s="45" t="s">
        <v>254</v>
      </c>
      <c r="C14" s="9">
        <f t="shared" si="0"/>
        <v>2651.0653112379896</v>
      </c>
      <c r="D14" s="8">
        <f>1.31496062992126*$D15</f>
        <v>5.6543307086614174</v>
      </c>
      <c r="E14" s="58">
        <f t="shared" si="1"/>
        <v>0.5302130622475979</v>
      </c>
      <c r="F14" s="15" t="s">
        <v>161</v>
      </c>
      <c r="G14" s="9">
        <f>50%*G15</f>
        <v>5000</v>
      </c>
      <c r="H14" s="9" t="s">
        <v>15</v>
      </c>
    </row>
    <row r="15" spans="2:8" x14ac:dyDescent="0.3">
      <c r="B15" s="46" t="s">
        <v>255</v>
      </c>
      <c r="C15" s="18">
        <f t="shared" si="0"/>
        <v>6972.0930232558139</v>
      </c>
      <c r="D15" s="34">
        <v>4.3</v>
      </c>
      <c r="E15" s="51">
        <f t="shared" si="1"/>
        <v>0.69720930232558143</v>
      </c>
      <c r="F15" s="19" t="s">
        <v>157</v>
      </c>
      <c r="G15" s="18">
        <v>10000</v>
      </c>
      <c r="H15" s="18" t="s">
        <v>16</v>
      </c>
    </row>
    <row r="16" spans="2:8" x14ac:dyDescent="0.3">
      <c r="B16" s="45" t="s">
        <v>254</v>
      </c>
      <c r="C16" s="9">
        <f t="shared" si="0"/>
        <v>5302.1306224759792</v>
      </c>
      <c r="D16" s="8">
        <f>1.31496062992126*$D17</f>
        <v>5.6543307086614174</v>
      </c>
      <c r="E16" s="58">
        <f t="shared" si="1"/>
        <v>0.5302130622475979</v>
      </c>
      <c r="F16" s="15" t="s">
        <v>161</v>
      </c>
      <c r="G16" s="9">
        <f>50%*G17</f>
        <v>10000</v>
      </c>
      <c r="H16" s="9" t="s">
        <v>15</v>
      </c>
    </row>
    <row r="17" spans="1:8" x14ac:dyDescent="0.3">
      <c r="B17" s="46" t="s">
        <v>255</v>
      </c>
      <c r="C17" s="18">
        <f t="shared" si="0"/>
        <v>13944.186046511628</v>
      </c>
      <c r="D17" s="34">
        <v>4.3</v>
      </c>
      <c r="E17" s="51">
        <f t="shared" si="1"/>
        <v>0.69720930232558143</v>
      </c>
      <c r="F17" s="19" t="s">
        <v>157</v>
      </c>
      <c r="G17" s="18">
        <v>20000</v>
      </c>
      <c r="H17" s="18" t="s">
        <v>16</v>
      </c>
    </row>
    <row r="19" spans="1:8" x14ac:dyDescent="0.3">
      <c r="B19" t="s">
        <v>1</v>
      </c>
      <c r="C19" t="s">
        <v>4</v>
      </c>
    </row>
    <row r="20" spans="1:8" x14ac:dyDescent="0.3">
      <c r="A20" t="s">
        <v>156</v>
      </c>
      <c r="B20" t="s">
        <v>155</v>
      </c>
      <c r="C20" s="4" t="s">
        <v>150</v>
      </c>
      <c r="D20" s="4"/>
      <c r="E20" s="4"/>
    </row>
    <row r="21" spans="1:8" x14ac:dyDescent="0.3">
      <c r="A21" t="s">
        <v>157</v>
      </c>
      <c r="B21" t="s">
        <v>154</v>
      </c>
      <c r="C21" s="4" t="s">
        <v>151</v>
      </c>
      <c r="D21" s="4"/>
      <c r="E21" s="4"/>
    </row>
    <row r="22" spans="1:8" x14ac:dyDescent="0.3">
      <c r="A22" t="s">
        <v>159</v>
      </c>
      <c r="B22" t="s">
        <v>162</v>
      </c>
      <c r="C22" s="4" t="s">
        <v>152</v>
      </c>
      <c r="D22" s="4"/>
      <c r="E22" s="4"/>
    </row>
    <row r="23" spans="1:8" x14ac:dyDescent="0.3">
      <c r="C23" s="4"/>
      <c r="D23" s="4"/>
    </row>
    <row r="24" spans="1:8" x14ac:dyDescent="0.3">
      <c r="E24" s="10" t="s">
        <v>18</v>
      </c>
      <c r="F24" s="10" t="s">
        <v>18</v>
      </c>
      <c r="G24" s="10" t="s">
        <v>18</v>
      </c>
    </row>
    <row r="25" spans="1:8" x14ac:dyDescent="0.3">
      <c r="B25" s="2" t="s">
        <v>13</v>
      </c>
      <c r="C25" s="2" t="s">
        <v>12</v>
      </c>
      <c r="D25" s="2" t="s">
        <v>25</v>
      </c>
      <c r="E25" s="2" t="s">
        <v>17</v>
      </c>
      <c r="F25" s="2" t="s">
        <v>22</v>
      </c>
      <c r="G25" s="2" t="s">
        <v>23</v>
      </c>
    </row>
    <row r="26" spans="1:8" x14ac:dyDescent="0.3">
      <c r="B26" s="9" t="s">
        <v>15</v>
      </c>
      <c r="C26" s="9">
        <f>$C3</f>
        <v>33.311111111111117</v>
      </c>
      <c r="D26" s="9">
        <f>G2</f>
        <v>25</v>
      </c>
      <c r="E26" s="9">
        <f t="shared" ref="E26:E41" si="2">$D26*$E2</f>
        <v>12.666200931470392</v>
      </c>
      <c r="F26" s="9">
        <f t="shared" ref="F26:F29" si="3">$B$44*$D26+$C$44*$C26+$E$44</f>
        <v>13.708693727645013</v>
      </c>
      <c r="G26" s="20">
        <f t="shared" ref="G26:G41" si="4">($E26-$F26)/$E26</f>
        <v>-8.2305089096166725E-2</v>
      </c>
    </row>
    <row r="27" spans="1:8" x14ac:dyDescent="0.3">
      <c r="B27" s="18" t="s">
        <v>16</v>
      </c>
      <c r="C27" s="18">
        <f>$C3</f>
        <v>33.311111111111117</v>
      </c>
      <c r="D27" s="18">
        <f>G3</f>
        <v>50</v>
      </c>
      <c r="E27" s="18">
        <f t="shared" si="2"/>
        <v>33.311111111111117</v>
      </c>
      <c r="F27" s="18">
        <f t="shared" si="3"/>
        <v>35.264912679163565</v>
      </c>
      <c r="G27" s="20">
        <f t="shared" si="4"/>
        <v>-5.8653149141000768E-2</v>
      </c>
    </row>
    <row r="28" spans="1:8" x14ac:dyDescent="0.3">
      <c r="B28" s="9" t="s">
        <v>15</v>
      </c>
      <c r="C28" s="9">
        <f t="shared" ref="C28" si="5">$C5</f>
        <v>66.622222222222234</v>
      </c>
      <c r="D28" s="9">
        <f t="shared" ref="D28:D41" si="6">G4</f>
        <v>50</v>
      </c>
      <c r="E28" s="9">
        <f t="shared" si="2"/>
        <v>25.332401862940785</v>
      </c>
      <c r="F28" s="9">
        <f t="shared" si="3"/>
        <v>27.417387455290026</v>
      </c>
      <c r="G28" s="20">
        <f t="shared" si="4"/>
        <v>-8.2305089096166725E-2</v>
      </c>
    </row>
    <row r="29" spans="1:8" x14ac:dyDescent="0.3">
      <c r="B29" s="18" t="s">
        <v>16</v>
      </c>
      <c r="C29" s="18">
        <f t="shared" ref="C29" si="7">$C5</f>
        <v>66.622222222222234</v>
      </c>
      <c r="D29" s="18">
        <f t="shared" si="6"/>
        <v>100</v>
      </c>
      <c r="E29" s="18">
        <f t="shared" si="2"/>
        <v>66.622222222222234</v>
      </c>
      <c r="F29" s="18">
        <f t="shared" si="3"/>
        <v>70.52982535832713</v>
      </c>
      <c r="G29" s="20">
        <f t="shared" si="4"/>
        <v>-5.8653149141000768E-2</v>
      </c>
    </row>
    <row r="30" spans="1:8" x14ac:dyDescent="0.3">
      <c r="B30" s="9" t="s">
        <v>15</v>
      </c>
      <c r="C30" s="9">
        <f t="shared" ref="C30" si="8">$C7</f>
        <v>333.11111111111114</v>
      </c>
      <c r="D30" s="9">
        <f t="shared" si="6"/>
        <v>250</v>
      </c>
      <c r="E30" s="9">
        <f t="shared" si="2"/>
        <v>126.66200931470392</v>
      </c>
      <c r="F30" s="9">
        <f t="shared" ref="F30:F41" si="9">$B$44*$D30+$C$44*$C30+$E$44</f>
        <v>137.0869372764501</v>
      </c>
      <c r="G30" s="20">
        <f t="shared" si="4"/>
        <v>-8.2305089096166503E-2</v>
      </c>
    </row>
    <row r="31" spans="1:8" x14ac:dyDescent="0.3">
      <c r="B31" s="18" t="s">
        <v>16</v>
      </c>
      <c r="C31" s="18">
        <f t="shared" ref="C31" si="10">$C7</f>
        <v>333.11111111111114</v>
      </c>
      <c r="D31" s="18">
        <f t="shared" si="6"/>
        <v>500</v>
      </c>
      <c r="E31" s="18">
        <f t="shared" si="2"/>
        <v>333.11111111111114</v>
      </c>
      <c r="F31" s="18">
        <f t="shared" si="9"/>
        <v>352.64912679163564</v>
      </c>
      <c r="G31" s="20">
        <f t="shared" si="4"/>
        <v>-5.8653149141000817E-2</v>
      </c>
    </row>
    <row r="32" spans="1:8" x14ac:dyDescent="0.3">
      <c r="B32" s="9" t="s">
        <v>15</v>
      </c>
      <c r="C32" s="9">
        <f t="shared" ref="C32" si="11">$C9</f>
        <v>666.22222222222229</v>
      </c>
      <c r="D32" s="9">
        <f t="shared" si="6"/>
        <v>500</v>
      </c>
      <c r="E32" s="9">
        <f t="shared" si="2"/>
        <v>253.32401862940785</v>
      </c>
      <c r="F32" s="9">
        <f t="shared" si="9"/>
        <v>274.1738745529002</v>
      </c>
      <c r="G32" s="20">
        <f t="shared" si="4"/>
        <v>-8.2305089096166503E-2</v>
      </c>
    </row>
    <row r="33" spans="2:7" x14ac:dyDescent="0.3">
      <c r="B33" s="18" t="s">
        <v>16</v>
      </c>
      <c r="C33" s="18">
        <f t="shared" ref="C33" si="12">$C9</f>
        <v>666.22222222222229</v>
      </c>
      <c r="D33" s="18">
        <f t="shared" si="6"/>
        <v>1000</v>
      </c>
      <c r="E33" s="18">
        <f t="shared" si="2"/>
        <v>666.22222222222229</v>
      </c>
      <c r="F33" s="18">
        <f t="shared" si="9"/>
        <v>705.29825358327128</v>
      </c>
      <c r="G33" s="20">
        <f t="shared" si="4"/>
        <v>-5.8653149141000817E-2</v>
      </c>
    </row>
    <row r="34" spans="2:7" x14ac:dyDescent="0.3">
      <c r="B34" s="9" t="s">
        <v>15</v>
      </c>
      <c r="C34" s="9">
        <f t="shared" ref="C34" si="13">$C11</f>
        <v>1332.4444444444446</v>
      </c>
      <c r="D34" s="9">
        <f t="shared" si="6"/>
        <v>1000</v>
      </c>
      <c r="E34" s="9">
        <f t="shared" si="2"/>
        <v>506.64803725881569</v>
      </c>
      <c r="F34" s="9">
        <f t="shared" si="9"/>
        <v>548.3477491058004</v>
      </c>
      <c r="G34" s="20">
        <f t="shared" si="4"/>
        <v>-8.2305089096166503E-2</v>
      </c>
    </row>
    <row r="35" spans="2:7" x14ac:dyDescent="0.3">
      <c r="B35" s="18" t="s">
        <v>16</v>
      </c>
      <c r="C35" s="18">
        <f t="shared" ref="C35" si="14">$C11</f>
        <v>1332.4444444444446</v>
      </c>
      <c r="D35" s="18">
        <f t="shared" si="6"/>
        <v>2000</v>
      </c>
      <c r="E35" s="18">
        <f t="shared" si="2"/>
        <v>1332.4444444444446</v>
      </c>
      <c r="F35" s="18">
        <f t="shared" si="9"/>
        <v>1410.5965071665426</v>
      </c>
      <c r="G35" s="20">
        <f t="shared" si="4"/>
        <v>-5.8653149141000817E-2</v>
      </c>
    </row>
    <row r="36" spans="2:7" x14ac:dyDescent="0.3">
      <c r="B36" s="9" t="s">
        <v>15</v>
      </c>
      <c r="C36" s="9">
        <f t="shared" ref="C36" si="15">$C13</f>
        <v>2664.8888888888891</v>
      </c>
      <c r="D36" s="9">
        <f t="shared" si="6"/>
        <v>2000</v>
      </c>
      <c r="E36" s="9">
        <f t="shared" si="2"/>
        <v>1013.2960745176314</v>
      </c>
      <c r="F36" s="9">
        <f t="shared" si="9"/>
        <v>1096.6954982116008</v>
      </c>
      <c r="G36" s="20">
        <f t="shared" si="4"/>
        <v>-8.2305089096166503E-2</v>
      </c>
    </row>
    <row r="37" spans="2:7" x14ac:dyDescent="0.3">
      <c r="B37" s="18" t="s">
        <v>16</v>
      </c>
      <c r="C37" s="18">
        <f t="shared" ref="C37" si="16">$C13</f>
        <v>2664.8888888888891</v>
      </c>
      <c r="D37" s="18">
        <f t="shared" si="6"/>
        <v>4000</v>
      </c>
      <c r="E37" s="18">
        <f t="shared" si="2"/>
        <v>2664.8888888888891</v>
      </c>
      <c r="F37" s="18">
        <f t="shared" si="9"/>
        <v>2821.1930143330851</v>
      </c>
      <c r="G37" s="20">
        <f t="shared" si="4"/>
        <v>-5.8653149141000817E-2</v>
      </c>
    </row>
    <row r="38" spans="2:7" x14ac:dyDescent="0.3">
      <c r="B38" s="9" t="s">
        <v>15</v>
      </c>
      <c r="C38" s="9">
        <f t="shared" ref="C38" si="17">$C15</f>
        <v>6972.0930232558139</v>
      </c>
      <c r="D38" s="9">
        <f t="shared" si="6"/>
        <v>5000</v>
      </c>
      <c r="E38" s="9">
        <f t="shared" si="2"/>
        <v>2651.0653112379896</v>
      </c>
      <c r="F38" s="9">
        <f t="shared" si="9"/>
        <v>2668.7385108883182</v>
      </c>
      <c r="G38" s="20">
        <f t="shared" si="4"/>
        <v>-6.6664520015448326E-3</v>
      </c>
    </row>
    <row r="39" spans="2:7" x14ac:dyDescent="0.3">
      <c r="B39" s="18" t="s">
        <v>16</v>
      </c>
      <c r="C39" s="18">
        <f t="shared" ref="C39" si="18">$C15</f>
        <v>6972.0930232558139</v>
      </c>
      <c r="D39" s="18">
        <f t="shared" si="6"/>
        <v>10000</v>
      </c>
      <c r="E39" s="18">
        <f t="shared" si="2"/>
        <v>6972.0930232558139</v>
      </c>
      <c r="F39" s="18">
        <f t="shared" si="9"/>
        <v>6979.9823011920289</v>
      </c>
      <c r="G39" s="20">
        <f t="shared" si="4"/>
        <v>-1.1315508714384375E-3</v>
      </c>
    </row>
    <row r="40" spans="2:7" x14ac:dyDescent="0.3">
      <c r="B40" s="9" t="s">
        <v>15</v>
      </c>
      <c r="C40" s="9">
        <f t="shared" ref="C40" si="19">$C17</f>
        <v>13944.186046511628</v>
      </c>
      <c r="D40" s="9">
        <f t="shared" si="6"/>
        <v>10000</v>
      </c>
      <c r="E40" s="9">
        <f t="shared" si="2"/>
        <v>5302.1306224759792</v>
      </c>
      <c r="F40" s="9">
        <f t="shared" si="9"/>
        <v>5337.4770217766363</v>
      </c>
      <c r="G40" s="20">
        <f t="shared" si="4"/>
        <v>-6.6664520015448326E-3</v>
      </c>
    </row>
    <row r="41" spans="2:7" x14ac:dyDescent="0.3">
      <c r="B41" s="18" t="s">
        <v>16</v>
      </c>
      <c r="C41" s="18">
        <f t="shared" ref="C41" si="20">$C17</f>
        <v>13944.186046511628</v>
      </c>
      <c r="D41" s="18">
        <f t="shared" si="6"/>
        <v>20000</v>
      </c>
      <c r="E41" s="18">
        <f t="shared" si="2"/>
        <v>13944.186046511628</v>
      </c>
      <c r="F41" s="18">
        <f t="shared" si="9"/>
        <v>13959.964602384058</v>
      </c>
      <c r="G41" s="20">
        <f t="shared" si="4"/>
        <v>-1.1315508714384375E-3</v>
      </c>
    </row>
    <row r="43" spans="2:7" x14ac:dyDescent="0.3">
      <c r="B43" t="s">
        <v>19</v>
      </c>
      <c r="C43" t="s">
        <v>20</v>
      </c>
      <c r="D43" t="s">
        <v>21</v>
      </c>
    </row>
    <row r="44" spans="2:7" x14ac:dyDescent="0.3">
      <c r="B44" cm="1">
        <f t="array" ref="B44:D44">LINEST(E26:E41,C26:D41)</f>
        <v>0.86224875806074219</v>
      </c>
      <c r="C44">
        <v>-0.2355828119241557</v>
      </c>
      <c r="D44">
        <v>-33.4450294053986</v>
      </c>
    </row>
    <row r="45" spans="2:7" x14ac:dyDescent="0.3">
      <c r="B45" s="67">
        <v>0.86224875806074219</v>
      </c>
      <c r="C45" s="67">
        <v>-0.2355828119241557</v>
      </c>
      <c r="D45" s="8">
        <v>-33.4450294053986</v>
      </c>
    </row>
    <row r="47" spans="2:7" x14ac:dyDescent="0.3">
      <c r="B47" s="2" t="s">
        <v>416</v>
      </c>
      <c r="C47" s="57">
        <v>0.38</v>
      </c>
    </row>
    <row r="48" spans="2:7" x14ac:dyDescent="0.3">
      <c r="B48" s="2" t="s">
        <v>415</v>
      </c>
      <c r="C48" s="57">
        <v>1</v>
      </c>
    </row>
    <row r="50" spans="2:7" x14ac:dyDescent="0.3">
      <c r="B50" t="s">
        <v>417</v>
      </c>
    </row>
    <row r="52" spans="2:7" x14ac:dyDescent="0.3">
      <c r="B52" s="2" t="s">
        <v>418</v>
      </c>
      <c r="C52" s="2" t="s">
        <v>379</v>
      </c>
      <c r="D52" s="2"/>
      <c r="F52" s="2" t="s">
        <v>419</v>
      </c>
      <c r="G52" s="2" t="s">
        <v>381</v>
      </c>
    </row>
    <row r="53" spans="2:7" x14ac:dyDescent="0.3">
      <c r="B53">
        <f>C47</f>
        <v>0.38</v>
      </c>
      <c r="C53" s="66">
        <f>B45*C47+C45</f>
        <v>9.2071716138926341E-2</v>
      </c>
      <c r="D53" s="67"/>
      <c r="F53">
        <f>C48</f>
        <v>1</v>
      </c>
      <c r="G53" s="67">
        <f>B45*C48+C45</f>
        <v>0.62666594613658644</v>
      </c>
    </row>
  </sheetData>
  <hyperlinks>
    <hyperlink ref="C20" r:id="rId1" xr:uid="{31D98AF3-8CB3-4082-B5FD-6BB66FCF051F}"/>
    <hyperlink ref="C21" r:id="rId2" xr:uid="{55ADB248-51C0-4AC9-B961-466512F3D302}"/>
    <hyperlink ref="C22" r:id="rId3" xr:uid="{6181E7ED-B1B1-454C-8657-8F336BE00A88}"/>
  </hyperlinks>
  <pageMargins left="0.7" right="0.7" top="0.75" bottom="0.75" header="0.3" footer="0.3"/>
  <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9975-D1B5-4F15-99AB-A2092A1E7226}">
  <sheetPr codeName="Sheet35">
    <tabColor theme="9" tint="0.59999389629810485"/>
  </sheetPr>
  <dimension ref="B2:I19"/>
  <sheetViews>
    <sheetView topLeftCell="A25" workbookViewId="0">
      <selection activeCell="A21" sqref="A21"/>
    </sheetView>
  </sheetViews>
  <sheetFormatPr defaultRowHeight="14.4" x14ac:dyDescent="0.3"/>
  <cols>
    <col min="2" max="2" width="26.33203125" customWidth="1"/>
    <col min="4" max="4" width="16" customWidth="1"/>
    <col min="5" max="5" width="17.33203125" customWidth="1"/>
    <col min="6" max="6" width="13" customWidth="1"/>
    <col min="7" max="7" width="16.33203125" customWidth="1"/>
    <col min="8" max="8" width="14.77734375" customWidth="1"/>
  </cols>
  <sheetData>
    <row r="2" spans="2:8" x14ac:dyDescent="0.3">
      <c r="C2" s="3" t="s">
        <v>239</v>
      </c>
      <c r="D2" s="3" t="s">
        <v>258</v>
      </c>
      <c r="E2" s="3" t="s">
        <v>259</v>
      </c>
      <c r="F2" s="3" t="s">
        <v>260</v>
      </c>
    </row>
    <row r="3" spans="2:8" x14ac:dyDescent="0.3">
      <c r="B3" s="45" t="s">
        <v>256</v>
      </c>
      <c r="C3" s="11">
        <v>0.5</v>
      </c>
      <c r="D3" s="7">
        <v>83.5</v>
      </c>
      <c r="E3" s="9">
        <f t="shared" ref="E3:E8" si="0">2.998/33.3*$D3</f>
        <v>7.5175075075075091</v>
      </c>
      <c r="F3">
        <f t="shared" ref="F3:F8" si="1">$E3/$E$8</f>
        <v>1.3149606299212599</v>
      </c>
    </row>
    <row r="4" spans="2:8" x14ac:dyDescent="0.3">
      <c r="B4" s="45" t="s">
        <v>256</v>
      </c>
      <c r="C4" s="11">
        <v>0.6</v>
      </c>
      <c r="D4" s="7">
        <v>74.5</v>
      </c>
      <c r="E4" s="9">
        <f t="shared" si="0"/>
        <v>6.707237237237238</v>
      </c>
      <c r="F4">
        <f t="shared" si="1"/>
        <v>1.1732283464566928</v>
      </c>
    </row>
    <row r="5" spans="2:8" x14ac:dyDescent="0.3">
      <c r="B5" s="45" t="s">
        <v>256</v>
      </c>
      <c r="C5" s="11">
        <v>0.7</v>
      </c>
      <c r="D5" s="7">
        <v>69.5</v>
      </c>
      <c r="E5" s="9">
        <f t="shared" si="0"/>
        <v>6.2570870870870881</v>
      </c>
      <c r="F5">
        <f t="shared" si="1"/>
        <v>1.094488188976378</v>
      </c>
    </row>
    <row r="6" spans="2:8" x14ac:dyDescent="0.3">
      <c r="B6" s="45" t="s">
        <v>256</v>
      </c>
      <c r="C6" s="11">
        <v>0.8</v>
      </c>
      <c r="D6" s="7">
        <v>66.5</v>
      </c>
      <c r="E6" s="9">
        <f t="shared" si="0"/>
        <v>5.9869969969969983</v>
      </c>
      <c r="F6">
        <f t="shared" si="1"/>
        <v>1.0472440944881891</v>
      </c>
    </row>
    <row r="7" spans="2:8" x14ac:dyDescent="0.3">
      <c r="B7" s="45" t="s">
        <v>256</v>
      </c>
      <c r="C7" s="11">
        <v>0.9</v>
      </c>
      <c r="D7" s="7">
        <v>64.5</v>
      </c>
      <c r="E7" s="9">
        <f t="shared" si="0"/>
        <v>5.8069369369369381</v>
      </c>
      <c r="F7">
        <f t="shared" si="1"/>
        <v>1.0157480314960632</v>
      </c>
    </row>
    <row r="8" spans="2:8" x14ac:dyDescent="0.3">
      <c r="B8" s="45" t="s">
        <v>257</v>
      </c>
      <c r="C8" s="11">
        <v>1</v>
      </c>
      <c r="D8" s="7">
        <v>63.5</v>
      </c>
      <c r="E8" s="9">
        <f t="shared" si="0"/>
        <v>5.7169069069069076</v>
      </c>
      <c r="F8">
        <f t="shared" si="1"/>
        <v>1</v>
      </c>
    </row>
    <row r="11" spans="2:8" x14ac:dyDescent="0.3">
      <c r="B11" s="2" t="s">
        <v>261</v>
      </c>
      <c r="C11" s="3" t="s">
        <v>239</v>
      </c>
      <c r="D11" s="3" t="s">
        <v>260</v>
      </c>
      <c r="E11" s="3" t="s">
        <v>259</v>
      </c>
      <c r="F11" s="3" t="s">
        <v>263</v>
      </c>
      <c r="G11" s="3" t="s">
        <v>253</v>
      </c>
      <c r="H11" s="3" t="s">
        <v>249</v>
      </c>
    </row>
    <row r="12" spans="2:8" x14ac:dyDescent="0.3">
      <c r="B12" s="45" t="s">
        <v>256</v>
      </c>
      <c r="C12" s="11">
        <v>0.5</v>
      </c>
      <c r="D12">
        <v>1.3149606299212599</v>
      </c>
      <c r="E12" s="9">
        <f>$E$17*$D12</f>
        <v>5.6543307086614174</v>
      </c>
      <c r="F12" s="58">
        <f t="shared" ref="F12:F17" si="2">2.998/$E12</f>
        <v>0.5302130622475979</v>
      </c>
      <c r="G12">
        <f>$G$17*$C12</f>
        <v>10000</v>
      </c>
      <c r="H12" s="9">
        <f t="shared" ref="H12:H17" si="3">$G12/$F12</f>
        <v>18860.342590598455</v>
      </c>
    </row>
    <row r="13" spans="2:8" x14ac:dyDescent="0.3">
      <c r="B13" s="45" t="s">
        <v>256</v>
      </c>
      <c r="C13" s="11">
        <v>0.6</v>
      </c>
      <c r="D13">
        <v>1.1732283464566928</v>
      </c>
      <c r="E13" s="9">
        <f>$E$17*$D13</f>
        <v>5.0448818897637793</v>
      </c>
      <c r="F13" s="58">
        <f t="shared" si="2"/>
        <v>0.59426564694865003</v>
      </c>
      <c r="G13">
        <f>$G$17*$C13</f>
        <v>12000</v>
      </c>
      <c r="H13" s="9">
        <f t="shared" si="3"/>
        <v>20192.989552089843</v>
      </c>
    </row>
    <row r="14" spans="2:8" x14ac:dyDescent="0.3">
      <c r="B14" s="45" t="s">
        <v>256</v>
      </c>
      <c r="C14" s="11">
        <v>0.7</v>
      </c>
      <c r="D14">
        <v>1.094488188976378</v>
      </c>
      <c r="E14" s="9">
        <f>$E$17*$D14</f>
        <v>4.7062992125984255</v>
      </c>
      <c r="F14" s="58">
        <f t="shared" si="2"/>
        <v>0.63701857118955996</v>
      </c>
      <c r="G14">
        <f>$G$17*$C14</f>
        <v>14000</v>
      </c>
      <c r="H14" s="9">
        <f t="shared" si="3"/>
        <v>21977.381246290177</v>
      </c>
    </row>
    <row r="15" spans="2:8" x14ac:dyDescent="0.3">
      <c r="B15" s="45" t="s">
        <v>256</v>
      </c>
      <c r="C15" s="11">
        <v>0.8</v>
      </c>
      <c r="D15">
        <v>1.0472440944881891</v>
      </c>
      <c r="E15" s="9">
        <f>$E$17*$D15</f>
        <v>4.5031496062992131</v>
      </c>
      <c r="F15" s="58">
        <f t="shared" si="2"/>
        <v>0.66575625109284842</v>
      </c>
      <c r="G15">
        <f>$G$17*$C15</f>
        <v>16000</v>
      </c>
      <c r="H15" s="9">
        <f t="shared" si="3"/>
        <v>24032.819780115879</v>
      </c>
    </row>
    <row r="16" spans="2:8" x14ac:dyDescent="0.3">
      <c r="B16" s="45" t="s">
        <v>256</v>
      </c>
      <c r="C16" s="11">
        <v>0.9</v>
      </c>
      <c r="D16">
        <v>1.0157480314960632</v>
      </c>
      <c r="E16" s="9">
        <f>$E$17*$D16</f>
        <v>4.3677165354330718</v>
      </c>
      <c r="F16" s="58">
        <f t="shared" si="2"/>
        <v>0.68639985577789786</v>
      </c>
      <c r="G16">
        <f>$G$17*$C16</f>
        <v>18000</v>
      </c>
      <c r="H16" s="9">
        <f t="shared" si="3"/>
        <v>26223.781733754266</v>
      </c>
    </row>
    <row r="17" spans="2:9" x14ac:dyDescent="0.3">
      <c r="B17" s="45" t="s">
        <v>257</v>
      </c>
      <c r="C17" s="11">
        <v>1</v>
      </c>
      <c r="D17">
        <v>1</v>
      </c>
      <c r="E17">
        <v>4.3</v>
      </c>
      <c r="F17" s="58">
        <f t="shared" si="2"/>
        <v>0.69720930232558143</v>
      </c>
      <c r="G17">
        <v>20000</v>
      </c>
      <c r="H17" s="9">
        <f t="shared" si="3"/>
        <v>28685.790527018009</v>
      </c>
    </row>
    <row r="19" spans="2:9" x14ac:dyDescent="0.3">
      <c r="I19" t="s">
        <v>265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989E-E44B-47E8-B134-8FE4B088C90A}">
  <sheetPr codeName="Sheet36">
    <tabColor rgb="FF00B050"/>
  </sheetPr>
  <dimension ref="A1:L47"/>
  <sheetViews>
    <sheetView tabSelected="1" zoomScaleNormal="100" workbookViewId="0">
      <selection activeCell="E13" sqref="E13"/>
    </sheetView>
  </sheetViews>
  <sheetFormatPr defaultRowHeight="14.4" x14ac:dyDescent="0.3"/>
  <cols>
    <col min="2" max="2" width="32.44140625" customWidth="1"/>
    <col min="3" max="4" width="15.33203125" customWidth="1"/>
    <col min="5" max="5" width="18.44140625" customWidth="1"/>
    <col min="6" max="6" width="19.77734375" customWidth="1"/>
    <col min="7" max="7" width="23" customWidth="1"/>
    <col min="8" max="8" width="14.5546875" customWidth="1"/>
    <col min="9" max="9" width="14.6640625" customWidth="1"/>
  </cols>
  <sheetData>
    <row r="1" spans="1:12" x14ac:dyDescent="0.3">
      <c r="B1" s="10" t="s">
        <v>385</v>
      </c>
      <c r="C1" s="3" t="s">
        <v>398</v>
      </c>
      <c r="D1" s="3" t="s">
        <v>171</v>
      </c>
      <c r="E1" s="2" t="s">
        <v>153</v>
      </c>
      <c r="F1" s="5" t="s">
        <v>11</v>
      </c>
      <c r="G1" s="2" t="s">
        <v>24</v>
      </c>
    </row>
    <row r="2" spans="1:12" x14ac:dyDescent="0.3">
      <c r="B2" s="45" t="s">
        <v>383</v>
      </c>
      <c r="C2" s="9">
        <f>G2*E2</f>
        <v>56.081800996735033</v>
      </c>
      <c r="D2" s="8">
        <f>1.07959183673469*$D3</f>
        <v>59.37755102040795</v>
      </c>
      <c r="E2" s="58">
        <f>33.3/$D2</f>
        <v>0.56081800996735032</v>
      </c>
      <c r="F2" s="15" t="s">
        <v>181</v>
      </c>
      <c r="G2" s="9">
        <f>10%*$G3</f>
        <v>100</v>
      </c>
      <c r="H2" s="9" t="s">
        <v>15</v>
      </c>
    </row>
    <row r="3" spans="1:12" x14ac:dyDescent="0.3">
      <c r="B3" s="46" t="s">
        <v>384</v>
      </c>
      <c r="C3" s="18">
        <f>G3*E3</f>
        <v>605.45454545454538</v>
      </c>
      <c r="D3" s="34">
        <v>55</v>
      </c>
      <c r="E3" s="51">
        <f>33.3/$D3</f>
        <v>0.60545454545454536</v>
      </c>
      <c r="F3" s="19" t="s">
        <v>167</v>
      </c>
      <c r="G3" s="18">
        <v>1000</v>
      </c>
      <c r="H3" s="18" t="s">
        <v>16</v>
      </c>
    </row>
    <row r="4" spans="1:12" x14ac:dyDescent="0.3">
      <c r="B4" s="45" t="s">
        <v>383</v>
      </c>
      <c r="C4" s="9">
        <f t="shared" ref="C4:C13" si="0">G4*E4</f>
        <v>70.875437840542901</v>
      </c>
      <c r="D4" s="8">
        <f>1.07959183673469*$D5</f>
        <v>58.729795918367131</v>
      </c>
      <c r="E4" s="58">
        <f t="shared" ref="E4:E13" si="1">33.3/$D4</f>
        <v>0.56700350272434319</v>
      </c>
      <c r="F4" s="15" t="s">
        <v>181</v>
      </c>
      <c r="G4" s="9">
        <f>10%*$G5</f>
        <v>125</v>
      </c>
      <c r="H4" s="9" t="s">
        <v>15</v>
      </c>
    </row>
    <row r="5" spans="1:12" x14ac:dyDescent="0.3">
      <c r="B5" s="46" t="s">
        <v>384</v>
      </c>
      <c r="C5" s="18">
        <f t="shared" si="0"/>
        <v>765.16544117647049</v>
      </c>
      <c r="D5" s="34">
        <v>54.4</v>
      </c>
      <c r="E5" s="51">
        <f t="shared" si="1"/>
        <v>0.61213235294117641</v>
      </c>
      <c r="F5" s="19" t="s">
        <v>172</v>
      </c>
      <c r="G5" s="18">
        <v>1250</v>
      </c>
      <c r="H5" s="18" t="s">
        <v>16</v>
      </c>
    </row>
    <row r="6" spans="1:12" x14ac:dyDescent="0.3">
      <c r="B6" s="45" t="s">
        <v>383</v>
      </c>
      <c r="C6" s="9">
        <f t="shared" si="0"/>
        <v>115.52430916930439</v>
      </c>
      <c r="D6" s="8">
        <f>1.07959183673469*$D7</f>
        <v>57.650204081632438</v>
      </c>
      <c r="E6" s="58">
        <f t="shared" si="1"/>
        <v>0.57762154584652192</v>
      </c>
      <c r="F6" s="15" t="s">
        <v>181</v>
      </c>
      <c r="G6" s="9">
        <f>10%*$G7</f>
        <v>200</v>
      </c>
      <c r="H6" s="9" t="s">
        <v>15</v>
      </c>
      <c r="I6" s="2"/>
      <c r="J6" s="2"/>
      <c r="K6" s="2"/>
      <c r="L6" s="2"/>
    </row>
    <row r="7" spans="1:12" x14ac:dyDescent="0.3">
      <c r="B7" s="46" t="s">
        <v>384</v>
      </c>
      <c r="C7" s="18">
        <f t="shared" si="0"/>
        <v>1247.1910112359551</v>
      </c>
      <c r="D7" s="34">
        <v>53.4</v>
      </c>
      <c r="E7" s="51">
        <f t="shared" si="1"/>
        <v>0.6235955056179775</v>
      </c>
      <c r="F7" s="19" t="s">
        <v>175</v>
      </c>
      <c r="G7" s="18">
        <v>2000</v>
      </c>
      <c r="H7" s="18" t="s">
        <v>16</v>
      </c>
      <c r="I7" s="9"/>
      <c r="J7" s="7"/>
      <c r="K7" s="7"/>
      <c r="L7" s="7"/>
    </row>
    <row r="8" spans="1:12" x14ac:dyDescent="0.3">
      <c r="B8" s="45" t="s">
        <v>383</v>
      </c>
      <c r="C8" s="9">
        <f t="shared" si="0"/>
        <v>144.94826385434337</v>
      </c>
      <c r="D8" s="8">
        <f>1.07959183673469*$D9</f>
        <v>57.434285714285508</v>
      </c>
      <c r="E8" s="58">
        <f t="shared" si="1"/>
        <v>0.57979305541737347</v>
      </c>
      <c r="F8" s="15" t="s">
        <v>181</v>
      </c>
      <c r="G8" s="9">
        <f>10%*$G9</f>
        <v>250</v>
      </c>
      <c r="H8" s="9" t="s">
        <v>15</v>
      </c>
    </row>
    <row r="9" spans="1:12" x14ac:dyDescent="0.3">
      <c r="B9" s="46" t="s">
        <v>384</v>
      </c>
      <c r="C9" s="18">
        <f t="shared" si="0"/>
        <v>1564.8496240601501</v>
      </c>
      <c r="D9" s="34">
        <v>53.2</v>
      </c>
      <c r="E9" s="51">
        <f t="shared" si="1"/>
        <v>0.62593984962406002</v>
      </c>
      <c r="F9" s="19" t="s">
        <v>172</v>
      </c>
      <c r="G9" s="18">
        <v>2500</v>
      </c>
      <c r="H9" s="18" t="s">
        <v>16</v>
      </c>
    </row>
    <row r="10" spans="1:12" x14ac:dyDescent="0.3">
      <c r="B10" s="45" t="s">
        <v>383</v>
      </c>
      <c r="C10" s="9">
        <f t="shared" si="0"/>
        <v>296.5864475788872</v>
      </c>
      <c r="D10" s="8">
        <f>1.07959183673469*$D11</f>
        <v>56.138775510203878</v>
      </c>
      <c r="E10" s="58">
        <f t="shared" si="1"/>
        <v>0.59317289515777438</v>
      </c>
      <c r="F10" s="15" t="s">
        <v>181</v>
      </c>
      <c r="G10" s="9">
        <f>10%*$G11</f>
        <v>500</v>
      </c>
      <c r="H10" s="9" t="s">
        <v>15</v>
      </c>
    </row>
    <row r="11" spans="1:12" x14ac:dyDescent="0.3">
      <c r="B11" s="46" t="s">
        <v>384</v>
      </c>
      <c r="C11" s="18">
        <f t="shared" si="0"/>
        <v>3201.9230769230767</v>
      </c>
      <c r="D11" s="34">
        <v>52</v>
      </c>
      <c r="E11" s="51">
        <f t="shared" si="1"/>
        <v>0.64038461538461533</v>
      </c>
      <c r="F11" s="19" t="s">
        <v>180</v>
      </c>
      <c r="G11" s="18">
        <v>5000</v>
      </c>
      <c r="H11" s="18" t="s">
        <v>16</v>
      </c>
    </row>
    <row r="12" spans="1:12" x14ac:dyDescent="0.3">
      <c r="B12" s="45" t="s">
        <v>383</v>
      </c>
      <c r="C12" s="9">
        <f t="shared" si="0"/>
        <v>1209.6074724785988</v>
      </c>
      <c r="D12" s="8">
        <f>1.07959183673469*$D13</f>
        <v>55.059183673469185</v>
      </c>
      <c r="E12" s="58">
        <f t="shared" si="1"/>
        <v>0.60480373623929939</v>
      </c>
      <c r="F12" s="15" t="s">
        <v>181</v>
      </c>
      <c r="G12" s="9">
        <f>10%*$G13</f>
        <v>2000</v>
      </c>
      <c r="H12" s="9" t="s">
        <v>15</v>
      </c>
    </row>
    <row r="13" spans="1:12" x14ac:dyDescent="0.3">
      <c r="B13" s="46" t="s">
        <v>384</v>
      </c>
      <c r="C13" s="18">
        <f t="shared" si="0"/>
        <v>13058.823529411762</v>
      </c>
      <c r="D13" s="34">
        <v>51</v>
      </c>
      <c r="E13" s="51">
        <f t="shared" si="1"/>
        <v>0.65294117647058814</v>
      </c>
      <c r="F13" s="19" t="s">
        <v>167</v>
      </c>
      <c r="G13" s="18">
        <v>20000</v>
      </c>
      <c r="H13" s="18" t="s">
        <v>16</v>
      </c>
    </row>
    <row r="15" spans="1:12" x14ac:dyDescent="0.3">
      <c r="B15" t="s">
        <v>1</v>
      </c>
      <c r="C15" t="s">
        <v>4</v>
      </c>
    </row>
    <row r="16" spans="1:12" x14ac:dyDescent="0.3">
      <c r="A16" t="s">
        <v>167</v>
      </c>
      <c r="B16" t="s">
        <v>165</v>
      </c>
      <c r="C16" s="4" t="s">
        <v>166</v>
      </c>
      <c r="D16" s="4"/>
      <c r="E16" s="4"/>
    </row>
    <row r="17" spans="1:7" x14ac:dyDescent="0.3">
      <c r="A17" t="s">
        <v>168</v>
      </c>
      <c r="B17" t="s">
        <v>169</v>
      </c>
      <c r="C17" s="4" t="s">
        <v>170</v>
      </c>
      <c r="D17" s="4"/>
      <c r="E17" s="4"/>
    </row>
    <row r="18" spans="1:7" x14ac:dyDescent="0.3">
      <c r="A18" t="s">
        <v>173</v>
      </c>
      <c r="B18" t="s">
        <v>174</v>
      </c>
      <c r="C18" s="4" t="s">
        <v>176</v>
      </c>
      <c r="D18" s="4"/>
      <c r="E18" s="4"/>
    </row>
    <row r="19" spans="1:7" x14ac:dyDescent="0.3">
      <c r="A19" t="s">
        <v>178</v>
      </c>
      <c r="B19" t="s">
        <v>177</v>
      </c>
      <c r="C19" s="4" t="s">
        <v>179</v>
      </c>
      <c r="D19" s="4"/>
      <c r="E19" s="4"/>
    </row>
    <row r="20" spans="1:7" x14ac:dyDescent="0.3">
      <c r="A20" t="s">
        <v>181</v>
      </c>
      <c r="B20" t="s">
        <v>164</v>
      </c>
      <c r="C20" s="4" t="s">
        <v>163</v>
      </c>
      <c r="D20" s="4"/>
      <c r="E20" s="4"/>
    </row>
    <row r="21" spans="1:7" x14ac:dyDescent="0.3">
      <c r="D21" s="4"/>
    </row>
    <row r="22" spans="1:7" x14ac:dyDescent="0.3">
      <c r="E22" s="10" t="s">
        <v>18</v>
      </c>
      <c r="F22" s="10" t="s">
        <v>18</v>
      </c>
      <c r="G22" s="10" t="s">
        <v>18</v>
      </c>
    </row>
    <row r="23" spans="1:7" x14ac:dyDescent="0.3">
      <c r="B23" s="2" t="s">
        <v>13</v>
      </c>
      <c r="C23" s="2" t="s">
        <v>12</v>
      </c>
      <c r="D23" s="2" t="s">
        <v>25</v>
      </c>
      <c r="E23" s="2" t="s">
        <v>17</v>
      </c>
      <c r="F23" s="2" t="s">
        <v>22</v>
      </c>
      <c r="G23" s="2" t="s">
        <v>23</v>
      </c>
    </row>
    <row r="24" spans="1:7" x14ac:dyDescent="0.3">
      <c r="B24" s="9" t="s">
        <v>15</v>
      </c>
      <c r="C24" s="9">
        <f>$C3</f>
        <v>605.45454545454538</v>
      </c>
      <c r="D24" s="9">
        <f>G2</f>
        <v>100</v>
      </c>
      <c r="E24" s="9">
        <f t="shared" ref="E24:E35" si="2">$D24*$E2</f>
        <v>56.081800996735033</v>
      </c>
      <c r="F24" s="9">
        <f t="shared" ref="F24:F35" si="3">$B$38*$D24+$C$38*$C24+$E$38</f>
        <v>63.076531196623861</v>
      </c>
      <c r="G24" s="20">
        <f t="shared" ref="G24:G35" si="4">($E24-$F24)/$E24</f>
        <v>-0.12472370850387003</v>
      </c>
    </row>
    <row r="25" spans="1:7" x14ac:dyDescent="0.3">
      <c r="B25" s="18" t="s">
        <v>16</v>
      </c>
      <c r="C25" s="18">
        <f>$C3</f>
        <v>605.45454545454538</v>
      </c>
      <c r="D25" s="18">
        <f>G3</f>
        <v>1000</v>
      </c>
      <c r="E25" s="18">
        <f t="shared" si="2"/>
        <v>605.45454545454538</v>
      </c>
      <c r="F25" s="18">
        <f t="shared" si="3"/>
        <v>654.06035431609519</v>
      </c>
      <c r="G25" s="20">
        <f t="shared" si="4"/>
        <v>-8.0279864486043226E-2</v>
      </c>
    </row>
    <row r="26" spans="1:7" x14ac:dyDescent="0.3">
      <c r="B26" s="9" t="s">
        <v>15</v>
      </c>
      <c r="C26" s="9">
        <f t="shared" ref="C26" si="5">$C5</f>
        <v>765.16544117647049</v>
      </c>
      <c r="D26" s="9">
        <f t="shared" ref="D26:D35" si="6">G4</f>
        <v>125</v>
      </c>
      <c r="E26" s="9">
        <f t="shared" si="2"/>
        <v>70.875437840542901</v>
      </c>
      <c r="F26" s="9">
        <f t="shared" si="3"/>
        <v>78.809979188258609</v>
      </c>
      <c r="G26" s="20">
        <f t="shared" si="4"/>
        <v>-0.11195050908280822</v>
      </c>
    </row>
    <row r="27" spans="1:7" x14ac:dyDescent="0.3">
      <c r="B27" s="18" t="s">
        <v>16</v>
      </c>
      <c r="C27" s="18">
        <f t="shared" ref="C27" si="7">$C5</f>
        <v>765.16544117647049</v>
      </c>
      <c r="D27" s="18">
        <f t="shared" si="6"/>
        <v>1250</v>
      </c>
      <c r="E27" s="18">
        <f t="shared" si="2"/>
        <v>765.16544117647049</v>
      </c>
      <c r="F27" s="18">
        <f t="shared" si="3"/>
        <v>817.53975808759776</v>
      </c>
      <c r="G27" s="20">
        <f t="shared" si="4"/>
        <v>-6.8448356515683456E-2</v>
      </c>
    </row>
    <row r="28" spans="1:7" x14ac:dyDescent="0.3">
      <c r="B28" s="9" t="s">
        <v>15</v>
      </c>
      <c r="C28" s="9">
        <f t="shared" ref="C28" si="8">$C7</f>
        <v>1247.1910112359551</v>
      </c>
      <c r="D28" s="9">
        <f t="shared" si="6"/>
        <v>200</v>
      </c>
      <c r="E28" s="9">
        <f t="shared" si="2"/>
        <v>115.52430916930439</v>
      </c>
      <c r="F28" s="9">
        <f t="shared" si="3"/>
        <v>125.9979559939145</v>
      </c>
      <c r="G28" s="20">
        <f t="shared" si="4"/>
        <v>-9.0661843381038235E-2</v>
      </c>
    </row>
    <row r="29" spans="1:7" x14ac:dyDescent="0.3">
      <c r="B29" s="18" t="s">
        <v>16</v>
      </c>
      <c r="C29" s="18">
        <f t="shared" ref="C29" si="9">$C7</f>
        <v>1247.1910112359551</v>
      </c>
      <c r="D29" s="18">
        <f t="shared" si="6"/>
        <v>2000</v>
      </c>
      <c r="E29" s="18">
        <f t="shared" si="2"/>
        <v>1247.1910112359551</v>
      </c>
      <c r="F29" s="18">
        <f t="shared" si="3"/>
        <v>1307.9656022328572</v>
      </c>
      <c r="G29" s="20">
        <f t="shared" si="4"/>
        <v>-4.8729176565083694E-2</v>
      </c>
    </row>
    <row r="30" spans="1:7" x14ac:dyDescent="0.3">
      <c r="B30" s="9" t="s">
        <v>15</v>
      </c>
      <c r="C30" s="9">
        <f t="shared" ref="C30" si="10">$C9</f>
        <v>1564.8496240601501</v>
      </c>
      <c r="D30" s="9">
        <f t="shared" si="6"/>
        <v>250</v>
      </c>
      <c r="E30" s="9">
        <f t="shared" si="2"/>
        <v>144.94826385434337</v>
      </c>
      <c r="F30" s="9">
        <f t="shared" si="3"/>
        <v>157.47238962360987</v>
      </c>
      <c r="G30" s="20">
        <f t="shared" si="4"/>
        <v>-8.6404110240684465E-2</v>
      </c>
    </row>
    <row r="31" spans="1:7" x14ac:dyDescent="0.3">
      <c r="B31" s="18" t="s">
        <v>16</v>
      </c>
      <c r="C31" s="18">
        <f t="shared" ref="C31" si="11">$C9</f>
        <v>1564.8496240601501</v>
      </c>
      <c r="D31" s="18">
        <f t="shared" si="6"/>
        <v>2500</v>
      </c>
      <c r="E31" s="18">
        <f t="shared" si="2"/>
        <v>1564.8496240601501</v>
      </c>
      <c r="F31" s="18">
        <f t="shared" si="3"/>
        <v>1634.9319474222882</v>
      </c>
      <c r="G31" s="20">
        <f t="shared" si="4"/>
        <v>-4.4785340574963965E-2</v>
      </c>
    </row>
    <row r="32" spans="1:7" x14ac:dyDescent="0.3">
      <c r="B32" s="9" t="s">
        <v>15</v>
      </c>
      <c r="C32" s="9">
        <f t="shared" ref="C32" si="12">$C11</f>
        <v>3201.9230769230767</v>
      </c>
      <c r="D32" s="9">
        <f t="shared" si="6"/>
        <v>500</v>
      </c>
      <c r="E32" s="9">
        <f t="shared" si="2"/>
        <v>296.5864475788872</v>
      </c>
      <c r="F32" s="9">
        <f t="shared" si="3"/>
        <v>314.63602001036753</v>
      </c>
      <c r="G32" s="20">
        <f t="shared" si="4"/>
        <v>-6.0857711398560901E-2</v>
      </c>
    </row>
    <row r="33" spans="2:7" x14ac:dyDescent="0.3">
      <c r="B33" s="18" t="s">
        <v>16</v>
      </c>
      <c r="C33" s="18">
        <f t="shared" ref="C33" si="13">$C11</f>
        <v>3201.9230769230767</v>
      </c>
      <c r="D33" s="18">
        <f t="shared" si="6"/>
        <v>5000</v>
      </c>
      <c r="E33" s="18">
        <f t="shared" si="2"/>
        <v>3201.9230769230767</v>
      </c>
      <c r="F33" s="18">
        <f t="shared" si="3"/>
        <v>3269.5551356077244</v>
      </c>
      <c r="G33" s="20">
        <f t="shared" si="4"/>
        <v>-2.1122324634244342E-2</v>
      </c>
    </row>
    <row r="34" spans="2:7" x14ac:dyDescent="0.3">
      <c r="B34" s="9" t="s">
        <v>15</v>
      </c>
      <c r="C34" s="9">
        <f t="shared" ref="C34" si="14">$C13</f>
        <v>13058.823529411762</v>
      </c>
      <c r="D34" s="9">
        <f t="shared" si="6"/>
        <v>2000</v>
      </c>
      <c r="E34" s="9">
        <f t="shared" si="2"/>
        <v>1209.6074724785988</v>
      </c>
      <c r="F34" s="9">
        <f t="shared" si="3"/>
        <v>1257.4704858322843</v>
      </c>
      <c r="G34" s="20">
        <f t="shared" si="4"/>
        <v>-3.9569045696791032E-2</v>
      </c>
    </row>
    <row r="35" spans="2:7" x14ac:dyDescent="0.3">
      <c r="B35" s="18" t="s">
        <v>16</v>
      </c>
      <c r="C35" s="18">
        <f t="shared" ref="C35" si="15">$C13</f>
        <v>13058.823529411762</v>
      </c>
      <c r="D35" s="18">
        <f t="shared" si="6"/>
        <v>20000</v>
      </c>
      <c r="E35" s="18">
        <f t="shared" si="2"/>
        <v>13058.823529411762</v>
      </c>
      <c r="F35" s="18">
        <f t="shared" si="3"/>
        <v>13077.146948221711</v>
      </c>
      <c r="G35" s="20">
        <f t="shared" si="4"/>
        <v>-1.4031446836447155E-3</v>
      </c>
    </row>
    <row r="37" spans="2:7" x14ac:dyDescent="0.3">
      <c r="B37" t="s">
        <v>19</v>
      </c>
      <c r="C37" t="s">
        <v>20</v>
      </c>
      <c r="D37" t="s">
        <v>21</v>
      </c>
    </row>
    <row r="38" spans="2:7" x14ac:dyDescent="0.3">
      <c r="B38" cm="1">
        <f t="array" ref="B38:D38">LINEST(E24:E35,C24:D35)</f>
        <v>0.65664869235496814</v>
      </c>
      <c r="C38">
        <v>-4.2750327969373067E-3</v>
      </c>
      <c r="D38">
        <v>-35.136012296079798</v>
      </c>
    </row>
    <row r="39" spans="2:7" x14ac:dyDescent="0.3">
      <c r="B39" s="67">
        <v>0.65664869235496814</v>
      </c>
      <c r="C39" s="65">
        <v>-4.2750327969373067E-3</v>
      </c>
      <c r="D39" s="8">
        <v>-35.136012296079798</v>
      </c>
    </row>
    <row r="41" spans="2:7" x14ac:dyDescent="0.3">
      <c r="B41" s="2" t="s">
        <v>416</v>
      </c>
      <c r="C41" s="57">
        <v>0.1</v>
      </c>
    </row>
    <row r="42" spans="2:7" x14ac:dyDescent="0.3">
      <c r="B42" s="2" t="s">
        <v>415</v>
      </c>
      <c r="C42" s="57">
        <v>1</v>
      </c>
    </row>
    <row r="44" spans="2:7" x14ac:dyDescent="0.3">
      <c r="B44" t="s">
        <v>417</v>
      </c>
    </row>
    <row r="46" spans="2:7" x14ac:dyDescent="0.3">
      <c r="B46" s="2" t="s">
        <v>418</v>
      </c>
      <c r="C46" s="2" t="s">
        <v>379</v>
      </c>
      <c r="D46" s="2"/>
      <c r="F46" s="2" t="s">
        <v>419</v>
      </c>
      <c r="G46" s="2" t="s">
        <v>381</v>
      </c>
    </row>
    <row r="47" spans="2:7" x14ac:dyDescent="0.3">
      <c r="B47">
        <f>C41</f>
        <v>0.1</v>
      </c>
      <c r="C47" s="66">
        <f>B39*C41+C39</f>
        <v>6.1389836438559511E-2</v>
      </c>
      <c r="D47" s="67"/>
      <c r="F47">
        <f>C42</f>
        <v>1</v>
      </c>
      <c r="G47" s="67">
        <f>B39*C42+C39</f>
        <v>0.65237365955803084</v>
      </c>
    </row>
  </sheetData>
  <hyperlinks>
    <hyperlink ref="C16" r:id="rId1" xr:uid="{F200C90C-B18A-4EF9-8C08-3C9E5CCAF4EE}"/>
    <hyperlink ref="C18" r:id="rId2" xr:uid="{6190125E-3D95-4569-873D-1E189EF9C0EC}"/>
  </hyperlinks>
  <pageMargins left="0.7" right="0.7" top="0.75" bottom="0.75" header="0.3" footer="0.3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283B-486B-4160-9716-A17E107C705E}">
  <sheetPr codeName="Sheet37">
    <tabColor theme="9" tint="0.59999389629810485"/>
  </sheetPr>
  <dimension ref="B2:H25"/>
  <sheetViews>
    <sheetView topLeftCell="A4" workbookViewId="0">
      <selection activeCell="G25" sqref="G25"/>
    </sheetView>
  </sheetViews>
  <sheetFormatPr defaultRowHeight="14.4" x14ac:dyDescent="0.3"/>
  <cols>
    <col min="2" max="2" width="26.33203125" customWidth="1"/>
    <col min="4" max="4" width="16" customWidth="1"/>
    <col min="5" max="5" width="17.33203125" customWidth="1"/>
    <col min="6" max="6" width="13" customWidth="1"/>
    <col min="7" max="7" width="16.33203125" customWidth="1"/>
    <col min="8" max="8" width="14.77734375" customWidth="1"/>
  </cols>
  <sheetData>
    <row r="2" spans="2:8" x14ac:dyDescent="0.3">
      <c r="C2" s="3" t="s">
        <v>239</v>
      </c>
      <c r="D2" s="3" t="s">
        <v>258</v>
      </c>
      <c r="E2" s="3" t="s">
        <v>259</v>
      </c>
      <c r="F2" s="3" t="s">
        <v>260</v>
      </c>
    </row>
    <row r="3" spans="2:8" x14ac:dyDescent="0.3">
      <c r="B3" s="45" t="s">
        <v>256</v>
      </c>
      <c r="C3" s="11">
        <v>0.1</v>
      </c>
      <c r="D3" s="9">
        <f>33.3/2.998*$E3</f>
        <v>58.758172114743154</v>
      </c>
      <c r="E3" s="9">
        <v>5.29</v>
      </c>
      <c r="F3">
        <f>$E3/$E$12</f>
        <v>1.0795918367346937</v>
      </c>
    </row>
    <row r="4" spans="2:8" x14ac:dyDescent="0.3">
      <c r="B4" s="45" t="s">
        <v>256</v>
      </c>
      <c r="C4" s="11">
        <v>0.2</v>
      </c>
      <c r="D4" s="9">
        <f t="shared" ref="D4:D12" si="0">33.3/2.998*$E4</f>
        <v>52.87124749833221</v>
      </c>
      <c r="E4" s="9">
        <v>4.76</v>
      </c>
      <c r="F4">
        <f t="shared" ref="F4:F11" si="1">$E4/$E$12</f>
        <v>0.97142857142857131</v>
      </c>
    </row>
    <row r="5" spans="2:8" x14ac:dyDescent="0.3">
      <c r="B5" s="45" t="s">
        <v>256</v>
      </c>
      <c r="C5" s="11">
        <v>0.3</v>
      </c>
      <c r="D5" s="9">
        <f t="shared" si="0"/>
        <v>51.427284856571035</v>
      </c>
      <c r="E5" s="9">
        <v>4.63</v>
      </c>
      <c r="F5">
        <f t="shared" si="1"/>
        <v>0.94489795918367336</v>
      </c>
    </row>
    <row r="6" spans="2:8" x14ac:dyDescent="0.3">
      <c r="B6" s="45" t="s">
        <v>256</v>
      </c>
      <c r="C6" s="11">
        <v>0.4</v>
      </c>
      <c r="D6" s="9">
        <f t="shared" si="0"/>
        <v>51.205136757838552</v>
      </c>
      <c r="E6" s="9">
        <v>4.6100000000000003</v>
      </c>
      <c r="F6">
        <f t="shared" si="1"/>
        <v>0.9408163265306122</v>
      </c>
    </row>
    <row r="7" spans="2:8" x14ac:dyDescent="0.3">
      <c r="B7" s="45" t="s">
        <v>256</v>
      </c>
      <c r="C7" s="11">
        <v>0.5</v>
      </c>
      <c r="D7" s="9">
        <f t="shared" si="0"/>
        <v>51.427284856571035</v>
      </c>
      <c r="E7" s="9">
        <v>4.63</v>
      </c>
      <c r="F7">
        <f t="shared" si="1"/>
        <v>0.94489795918367336</v>
      </c>
    </row>
    <row r="8" spans="2:8" x14ac:dyDescent="0.3">
      <c r="B8" s="45" t="s">
        <v>256</v>
      </c>
      <c r="C8" s="11">
        <v>0.6</v>
      </c>
      <c r="D8" s="9">
        <f t="shared" si="0"/>
        <v>51.871581054036014</v>
      </c>
      <c r="E8" s="9">
        <v>4.67</v>
      </c>
      <c r="F8">
        <f t="shared" si="1"/>
        <v>0.9530612244897958</v>
      </c>
    </row>
    <row r="9" spans="2:8" x14ac:dyDescent="0.3">
      <c r="B9" s="45" t="s">
        <v>256</v>
      </c>
      <c r="C9" s="11">
        <v>0.7</v>
      </c>
      <c r="D9" s="9">
        <f t="shared" si="0"/>
        <v>52.426951300867231</v>
      </c>
      <c r="E9" s="9">
        <v>4.72</v>
      </c>
      <c r="F9">
        <f t="shared" si="1"/>
        <v>0.96326530612244887</v>
      </c>
    </row>
    <row r="10" spans="2:8" x14ac:dyDescent="0.3">
      <c r="B10" s="45" t="s">
        <v>256</v>
      </c>
      <c r="C10" s="11">
        <v>0.8</v>
      </c>
      <c r="D10" s="9">
        <f t="shared" si="0"/>
        <v>53.093395597064706</v>
      </c>
      <c r="E10" s="9">
        <v>4.78</v>
      </c>
      <c r="F10">
        <f t="shared" si="1"/>
        <v>0.97551020408163258</v>
      </c>
    </row>
    <row r="11" spans="2:8" x14ac:dyDescent="0.3">
      <c r="B11" s="45" t="s">
        <v>256</v>
      </c>
      <c r="C11" s="11">
        <v>0.9</v>
      </c>
      <c r="D11" s="9">
        <f t="shared" si="0"/>
        <v>53.870913942628405</v>
      </c>
      <c r="E11" s="9">
        <v>4.8499999999999996</v>
      </c>
      <c r="F11">
        <f t="shared" si="1"/>
        <v>0.98979591836734682</v>
      </c>
    </row>
    <row r="12" spans="2:8" x14ac:dyDescent="0.3">
      <c r="B12" s="45" t="s">
        <v>257</v>
      </c>
      <c r="C12" s="11">
        <v>1</v>
      </c>
      <c r="D12" s="9">
        <f t="shared" si="0"/>
        <v>54.426284189459636</v>
      </c>
      <c r="E12" s="9">
        <v>4.9000000000000004</v>
      </c>
      <c r="F12">
        <f>$E12/$E$12</f>
        <v>1</v>
      </c>
    </row>
    <row r="15" spans="2:8" x14ac:dyDescent="0.3">
      <c r="B15" s="2" t="s">
        <v>261</v>
      </c>
      <c r="C15" s="3" t="s">
        <v>239</v>
      </c>
      <c r="D15" s="3" t="s">
        <v>260</v>
      </c>
      <c r="E15" s="3" t="s">
        <v>259</v>
      </c>
      <c r="F15" s="3" t="s">
        <v>263</v>
      </c>
      <c r="G15" s="3" t="s">
        <v>253</v>
      </c>
      <c r="H15" s="3" t="s">
        <v>249</v>
      </c>
    </row>
    <row r="16" spans="2:8" x14ac:dyDescent="0.3">
      <c r="B16" s="45" t="s">
        <v>256</v>
      </c>
      <c r="C16" s="11">
        <v>0.1</v>
      </c>
      <c r="D16">
        <v>1.0795918367346937</v>
      </c>
      <c r="E16" s="9">
        <f>$E$25*$D16</f>
        <v>4.6422448979591824</v>
      </c>
      <c r="F16" s="58">
        <f>2.998/$E16</f>
        <v>0.64580823844902646</v>
      </c>
      <c r="G16">
        <f>$G$25*$C16</f>
        <v>2000</v>
      </c>
      <c r="H16" s="9">
        <f>$G16/$F16</f>
        <v>3096.8945283250046</v>
      </c>
    </row>
    <row r="17" spans="2:8" x14ac:dyDescent="0.3">
      <c r="B17" s="45" t="s">
        <v>256</v>
      </c>
      <c r="C17" s="11">
        <v>0.2</v>
      </c>
      <c r="D17">
        <v>0.97142857142857131</v>
      </c>
      <c r="E17" s="9">
        <f t="shared" ref="E17:E24" si="2">$E$25*$D17</f>
        <v>4.1771428571428562</v>
      </c>
      <c r="F17" s="58">
        <f t="shared" ref="F17:F25" si="3">2.998/$E17</f>
        <v>0.71771545827633398</v>
      </c>
      <c r="G17">
        <f t="shared" ref="G17:G24" si="4">$G$25*$C17</f>
        <v>4000</v>
      </c>
      <c r="H17" s="9">
        <f t="shared" ref="H17:H25" si="5">$G17/$F17</f>
        <v>5573.2393023920695</v>
      </c>
    </row>
    <row r="18" spans="2:8" x14ac:dyDescent="0.3">
      <c r="B18" s="45" t="s">
        <v>256</v>
      </c>
      <c r="C18" s="11">
        <v>0.3</v>
      </c>
      <c r="D18">
        <v>0.94489795918367336</v>
      </c>
      <c r="E18" s="9">
        <f>$E$25*$D18</f>
        <v>4.063061224489795</v>
      </c>
      <c r="F18" s="58">
        <f>2.998/$E18</f>
        <v>0.73786729619769975</v>
      </c>
      <c r="G18">
        <f>$G$25*$C18</f>
        <v>6000</v>
      </c>
      <c r="H18" s="9">
        <f>$G18/$F18</f>
        <v>8131.5434779648995</v>
      </c>
    </row>
    <row r="19" spans="2:8" x14ac:dyDescent="0.3">
      <c r="B19" s="45" t="s">
        <v>256</v>
      </c>
      <c r="C19" s="11">
        <v>0.4</v>
      </c>
      <c r="D19">
        <v>0.9408163265306122</v>
      </c>
      <c r="E19" s="9">
        <f t="shared" si="2"/>
        <v>4.0455102040816326</v>
      </c>
      <c r="F19" s="58">
        <f t="shared" si="3"/>
        <v>0.74106845583413217</v>
      </c>
      <c r="G19">
        <f t="shared" si="4"/>
        <v>8000</v>
      </c>
      <c r="H19" s="9">
        <f t="shared" si="5"/>
        <v>10795.224026902288</v>
      </c>
    </row>
    <row r="20" spans="2:8" x14ac:dyDescent="0.3">
      <c r="B20" s="45" t="s">
        <v>256</v>
      </c>
      <c r="C20" s="11">
        <v>0.5</v>
      </c>
      <c r="D20">
        <v>0.94489795918367336</v>
      </c>
      <c r="E20" s="9">
        <f t="shared" si="2"/>
        <v>4.063061224489795</v>
      </c>
      <c r="F20" s="58">
        <f t="shared" si="3"/>
        <v>0.73786729619769975</v>
      </c>
      <c r="G20">
        <f t="shared" si="4"/>
        <v>10000</v>
      </c>
      <c r="H20" s="9">
        <f t="shared" si="5"/>
        <v>13552.572463274832</v>
      </c>
    </row>
    <row r="21" spans="2:8" x14ac:dyDescent="0.3">
      <c r="B21" s="45" t="s">
        <v>256</v>
      </c>
      <c r="C21" s="11">
        <v>0.6</v>
      </c>
      <c r="D21">
        <v>0.9530612244897958</v>
      </c>
      <c r="E21" s="9">
        <f t="shared" si="2"/>
        <v>4.0981632653061215</v>
      </c>
      <c r="F21" s="58">
        <f t="shared" si="3"/>
        <v>0.73154723370350105</v>
      </c>
      <c r="G21">
        <f t="shared" si="4"/>
        <v>12000</v>
      </c>
      <c r="H21" s="9">
        <f t="shared" si="5"/>
        <v>16403.588787082539</v>
      </c>
    </row>
    <row r="22" spans="2:8" x14ac:dyDescent="0.3">
      <c r="B22" s="45" t="s">
        <v>256</v>
      </c>
      <c r="C22" s="11">
        <v>0.7</v>
      </c>
      <c r="D22">
        <v>0.96326530612244887</v>
      </c>
      <c r="E22" s="9">
        <f t="shared" si="2"/>
        <v>4.1420408163265297</v>
      </c>
      <c r="F22" s="58">
        <f t="shared" si="3"/>
        <v>0.7237977926685063</v>
      </c>
      <c r="G22">
        <f t="shared" si="4"/>
        <v>14000</v>
      </c>
      <c r="H22" s="9">
        <f t="shared" si="5"/>
        <v>19342.418755360712</v>
      </c>
    </row>
    <row r="23" spans="2:8" x14ac:dyDescent="0.3">
      <c r="B23" s="45" t="s">
        <v>256</v>
      </c>
      <c r="C23" s="11">
        <v>0.8</v>
      </c>
      <c r="D23">
        <v>0.97551020408163258</v>
      </c>
      <c r="E23" s="9">
        <f t="shared" si="2"/>
        <v>4.1946938775510203</v>
      </c>
      <c r="F23" s="58">
        <f t="shared" si="3"/>
        <v>0.71471246472706051</v>
      </c>
      <c r="G23">
        <f t="shared" si="4"/>
        <v>16000</v>
      </c>
      <c r="H23" s="9">
        <f t="shared" si="5"/>
        <v>22386.625097003442</v>
      </c>
    </row>
    <row r="24" spans="2:8" x14ac:dyDescent="0.3">
      <c r="B24" s="45" t="s">
        <v>256</v>
      </c>
      <c r="C24" s="11">
        <v>0.9</v>
      </c>
      <c r="D24">
        <v>0.98979591836734682</v>
      </c>
      <c r="E24" s="9">
        <f t="shared" si="2"/>
        <v>4.2561224489795908</v>
      </c>
      <c r="F24" s="58">
        <f t="shared" si="3"/>
        <v>0.70439702709182472</v>
      </c>
      <c r="G24">
        <f t="shared" si="4"/>
        <v>18000</v>
      </c>
      <c r="H24" s="9">
        <f t="shared" si="5"/>
        <v>25553.770540904814</v>
      </c>
    </row>
    <row r="25" spans="2:8" x14ac:dyDescent="0.3">
      <c r="B25" s="45" t="s">
        <v>257</v>
      </c>
      <c r="C25" s="11">
        <v>1</v>
      </c>
      <c r="D25">
        <v>1</v>
      </c>
      <c r="E25">
        <v>4.3</v>
      </c>
      <c r="F25" s="58">
        <f t="shared" si="3"/>
        <v>0.69720930232558143</v>
      </c>
      <c r="G25">
        <v>20000</v>
      </c>
      <c r="H25" s="9">
        <f t="shared" si="5"/>
        <v>28685.790527018009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642A-5135-4816-BE38-0ADC7ADD88B7}">
  <sheetPr codeName="Sheet38">
    <tabColor rgb="FF00B050"/>
  </sheetPr>
  <dimension ref="A1:K45"/>
  <sheetViews>
    <sheetView topLeftCell="A19" workbookViewId="0">
      <selection activeCell="D45" sqref="D45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  <col min="10" max="10" width="11.21875" customWidth="1"/>
  </cols>
  <sheetData>
    <row r="1" spans="2:11" x14ac:dyDescent="0.3">
      <c r="B1" s="10" t="s">
        <v>196</v>
      </c>
      <c r="C1" s="3" t="s">
        <v>0</v>
      </c>
      <c r="D1" s="2" t="s">
        <v>32</v>
      </c>
      <c r="E1" s="5" t="s">
        <v>11</v>
      </c>
      <c r="F1" s="2" t="s">
        <v>31</v>
      </c>
    </row>
    <row r="2" spans="2:11" x14ac:dyDescent="0.3">
      <c r="B2" s="17" t="s">
        <v>189</v>
      </c>
      <c r="C2" s="7">
        <v>9.6999999999999993</v>
      </c>
      <c r="D2" s="9">
        <v>5.8</v>
      </c>
      <c r="E2" s="6" t="s">
        <v>184</v>
      </c>
      <c r="F2" s="9">
        <f t="shared" ref="F2:F13" si="0">$C2/$D2</f>
        <v>1.6724137931034482</v>
      </c>
      <c r="G2" s="9" t="s">
        <v>15</v>
      </c>
      <c r="H2" s="2" t="s">
        <v>396</v>
      </c>
      <c r="I2" s="2" t="s">
        <v>379</v>
      </c>
      <c r="J2" s="2" t="s">
        <v>397</v>
      </c>
      <c r="K2" s="2" t="s">
        <v>381</v>
      </c>
    </row>
    <row r="3" spans="2:11" x14ac:dyDescent="0.3">
      <c r="B3" s="16" t="s">
        <v>190</v>
      </c>
      <c r="C3" s="26">
        <v>63</v>
      </c>
      <c r="D3" s="18">
        <v>4.33</v>
      </c>
      <c r="E3" s="19" t="s">
        <v>191</v>
      </c>
      <c r="F3" s="18">
        <f t="shared" si="0"/>
        <v>14.549653579676674</v>
      </c>
      <c r="G3" s="18" t="s">
        <v>16</v>
      </c>
      <c r="H3" s="18">
        <f>I3/D2</f>
        <v>1.592775041050903</v>
      </c>
      <c r="I3" s="18">
        <f>K3*C2/C3</f>
        <v>9.2380952380952372</v>
      </c>
      <c r="J3" s="26">
        <f>K3/D3</f>
        <v>13.856812933025404</v>
      </c>
      <c r="K3" s="26">
        <v>60</v>
      </c>
    </row>
    <row r="4" spans="2:11" x14ac:dyDescent="0.3">
      <c r="B4" s="17" t="s">
        <v>189</v>
      </c>
      <c r="C4" s="7">
        <v>11.7</v>
      </c>
      <c r="D4" s="9">
        <v>5.84</v>
      </c>
      <c r="E4" s="6" t="s">
        <v>184</v>
      </c>
      <c r="F4" s="9">
        <f t="shared" si="0"/>
        <v>2.0034246575342465</v>
      </c>
      <c r="G4" s="9" t="s">
        <v>15</v>
      </c>
      <c r="H4" s="2" t="s">
        <v>396</v>
      </c>
      <c r="I4" s="2" t="s">
        <v>379</v>
      </c>
      <c r="J4" s="2" t="s">
        <v>397</v>
      </c>
      <c r="K4" s="2" t="s">
        <v>381</v>
      </c>
    </row>
    <row r="5" spans="2:11" x14ac:dyDescent="0.3">
      <c r="B5" s="16" t="s">
        <v>190</v>
      </c>
      <c r="C5" s="26">
        <v>76</v>
      </c>
      <c r="D5" s="18">
        <v>4.28</v>
      </c>
      <c r="E5" s="19" t="s">
        <v>191</v>
      </c>
      <c r="F5" s="18">
        <f t="shared" si="0"/>
        <v>17.75700934579439</v>
      </c>
      <c r="G5" s="18" t="s">
        <v>16</v>
      </c>
      <c r="H5" s="18">
        <f>I5/D4</f>
        <v>2.1088680605623651</v>
      </c>
      <c r="I5" s="26">
        <f>K5*C4/C5</f>
        <v>12.315789473684211</v>
      </c>
      <c r="J5" s="26">
        <f>K5/D5</f>
        <v>18.691588785046729</v>
      </c>
      <c r="K5" s="26">
        <v>80</v>
      </c>
    </row>
    <row r="6" spans="2:11" x14ac:dyDescent="0.3">
      <c r="B6" s="17" t="s">
        <v>189</v>
      </c>
      <c r="C6" s="7">
        <v>12.7</v>
      </c>
      <c r="D6" s="9">
        <v>5.9</v>
      </c>
      <c r="E6" s="6" t="s">
        <v>184</v>
      </c>
      <c r="F6" s="9">
        <f t="shared" si="0"/>
        <v>2.1525423728813555</v>
      </c>
      <c r="G6" s="9" t="s">
        <v>15</v>
      </c>
    </row>
    <row r="7" spans="2:11" x14ac:dyDescent="0.3">
      <c r="B7" s="16" t="s">
        <v>190</v>
      </c>
      <c r="C7" s="26">
        <v>83</v>
      </c>
      <c r="D7" s="18">
        <v>4.38</v>
      </c>
      <c r="E7" s="19" t="s">
        <v>191</v>
      </c>
      <c r="F7" s="18">
        <f t="shared" si="0"/>
        <v>18.949771689497716</v>
      </c>
      <c r="G7" s="18" t="s">
        <v>16</v>
      </c>
    </row>
    <row r="8" spans="2:11" x14ac:dyDescent="0.3">
      <c r="B8" s="17" t="s">
        <v>189</v>
      </c>
      <c r="C8" s="7">
        <v>15.4</v>
      </c>
      <c r="D8" s="9">
        <v>5.89</v>
      </c>
      <c r="E8" s="6" t="s">
        <v>184</v>
      </c>
      <c r="F8" s="9">
        <f t="shared" si="0"/>
        <v>2.6146010186757218</v>
      </c>
      <c r="G8" s="9" t="s">
        <v>15</v>
      </c>
      <c r="H8" s="2" t="s">
        <v>396</v>
      </c>
      <c r="I8" s="2" t="s">
        <v>379</v>
      </c>
      <c r="J8" s="2" t="s">
        <v>397</v>
      </c>
      <c r="K8" s="2" t="s">
        <v>381</v>
      </c>
    </row>
    <row r="9" spans="2:11" x14ac:dyDescent="0.3">
      <c r="B9" s="16" t="s">
        <v>190</v>
      </c>
      <c r="C9" s="26">
        <v>100</v>
      </c>
      <c r="D9" s="18">
        <v>4.42</v>
      </c>
      <c r="E9" s="19" t="s">
        <v>191</v>
      </c>
      <c r="F9" s="18">
        <f t="shared" si="0"/>
        <v>22.624434389140273</v>
      </c>
      <c r="G9" s="18" t="s">
        <v>16</v>
      </c>
      <c r="H9" s="18">
        <f>I9/D8</f>
        <v>2.6146010186757218</v>
      </c>
      <c r="I9" s="26">
        <f>K9*C8/C9</f>
        <v>15.4</v>
      </c>
      <c r="J9" s="26">
        <f>K9/D9</f>
        <v>22.624434389140273</v>
      </c>
      <c r="K9" s="26">
        <v>100</v>
      </c>
    </row>
    <row r="10" spans="2:11" x14ac:dyDescent="0.3">
      <c r="B10" s="17" t="s">
        <v>189</v>
      </c>
      <c r="C10" s="7">
        <v>17.600000000000001</v>
      </c>
      <c r="D10" s="9">
        <v>5.79</v>
      </c>
      <c r="E10" s="6" t="s">
        <v>184</v>
      </c>
      <c r="F10" s="9">
        <f t="shared" si="0"/>
        <v>3.0397236614853198</v>
      </c>
      <c r="G10" s="9" t="s">
        <v>15</v>
      </c>
    </row>
    <row r="11" spans="2:11" x14ac:dyDescent="0.3">
      <c r="B11" s="16" t="s">
        <v>190</v>
      </c>
      <c r="C11" s="26">
        <v>115</v>
      </c>
      <c r="D11" s="18">
        <v>4.4400000000000004</v>
      </c>
      <c r="E11" s="19" t="s">
        <v>191</v>
      </c>
      <c r="F11" s="18">
        <f t="shared" si="0"/>
        <v>25.900900900900897</v>
      </c>
      <c r="G11" s="18" t="s">
        <v>16</v>
      </c>
    </row>
    <row r="12" spans="2:11" x14ac:dyDescent="0.3">
      <c r="B12" s="17" t="s">
        <v>189</v>
      </c>
      <c r="C12" s="7">
        <v>20.8</v>
      </c>
      <c r="D12" s="9">
        <v>5.9</v>
      </c>
      <c r="E12" s="6" t="s">
        <v>184</v>
      </c>
      <c r="F12" s="9">
        <f t="shared" si="0"/>
        <v>3.5254237288135593</v>
      </c>
      <c r="G12" s="9" t="s">
        <v>15</v>
      </c>
    </row>
    <row r="13" spans="2:11" x14ac:dyDescent="0.3">
      <c r="B13" s="16" t="s">
        <v>190</v>
      </c>
      <c r="C13" s="26">
        <v>135</v>
      </c>
      <c r="D13" s="18">
        <v>4.46</v>
      </c>
      <c r="E13" s="19" t="s">
        <v>191</v>
      </c>
      <c r="F13" s="18">
        <f t="shared" si="0"/>
        <v>30.269058295964125</v>
      </c>
      <c r="G13" s="18" t="s">
        <v>16</v>
      </c>
    </row>
    <row r="16" spans="2:11" x14ac:dyDescent="0.3">
      <c r="B16" t="s">
        <v>1</v>
      </c>
      <c r="C16" t="s">
        <v>4</v>
      </c>
    </row>
    <row r="17" spans="1:7" x14ac:dyDescent="0.3">
      <c r="A17" t="s">
        <v>184</v>
      </c>
      <c r="B17" t="s">
        <v>183</v>
      </c>
      <c r="C17" s="4" t="s">
        <v>182</v>
      </c>
      <c r="D17" s="4"/>
      <c r="G17" t="s">
        <v>386</v>
      </c>
    </row>
    <row r="18" spans="1:7" x14ac:dyDescent="0.3">
      <c r="A18" t="s">
        <v>192</v>
      </c>
      <c r="B18" t="s">
        <v>195</v>
      </c>
      <c r="C18" s="4" t="s">
        <v>194</v>
      </c>
      <c r="D18" s="4"/>
    </row>
    <row r="19" spans="1:7" x14ac:dyDescent="0.3">
      <c r="B19" s="14"/>
      <c r="C19" s="4"/>
    </row>
    <row r="20" spans="1:7" x14ac:dyDescent="0.3">
      <c r="E20" s="10" t="s">
        <v>18</v>
      </c>
      <c r="F20" s="10" t="s">
        <v>18</v>
      </c>
      <c r="G20" s="10" t="s">
        <v>18</v>
      </c>
    </row>
    <row r="21" spans="1:7" x14ac:dyDescent="0.3">
      <c r="B21" s="2" t="s">
        <v>13</v>
      </c>
      <c r="C21" s="2" t="s">
        <v>12</v>
      </c>
      <c r="D21" s="2" t="s">
        <v>25</v>
      </c>
      <c r="E21" s="2" t="s">
        <v>17</v>
      </c>
      <c r="F21" s="2" t="s">
        <v>22</v>
      </c>
      <c r="G21" s="2" t="s">
        <v>23</v>
      </c>
    </row>
    <row r="22" spans="1:7" x14ac:dyDescent="0.3">
      <c r="B22" s="9" t="s">
        <v>15</v>
      </c>
      <c r="C22" s="9">
        <f>$C3</f>
        <v>63</v>
      </c>
      <c r="D22" s="9">
        <f t="shared" ref="D22:D33" si="1">$F2</f>
        <v>1.6724137931034482</v>
      </c>
      <c r="E22" s="9">
        <f t="shared" ref="E22:E33" si="2">$D22*$D2</f>
        <v>9.6999999999999993</v>
      </c>
      <c r="F22" s="9">
        <f t="shared" ref="F22:F33" si="3">$B$36*$D22+$C$36*$C22+$D$36</f>
        <v>8.9014337928199545</v>
      </c>
      <c r="G22" s="20">
        <f t="shared" ref="G22:G33" si="4">($E22-$F22)/$E22</f>
        <v>8.2326413111344823E-2</v>
      </c>
    </row>
    <row r="23" spans="1:7" x14ac:dyDescent="0.3">
      <c r="B23" s="18" t="s">
        <v>16</v>
      </c>
      <c r="C23" s="18">
        <f>$C3</f>
        <v>63</v>
      </c>
      <c r="D23" s="18">
        <f t="shared" si="1"/>
        <v>14.549653579676674</v>
      </c>
      <c r="E23" s="18">
        <f t="shared" si="2"/>
        <v>63</v>
      </c>
      <c r="F23" s="18">
        <f t="shared" si="3"/>
        <v>63.255726155589542</v>
      </c>
      <c r="G23" s="20">
        <f t="shared" si="4"/>
        <v>-4.0591453268181308E-3</v>
      </c>
    </row>
    <row r="24" spans="1:7" x14ac:dyDescent="0.3">
      <c r="B24" s="9" t="s">
        <v>15</v>
      </c>
      <c r="C24" s="9">
        <f>$C5</f>
        <v>76</v>
      </c>
      <c r="D24" s="9">
        <f t="shared" si="1"/>
        <v>2.0034246575342465</v>
      </c>
      <c r="E24" s="9">
        <f t="shared" si="2"/>
        <v>11.7</v>
      </c>
      <c r="F24" s="9">
        <f t="shared" si="3"/>
        <v>11.153174155661478</v>
      </c>
      <c r="G24" s="20">
        <f t="shared" si="4"/>
        <v>4.6737251652865047E-2</v>
      </c>
    </row>
    <row r="25" spans="1:7" x14ac:dyDescent="0.3">
      <c r="B25" s="18" t="s">
        <v>16</v>
      </c>
      <c r="C25" s="18">
        <f>$C5</f>
        <v>76</v>
      </c>
      <c r="D25" s="18">
        <f t="shared" si="1"/>
        <v>17.75700934579439</v>
      </c>
      <c r="E25" s="18">
        <f t="shared" si="2"/>
        <v>76</v>
      </c>
      <c r="F25" s="18">
        <f t="shared" si="3"/>
        <v>77.648398450557238</v>
      </c>
      <c r="G25" s="20">
        <f t="shared" si="4"/>
        <v>-2.1689453296805761E-2</v>
      </c>
    </row>
    <row r="26" spans="1:7" x14ac:dyDescent="0.3">
      <c r="B26" s="9" t="s">
        <v>15</v>
      </c>
      <c r="C26" s="9">
        <f>$C7</f>
        <v>83</v>
      </c>
      <c r="D26" s="9">
        <f t="shared" si="1"/>
        <v>2.1525423728813555</v>
      </c>
      <c r="E26" s="9">
        <f t="shared" si="2"/>
        <v>12.699999999999998</v>
      </c>
      <c r="F26" s="9">
        <f t="shared" si="3"/>
        <v>12.24274005582615</v>
      </c>
      <c r="G26" s="20">
        <f t="shared" si="4"/>
        <v>3.6004720013688762E-2</v>
      </c>
    </row>
    <row r="27" spans="1:7" x14ac:dyDescent="0.3">
      <c r="B27" s="18" t="s">
        <v>16</v>
      </c>
      <c r="C27" s="18">
        <f>$C7</f>
        <v>83</v>
      </c>
      <c r="D27" s="18">
        <f t="shared" si="1"/>
        <v>18.949771689497716</v>
      </c>
      <c r="E27" s="18">
        <f t="shared" si="2"/>
        <v>83</v>
      </c>
      <c r="F27" s="18">
        <f t="shared" si="3"/>
        <v>83.14314482360983</v>
      </c>
      <c r="G27" s="20">
        <f t="shared" si="4"/>
        <v>-1.7246364290341024E-3</v>
      </c>
    </row>
    <row r="28" spans="1:7" x14ac:dyDescent="0.3">
      <c r="B28" s="9" t="s">
        <v>15</v>
      </c>
      <c r="C28" s="9">
        <f>$C9</f>
        <v>100</v>
      </c>
      <c r="D28" s="9">
        <f t="shared" si="1"/>
        <v>2.6146010186757218</v>
      </c>
      <c r="E28" s="9">
        <f t="shared" si="2"/>
        <v>15.4</v>
      </c>
      <c r="F28" s="9">
        <f t="shared" si="3"/>
        <v>15.31056834949219</v>
      </c>
      <c r="G28" s="20">
        <f t="shared" si="4"/>
        <v>5.8072500329747105E-3</v>
      </c>
    </row>
    <row r="29" spans="1:7" x14ac:dyDescent="0.3">
      <c r="B29" s="18" t="s">
        <v>16</v>
      </c>
      <c r="C29" s="18">
        <f>$C9</f>
        <v>100</v>
      </c>
      <c r="D29" s="18">
        <f t="shared" si="1"/>
        <v>22.624434389140273</v>
      </c>
      <c r="E29" s="18">
        <f t="shared" si="2"/>
        <v>100</v>
      </c>
      <c r="F29" s="18">
        <f t="shared" si="3"/>
        <v>99.771240914009283</v>
      </c>
      <c r="G29" s="20">
        <f t="shared" si="4"/>
        <v>2.2875908599071693E-3</v>
      </c>
    </row>
    <row r="30" spans="1:7" x14ac:dyDescent="0.3">
      <c r="B30" s="9" t="s">
        <v>15</v>
      </c>
      <c r="C30" s="9">
        <f>$C11</f>
        <v>115</v>
      </c>
      <c r="D30" s="9">
        <f t="shared" si="1"/>
        <v>3.0397236614853198</v>
      </c>
      <c r="E30" s="9">
        <f t="shared" si="2"/>
        <v>17.600000000000001</v>
      </c>
      <c r="F30" s="9">
        <f t="shared" si="3"/>
        <v>18.091020960054252</v>
      </c>
      <c r="G30" s="20">
        <f t="shared" si="4"/>
        <v>-2.7898918184900572E-2</v>
      </c>
    </row>
    <row r="31" spans="1:7" x14ac:dyDescent="0.3">
      <c r="B31" s="18" t="s">
        <v>16</v>
      </c>
      <c r="C31" s="18">
        <f>$C11</f>
        <v>115</v>
      </c>
      <c r="D31" s="18">
        <f t="shared" si="1"/>
        <v>25.900900900900897</v>
      </c>
      <c r="E31" s="18">
        <f t="shared" si="2"/>
        <v>115</v>
      </c>
      <c r="F31" s="18">
        <f t="shared" si="3"/>
        <v>114.58709713966527</v>
      </c>
      <c r="G31" s="20">
        <f t="shared" si="4"/>
        <v>3.5904596550845663E-3</v>
      </c>
    </row>
    <row r="32" spans="1:7" x14ac:dyDescent="0.3">
      <c r="B32" s="9" t="s">
        <v>15</v>
      </c>
      <c r="C32" s="9">
        <f>$C13</f>
        <v>135</v>
      </c>
      <c r="D32" s="9">
        <f t="shared" si="1"/>
        <v>3.5254237288135593</v>
      </c>
      <c r="E32" s="9">
        <f t="shared" si="2"/>
        <v>20.8</v>
      </c>
      <c r="F32" s="9">
        <f t="shared" si="3"/>
        <v>21.455844239767867</v>
      </c>
      <c r="G32" s="20">
        <f t="shared" si="4"/>
        <v>-3.1530973065762795E-2</v>
      </c>
    </row>
    <row r="33" spans="2:7" x14ac:dyDescent="0.3">
      <c r="B33" s="18" t="s">
        <v>16</v>
      </c>
      <c r="C33" s="18">
        <f>$C13</f>
        <v>135</v>
      </c>
      <c r="D33" s="18">
        <f t="shared" si="1"/>
        <v>30.269058295964125</v>
      </c>
      <c r="E33" s="18">
        <f t="shared" si="2"/>
        <v>135</v>
      </c>
      <c r="F33" s="18">
        <f t="shared" si="3"/>
        <v>134.33961096294695</v>
      </c>
      <c r="G33" s="20">
        <f t="shared" si="4"/>
        <v>4.8917706448374128E-3</v>
      </c>
    </row>
    <row r="35" spans="2:7" x14ac:dyDescent="0.3">
      <c r="B35" t="s">
        <v>19</v>
      </c>
      <c r="C35" t="s">
        <v>20</v>
      </c>
      <c r="D35" t="s">
        <v>21</v>
      </c>
    </row>
    <row r="36" spans="2:7" x14ac:dyDescent="0.3">
      <c r="B36" cm="1">
        <f t="array" ref="B36:D36">LINEST(E22:E33,C22:D33)</f>
        <v>4.2209583158840793</v>
      </c>
      <c r="C36">
        <v>6.5735177074951329E-2</v>
      </c>
      <c r="D36">
        <v>-2.2990712705012157</v>
      </c>
    </row>
    <row r="37" spans="2:7" x14ac:dyDescent="0.3">
      <c r="B37" s="35">
        <v>4.2209583158840793</v>
      </c>
      <c r="C37" s="66">
        <v>6.5735177074951329E-2</v>
      </c>
      <c r="D37" s="35">
        <v>-2.2990712705012157</v>
      </c>
    </row>
    <row r="39" spans="2:7" x14ac:dyDescent="0.3">
      <c r="B39" s="2" t="s">
        <v>416</v>
      </c>
      <c r="C39" s="57">
        <v>0.15</v>
      </c>
    </row>
    <row r="40" spans="2:7" x14ac:dyDescent="0.3">
      <c r="B40" s="2" t="s">
        <v>415</v>
      </c>
      <c r="C40" s="57">
        <v>1</v>
      </c>
    </row>
    <row r="42" spans="2:7" x14ac:dyDescent="0.3">
      <c r="B42" t="s">
        <v>417</v>
      </c>
    </row>
    <row r="44" spans="2:7" x14ac:dyDescent="0.3">
      <c r="B44" s="2" t="s">
        <v>378</v>
      </c>
      <c r="C44" s="2" t="s">
        <v>379</v>
      </c>
      <c r="F44" s="2" t="s">
        <v>380</v>
      </c>
      <c r="G44" s="2" t="s">
        <v>381</v>
      </c>
    </row>
    <row r="45" spans="2:7" x14ac:dyDescent="0.3">
      <c r="B45">
        <f>C39</f>
        <v>0.15</v>
      </c>
      <c r="C45" s="67">
        <f>B37*C39+C37</f>
        <v>0.69887892445756328</v>
      </c>
      <c r="D45" s="67"/>
      <c r="F45">
        <f>C40</f>
        <v>1</v>
      </c>
      <c r="G45" s="67">
        <f>B37*C40+C37</f>
        <v>4.2866934929590306</v>
      </c>
    </row>
  </sheetData>
  <hyperlinks>
    <hyperlink ref="C17" r:id="rId1" xr:uid="{0341F99A-E6D9-4EEC-A8BE-7C2A0D61878B}"/>
    <hyperlink ref="C18" r:id="rId2" xr:uid="{F6E99308-3223-412B-9333-AE4487ED64FC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3055-FB48-4DBE-BB22-FEAF7709C988}">
  <sheetPr>
    <tabColor rgb="FF7030A0"/>
  </sheetPr>
  <dimension ref="A1:K45"/>
  <sheetViews>
    <sheetView topLeftCell="A22" workbookViewId="0">
      <selection activeCell="B39" sqref="B39:G45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196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11" x14ac:dyDescent="0.3">
      <c r="B2" s="17" t="s">
        <v>189</v>
      </c>
      <c r="C2" s="7">
        <v>11.1</v>
      </c>
      <c r="D2" s="9">
        <v>8.9600000000000009</v>
      </c>
      <c r="E2" s="6" t="s">
        <v>184</v>
      </c>
      <c r="F2" s="9">
        <f t="shared" ref="F2:F13" si="0">$C2/$D2</f>
        <v>1.2388392857142856</v>
      </c>
      <c r="G2" s="9" t="s">
        <v>15</v>
      </c>
      <c r="H2" s="2" t="s">
        <v>396</v>
      </c>
      <c r="I2" s="2" t="s">
        <v>411</v>
      </c>
      <c r="J2" s="2" t="s">
        <v>397</v>
      </c>
      <c r="K2" s="2" t="s">
        <v>410</v>
      </c>
    </row>
    <row r="3" spans="2:11" x14ac:dyDescent="0.3">
      <c r="B3" s="16" t="s">
        <v>190</v>
      </c>
      <c r="C3" s="26">
        <v>52.7</v>
      </c>
      <c r="D3" s="18">
        <v>5.04</v>
      </c>
      <c r="E3" s="19" t="s">
        <v>191</v>
      </c>
      <c r="F3" s="18">
        <f t="shared" si="0"/>
        <v>10.456349206349207</v>
      </c>
      <c r="G3" s="18" t="s">
        <v>16</v>
      </c>
      <c r="H3" s="18">
        <f>I3/D2</f>
        <v>1.3681299132556246</v>
      </c>
      <c r="I3" s="18">
        <f>K3*C2/C3</f>
        <v>12.258444022770398</v>
      </c>
      <c r="J3" s="18">
        <f>K3/D3</f>
        <v>11.547619047619047</v>
      </c>
      <c r="K3" s="18">
        <v>58.2</v>
      </c>
    </row>
    <row r="4" spans="2:11" x14ac:dyDescent="0.3">
      <c r="B4" s="17" t="s">
        <v>189</v>
      </c>
      <c r="C4" s="7">
        <v>12.7</v>
      </c>
      <c r="D4" s="9">
        <v>8.75</v>
      </c>
      <c r="E4" s="6" t="s">
        <v>184</v>
      </c>
      <c r="F4" s="9">
        <f t="shared" si="0"/>
        <v>1.4514285714285713</v>
      </c>
      <c r="G4" s="9" t="s">
        <v>15</v>
      </c>
      <c r="H4" s="2" t="s">
        <v>396</v>
      </c>
      <c r="I4" s="2" t="s">
        <v>411</v>
      </c>
      <c r="J4" s="2" t="s">
        <v>397</v>
      </c>
      <c r="K4" s="2" t="s">
        <v>410</v>
      </c>
    </row>
    <row r="5" spans="2:11" x14ac:dyDescent="0.3">
      <c r="B5" s="16" t="s">
        <v>190</v>
      </c>
      <c r="C5" s="26">
        <v>60.4</v>
      </c>
      <c r="D5" s="18">
        <v>4.92</v>
      </c>
      <c r="E5" s="19" t="s">
        <v>191</v>
      </c>
      <c r="F5" s="18">
        <f t="shared" si="0"/>
        <v>12.276422764227641</v>
      </c>
      <c r="G5" s="18" t="s">
        <v>16</v>
      </c>
      <c r="H5" s="18">
        <f>I5/D4</f>
        <v>1.6383841059602651</v>
      </c>
      <c r="I5" s="18">
        <f>K5*C4/C5</f>
        <v>14.33586092715232</v>
      </c>
      <c r="J5" s="18">
        <f>K5/D5</f>
        <v>13.857723577235774</v>
      </c>
      <c r="K5" s="18">
        <v>68.180000000000007</v>
      </c>
    </row>
    <row r="6" spans="2:11" x14ac:dyDescent="0.3">
      <c r="B6" s="17" t="s">
        <v>189</v>
      </c>
      <c r="C6" s="7">
        <v>14.7</v>
      </c>
      <c r="D6" s="9">
        <v>8.83</v>
      </c>
      <c r="E6" s="6" t="s">
        <v>184</v>
      </c>
      <c r="F6" s="9">
        <f t="shared" si="0"/>
        <v>1.6647791619479049</v>
      </c>
      <c r="G6" s="9" t="s">
        <v>15</v>
      </c>
      <c r="H6" s="2" t="s">
        <v>396</v>
      </c>
      <c r="I6" s="2" t="s">
        <v>411</v>
      </c>
      <c r="J6" s="2" t="s">
        <v>397</v>
      </c>
      <c r="K6" s="2" t="s">
        <v>410</v>
      </c>
    </row>
    <row r="7" spans="2:11" x14ac:dyDescent="0.3">
      <c r="B7" s="16" t="s">
        <v>190</v>
      </c>
      <c r="C7" s="26">
        <v>69.7</v>
      </c>
      <c r="D7" s="18">
        <v>5.03</v>
      </c>
      <c r="E7" s="19" t="s">
        <v>191</v>
      </c>
      <c r="F7" s="18">
        <f t="shared" si="0"/>
        <v>13.856858846918488</v>
      </c>
      <c r="G7" s="18" t="s">
        <v>16</v>
      </c>
      <c r="H7" s="18">
        <f>I7/D6</f>
        <v>2.2456604993736295</v>
      </c>
      <c r="I7" s="18">
        <f>K7*C6/C7</f>
        <v>19.829182209469149</v>
      </c>
      <c r="J7" s="18">
        <f>K7/D7</f>
        <v>18.691848906560633</v>
      </c>
      <c r="K7" s="18">
        <v>94.02</v>
      </c>
    </row>
    <row r="8" spans="2:11" x14ac:dyDescent="0.3">
      <c r="B8" s="17" t="s">
        <v>189</v>
      </c>
      <c r="C8" s="7">
        <v>17.600000000000001</v>
      </c>
      <c r="D8" s="9">
        <v>8.8800000000000008</v>
      </c>
      <c r="E8" s="6" t="s">
        <v>184</v>
      </c>
      <c r="F8" s="9">
        <f t="shared" si="0"/>
        <v>1.9819819819819819</v>
      </c>
      <c r="G8" s="9" t="s">
        <v>15</v>
      </c>
      <c r="H8" s="2" t="s">
        <v>396</v>
      </c>
      <c r="I8" s="2" t="s">
        <v>411</v>
      </c>
      <c r="J8" s="2" t="s">
        <v>397</v>
      </c>
      <c r="K8" s="2" t="s">
        <v>410</v>
      </c>
    </row>
    <row r="9" spans="2:11" x14ac:dyDescent="0.3">
      <c r="B9" s="16" t="s">
        <v>190</v>
      </c>
      <c r="C9" s="26">
        <v>83.6</v>
      </c>
      <c r="D9" s="18">
        <v>5.04</v>
      </c>
      <c r="E9" s="19" t="s">
        <v>191</v>
      </c>
      <c r="F9" s="18">
        <f t="shared" si="0"/>
        <v>16.587301587301585</v>
      </c>
      <c r="G9" s="18" t="s">
        <v>16</v>
      </c>
      <c r="H9" s="18">
        <f>I9/D8</f>
        <v>2.7034139402560458</v>
      </c>
      <c r="I9" s="18">
        <f>K9*C8/C9</f>
        <v>24.006315789473689</v>
      </c>
      <c r="J9" s="18">
        <f>K9/D9</f>
        <v>22.625</v>
      </c>
      <c r="K9" s="18">
        <v>114.03</v>
      </c>
    </row>
    <row r="10" spans="2:11" x14ac:dyDescent="0.3">
      <c r="B10" s="17" t="s">
        <v>189</v>
      </c>
      <c r="C10" s="7">
        <v>19.8</v>
      </c>
      <c r="D10" s="9">
        <v>8.14</v>
      </c>
      <c r="E10" s="6" t="s">
        <v>184</v>
      </c>
      <c r="F10" s="9">
        <f t="shared" si="0"/>
        <v>2.4324324324324325</v>
      </c>
      <c r="G10" s="9" t="s">
        <v>15</v>
      </c>
    </row>
    <row r="11" spans="2:11" x14ac:dyDescent="0.3">
      <c r="B11" s="16" t="s">
        <v>190</v>
      </c>
      <c r="C11" s="26">
        <v>94</v>
      </c>
      <c r="D11" s="18">
        <v>5</v>
      </c>
      <c r="E11" s="19" t="s">
        <v>191</v>
      </c>
      <c r="F11" s="18">
        <f t="shared" si="0"/>
        <v>18.8</v>
      </c>
      <c r="G11" s="18" t="s">
        <v>16</v>
      </c>
    </row>
    <row r="12" spans="2:11" x14ac:dyDescent="0.3">
      <c r="B12" s="17" t="s">
        <v>189</v>
      </c>
      <c r="C12" s="7">
        <v>23.4</v>
      </c>
      <c r="D12" s="9">
        <v>8.24</v>
      </c>
      <c r="E12" s="6" t="s">
        <v>184</v>
      </c>
      <c r="F12" s="9">
        <f t="shared" si="0"/>
        <v>2.8398058252427183</v>
      </c>
      <c r="G12" s="9" t="s">
        <v>15</v>
      </c>
    </row>
    <row r="13" spans="2:11" x14ac:dyDescent="0.3">
      <c r="B13" s="16" t="s">
        <v>190</v>
      </c>
      <c r="C13" s="26">
        <v>111.2</v>
      </c>
      <c r="D13" s="18">
        <v>5.04</v>
      </c>
      <c r="E13" s="19" t="s">
        <v>191</v>
      </c>
      <c r="F13" s="18">
        <f t="shared" si="0"/>
        <v>22.063492063492063</v>
      </c>
      <c r="G13" s="18" t="s">
        <v>16</v>
      </c>
    </row>
    <row r="16" spans="2:11" x14ac:dyDescent="0.3">
      <c r="B16" t="s">
        <v>1</v>
      </c>
      <c r="C16" t="s">
        <v>4</v>
      </c>
    </row>
    <row r="17" spans="1:7" x14ac:dyDescent="0.3">
      <c r="A17" t="s">
        <v>184</v>
      </c>
      <c r="B17" t="s">
        <v>183</v>
      </c>
      <c r="C17" s="4" t="s">
        <v>182</v>
      </c>
      <c r="D17" s="4"/>
      <c r="G17" t="s">
        <v>387</v>
      </c>
    </row>
    <row r="18" spans="1:7" x14ac:dyDescent="0.3">
      <c r="A18" t="s">
        <v>192</v>
      </c>
      <c r="B18" t="s">
        <v>195</v>
      </c>
      <c r="C18" s="4" t="s">
        <v>194</v>
      </c>
      <c r="D18" s="4"/>
    </row>
    <row r="19" spans="1:7" x14ac:dyDescent="0.3">
      <c r="B19" s="14"/>
      <c r="C19" s="4"/>
    </row>
    <row r="20" spans="1:7" x14ac:dyDescent="0.3">
      <c r="E20" s="10" t="s">
        <v>18</v>
      </c>
      <c r="F20" s="10" t="s">
        <v>18</v>
      </c>
      <c r="G20" s="10" t="s">
        <v>18</v>
      </c>
    </row>
    <row r="21" spans="1:7" x14ac:dyDescent="0.3">
      <c r="B21" s="2" t="s">
        <v>13</v>
      </c>
      <c r="C21" s="2" t="s">
        <v>12</v>
      </c>
      <c r="D21" s="2" t="s">
        <v>25</v>
      </c>
      <c r="E21" s="2" t="s">
        <v>17</v>
      </c>
      <c r="F21" s="2" t="s">
        <v>22</v>
      </c>
      <c r="G21" s="2" t="s">
        <v>23</v>
      </c>
    </row>
    <row r="22" spans="1:7" x14ac:dyDescent="0.3">
      <c r="B22" s="9" t="s">
        <v>15</v>
      </c>
      <c r="C22" s="9">
        <f>$C3</f>
        <v>52.7</v>
      </c>
      <c r="D22" s="9">
        <f t="shared" ref="D22:D33" si="1">$F2</f>
        <v>1.2388392857142856</v>
      </c>
      <c r="E22" s="9">
        <f t="shared" ref="E22:E33" si="2">$D22*$D2</f>
        <v>11.1</v>
      </c>
      <c r="F22" s="9">
        <f t="shared" ref="F22:F33" si="3">$B$36*$D22+$C$36*$C22+$D$36</f>
        <v>10.840480896294089</v>
      </c>
      <c r="G22" s="20">
        <f t="shared" ref="G22:G33" si="4">($E22-$F22)/$E22</f>
        <v>2.3380099432964919E-2</v>
      </c>
    </row>
    <row r="23" spans="1:7" x14ac:dyDescent="0.3">
      <c r="B23" s="18" t="s">
        <v>16</v>
      </c>
      <c r="C23" s="18">
        <f>$C3</f>
        <v>52.7</v>
      </c>
      <c r="D23" s="18">
        <f t="shared" si="1"/>
        <v>10.456349206349207</v>
      </c>
      <c r="E23" s="18">
        <f t="shared" si="2"/>
        <v>52.7</v>
      </c>
      <c r="F23" s="18">
        <f t="shared" si="3"/>
        <v>52.542684397166425</v>
      </c>
      <c r="G23" s="20">
        <f t="shared" si="4"/>
        <v>2.9851158032936881E-3</v>
      </c>
    </row>
    <row r="24" spans="1:7" x14ac:dyDescent="0.3">
      <c r="B24" s="9" t="s">
        <v>15</v>
      </c>
      <c r="C24" s="9">
        <f>$C5</f>
        <v>60.4</v>
      </c>
      <c r="D24" s="9">
        <f t="shared" si="1"/>
        <v>1.4514285714285713</v>
      </c>
      <c r="E24" s="9">
        <f t="shared" si="2"/>
        <v>12.7</v>
      </c>
      <c r="F24" s="9">
        <f t="shared" si="3"/>
        <v>12.547698201742024</v>
      </c>
      <c r="G24" s="20">
        <f t="shared" si="4"/>
        <v>1.19922675793681E-2</v>
      </c>
    </row>
    <row r="25" spans="1:7" x14ac:dyDescent="0.3">
      <c r="B25" s="18" t="s">
        <v>16</v>
      </c>
      <c r="C25" s="18">
        <f>$C5</f>
        <v>60.4</v>
      </c>
      <c r="D25" s="18">
        <f t="shared" si="1"/>
        <v>12.276422764227641</v>
      </c>
      <c r="E25" s="18">
        <f t="shared" si="2"/>
        <v>60.399999999999991</v>
      </c>
      <c r="F25" s="18">
        <f t="shared" si="3"/>
        <v>61.522542233455624</v>
      </c>
      <c r="G25" s="20">
        <f t="shared" si="4"/>
        <v>-1.8585136315490611E-2</v>
      </c>
    </row>
    <row r="26" spans="1:7" x14ac:dyDescent="0.3">
      <c r="B26" s="9" t="s">
        <v>15</v>
      </c>
      <c r="C26" s="9">
        <f>$C7</f>
        <v>69.7</v>
      </c>
      <c r="D26" s="9">
        <f t="shared" si="1"/>
        <v>1.6647791619479049</v>
      </c>
      <c r="E26" s="9">
        <f t="shared" si="2"/>
        <v>14.7</v>
      </c>
      <c r="F26" s="9">
        <f t="shared" si="3"/>
        <v>14.413250822965129</v>
      </c>
      <c r="G26" s="20">
        <f t="shared" si="4"/>
        <v>1.9506746737066035E-2</v>
      </c>
    </row>
    <row r="27" spans="1:7" x14ac:dyDescent="0.3">
      <c r="B27" s="18" t="s">
        <v>16</v>
      </c>
      <c r="C27" s="18">
        <f>$C7</f>
        <v>69.7</v>
      </c>
      <c r="D27" s="18">
        <f t="shared" si="1"/>
        <v>13.856858846918488</v>
      </c>
      <c r="E27" s="18">
        <f t="shared" si="2"/>
        <v>69.7</v>
      </c>
      <c r="F27" s="18">
        <f t="shared" si="3"/>
        <v>69.573114224172357</v>
      </c>
      <c r="G27" s="20">
        <f t="shared" si="4"/>
        <v>1.8204558942273368E-3</v>
      </c>
    </row>
    <row r="28" spans="1:7" x14ac:dyDescent="0.3">
      <c r="B28" s="9" t="s">
        <v>15</v>
      </c>
      <c r="C28" s="9">
        <f>$C9</f>
        <v>83.6</v>
      </c>
      <c r="D28" s="9">
        <f t="shared" si="1"/>
        <v>1.9819819819819819</v>
      </c>
      <c r="E28" s="9">
        <f t="shared" si="2"/>
        <v>17.600000000000001</v>
      </c>
      <c r="F28" s="9">
        <f t="shared" si="3"/>
        <v>17.193967191554382</v>
      </c>
      <c r="G28" s="20">
        <f t="shared" si="4"/>
        <v>2.3070045934410196E-2</v>
      </c>
    </row>
    <row r="29" spans="1:7" x14ac:dyDescent="0.3">
      <c r="B29" s="18" t="s">
        <v>16</v>
      </c>
      <c r="C29" s="18">
        <f>$C9</f>
        <v>83.6</v>
      </c>
      <c r="D29" s="18">
        <f t="shared" si="1"/>
        <v>16.587301587301585</v>
      </c>
      <c r="E29" s="18">
        <f t="shared" si="2"/>
        <v>83.6</v>
      </c>
      <c r="F29" s="18">
        <f t="shared" si="3"/>
        <v>83.271900995868009</v>
      </c>
      <c r="G29" s="20">
        <f t="shared" si="4"/>
        <v>3.9246292360285333E-3</v>
      </c>
    </row>
    <row r="30" spans="1:7" x14ac:dyDescent="0.3">
      <c r="B30" s="9" t="s">
        <v>15</v>
      </c>
      <c r="C30" s="9">
        <f>$C11</f>
        <v>94</v>
      </c>
      <c r="D30" s="9">
        <f t="shared" si="1"/>
        <v>2.4324324324324325</v>
      </c>
      <c r="E30" s="9">
        <f t="shared" si="2"/>
        <v>19.8</v>
      </c>
      <c r="F30" s="9">
        <f t="shared" si="3"/>
        <v>20.238703433515411</v>
      </c>
      <c r="G30" s="20">
        <f t="shared" si="4"/>
        <v>-2.2156739066434873E-2</v>
      </c>
    </row>
    <row r="31" spans="1:7" x14ac:dyDescent="0.3">
      <c r="B31" s="18" t="s">
        <v>16</v>
      </c>
      <c r="C31" s="18">
        <f>$C11</f>
        <v>94</v>
      </c>
      <c r="D31" s="18">
        <f t="shared" si="1"/>
        <v>18.8</v>
      </c>
      <c r="E31" s="18">
        <f t="shared" si="2"/>
        <v>94</v>
      </c>
      <c r="F31" s="18">
        <f t="shared" si="3"/>
        <v>94.289465449941247</v>
      </c>
      <c r="G31" s="20">
        <f t="shared" si="4"/>
        <v>-3.0794196802260295E-3</v>
      </c>
    </row>
    <row r="32" spans="1:7" x14ac:dyDescent="0.3">
      <c r="B32" s="9" t="s">
        <v>15</v>
      </c>
      <c r="C32" s="9">
        <f>$C13</f>
        <v>111.2</v>
      </c>
      <c r="D32" s="9">
        <f t="shared" si="1"/>
        <v>2.8398058252427183</v>
      </c>
      <c r="E32" s="9">
        <f t="shared" si="2"/>
        <v>23.4</v>
      </c>
      <c r="F32" s="9">
        <f t="shared" si="3"/>
        <v>23.746835554733501</v>
      </c>
      <c r="G32" s="20">
        <f t="shared" si="4"/>
        <v>-1.4822032253568472E-2</v>
      </c>
    </row>
    <row r="33" spans="2:7" x14ac:dyDescent="0.3">
      <c r="B33" s="18" t="s">
        <v>16</v>
      </c>
      <c r="C33" s="18">
        <f>$C13</f>
        <v>111.2</v>
      </c>
      <c r="D33" s="18">
        <f t="shared" si="1"/>
        <v>22.063492063492063</v>
      </c>
      <c r="E33" s="18">
        <f t="shared" si="2"/>
        <v>111.2</v>
      </c>
      <c r="F33" s="18">
        <f t="shared" si="3"/>
        <v>110.71935659859179</v>
      </c>
      <c r="G33" s="20">
        <f t="shared" si="4"/>
        <v>4.3223327464767597E-3</v>
      </c>
    </row>
    <row r="35" spans="2:7" x14ac:dyDescent="0.3">
      <c r="B35" t="s">
        <v>19</v>
      </c>
      <c r="C35" t="s">
        <v>20</v>
      </c>
      <c r="D35" t="s">
        <v>21</v>
      </c>
    </row>
    <row r="36" spans="2:7" x14ac:dyDescent="0.3">
      <c r="B36" cm="1">
        <f t="array" ref="B36:D36">LINEST(E22:E33,C22:D33)</f>
        <v>4.5242374415583813</v>
      </c>
      <c r="C36">
        <v>9.6806870044832807E-2</v>
      </c>
      <c r="D36">
        <v>0.13395576442938761</v>
      </c>
    </row>
    <row r="37" spans="2:7" x14ac:dyDescent="0.3">
      <c r="B37" s="35">
        <v>4.5242374415583813</v>
      </c>
      <c r="C37" s="66">
        <v>9.6806870044832807E-2</v>
      </c>
      <c r="D37" s="67">
        <v>0.13395576442938761</v>
      </c>
    </row>
    <row r="39" spans="2:7" x14ac:dyDescent="0.3">
      <c r="B39" s="2" t="s">
        <v>416</v>
      </c>
      <c r="C39" s="57">
        <v>0.15</v>
      </c>
    </row>
    <row r="40" spans="2:7" x14ac:dyDescent="0.3">
      <c r="B40" s="2" t="s">
        <v>415</v>
      </c>
      <c r="C40" s="57">
        <v>1</v>
      </c>
    </row>
    <row r="42" spans="2:7" x14ac:dyDescent="0.3">
      <c r="B42" t="s">
        <v>417</v>
      </c>
    </row>
    <row r="44" spans="2:7" x14ac:dyDescent="0.3">
      <c r="B44" s="2" t="s">
        <v>378</v>
      </c>
      <c r="C44" s="2" t="s">
        <v>379</v>
      </c>
      <c r="F44" s="2" t="s">
        <v>380</v>
      </c>
      <c r="G44" s="2" t="s">
        <v>381</v>
      </c>
    </row>
    <row r="45" spans="2:7" x14ac:dyDescent="0.3">
      <c r="B45">
        <f>C39</f>
        <v>0.15</v>
      </c>
      <c r="C45" s="67">
        <f>B37*C39+C37</f>
        <v>0.77544248627858992</v>
      </c>
      <c r="D45" s="67"/>
      <c r="F45">
        <f>C40</f>
        <v>1</v>
      </c>
      <c r="G45" s="67">
        <f>B37*C40+C37</f>
        <v>4.6210443116032138</v>
      </c>
    </row>
  </sheetData>
  <hyperlinks>
    <hyperlink ref="C17" r:id="rId1" xr:uid="{B4EDEF7F-CEF8-4664-B76C-2C03E3EC4D93}"/>
    <hyperlink ref="C18" r:id="rId2" xr:uid="{58BED534-1147-4B69-A8B5-3BA1889AF7D6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419E-34FC-4D77-8A06-93CBD664C16A}">
  <sheetPr>
    <tabColor rgb="FF00B050"/>
  </sheetPr>
  <dimension ref="A1:K61"/>
  <sheetViews>
    <sheetView topLeftCell="A40" workbookViewId="0">
      <selection activeCell="E69" sqref="E69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196</v>
      </c>
      <c r="C1" s="3" t="s">
        <v>0</v>
      </c>
      <c r="D1" s="2" t="s">
        <v>32</v>
      </c>
      <c r="E1" s="5" t="s">
        <v>11</v>
      </c>
      <c r="F1" s="2" t="s">
        <v>31</v>
      </c>
    </row>
    <row r="2" spans="2:11" x14ac:dyDescent="0.3">
      <c r="B2" s="17" t="s">
        <v>189</v>
      </c>
      <c r="C2" s="7">
        <v>24</v>
      </c>
      <c r="D2" s="9">
        <v>5.88</v>
      </c>
      <c r="E2" s="6" t="s">
        <v>184</v>
      </c>
      <c r="F2" s="9">
        <f t="shared" ref="F2:F21" si="0">$C2/$D2</f>
        <v>4.0816326530612246</v>
      </c>
      <c r="G2" s="9" t="s">
        <v>15</v>
      </c>
    </row>
    <row r="3" spans="2:11" x14ac:dyDescent="0.3">
      <c r="B3" s="16" t="s">
        <v>190</v>
      </c>
      <c r="C3" s="26">
        <v>156</v>
      </c>
      <c r="D3" s="18">
        <v>4.54</v>
      </c>
      <c r="E3" s="19" t="s">
        <v>191</v>
      </c>
      <c r="F3" s="18">
        <f t="shared" si="0"/>
        <v>34.36123348017621</v>
      </c>
      <c r="G3" s="18" t="s">
        <v>16</v>
      </c>
    </row>
    <row r="4" spans="2:11" x14ac:dyDescent="0.3">
      <c r="B4" s="17" t="s">
        <v>189</v>
      </c>
      <c r="C4" s="7">
        <v>25.4</v>
      </c>
      <c r="D4" s="9">
        <v>5.84</v>
      </c>
      <c r="E4" s="6" t="s">
        <v>184</v>
      </c>
      <c r="F4" s="9">
        <f t="shared" si="0"/>
        <v>4.3493150684931505</v>
      </c>
      <c r="G4" s="9" t="s">
        <v>15</v>
      </c>
    </row>
    <row r="5" spans="2:11" x14ac:dyDescent="0.3">
      <c r="B5" s="16" t="s">
        <v>190</v>
      </c>
      <c r="C5" s="26">
        <v>165</v>
      </c>
      <c r="D5" s="18">
        <v>4.53</v>
      </c>
      <c r="E5" s="19" t="s">
        <v>191</v>
      </c>
      <c r="F5" s="18">
        <f t="shared" si="0"/>
        <v>36.423841059602644</v>
      </c>
      <c r="G5" s="18" t="s">
        <v>16</v>
      </c>
    </row>
    <row r="6" spans="2:11" x14ac:dyDescent="0.3">
      <c r="B6" s="17" t="s">
        <v>189</v>
      </c>
      <c r="C6" s="7">
        <v>28.3</v>
      </c>
      <c r="D6" s="9">
        <v>6.03</v>
      </c>
      <c r="E6" s="6" t="s">
        <v>184</v>
      </c>
      <c r="F6" s="9">
        <f t="shared" si="0"/>
        <v>4.6932006633499173</v>
      </c>
      <c r="G6" s="9" t="s">
        <v>15</v>
      </c>
    </row>
    <row r="7" spans="2:11" x14ac:dyDescent="0.3">
      <c r="B7" s="16" t="s">
        <v>190</v>
      </c>
      <c r="C7" s="26">
        <v>184</v>
      </c>
      <c r="D7" s="18">
        <v>4.4800000000000004</v>
      </c>
      <c r="E7" s="19" t="s">
        <v>191</v>
      </c>
      <c r="F7" s="18">
        <f t="shared" si="0"/>
        <v>41.071428571428569</v>
      </c>
      <c r="G7" s="18" t="s">
        <v>16</v>
      </c>
    </row>
    <row r="8" spans="2:11" x14ac:dyDescent="0.3">
      <c r="B8" s="17" t="s">
        <v>189</v>
      </c>
      <c r="C8" s="7">
        <v>28.5</v>
      </c>
      <c r="D8" s="9">
        <v>5.75</v>
      </c>
      <c r="E8" s="6" t="s">
        <v>184</v>
      </c>
      <c r="F8" s="9">
        <f t="shared" si="0"/>
        <v>4.9565217391304346</v>
      </c>
      <c r="G8" s="9" t="s">
        <v>15</v>
      </c>
    </row>
    <row r="9" spans="2:11" x14ac:dyDescent="0.3">
      <c r="B9" s="16" t="s">
        <v>190</v>
      </c>
      <c r="C9" s="26">
        <v>185</v>
      </c>
      <c r="D9" s="18">
        <v>4.4400000000000004</v>
      </c>
      <c r="E9" s="19" t="s">
        <v>191</v>
      </c>
      <c r="F9" s="18">
        <f t="shared" si="0"/>
        <v>41.666666666666664</v>
      </c>
      <c r="G9" s="18" t="s">
        <v>16</v>
      </c>
    </row>
    <row r="10" spans="2:11" x14ac:dyDescent="0.3">
      <c r="B10" s="17" t="s">
        <v>189</v>
      </c>
      <c r="C10" s="7">
        <v>33.4</v>
      </c>
      <c r="D10" s="9">
        <v>5.87</v>
      </c>
      <c r="E10" s="6" t="s">
        <v>184</v>
      </c>
      <c r="F10" s="9">
        <f t="shared" si="0"/>
        <v>5.6899488926746162</v>
      </c>
      <c r="G10" s="9" t="s">
        <v>15</v>
      </c>
    </row>
    <row r="11" spans="2:11" x14ac:dyDescent="0.3">
      <c r="B11" s="16" t="s">
        <v>190</v>
      </c>
      <c r="C11" s="26">
        <v>217</v>
      </c>
      <c r="D11" s="18">
        <v>4.42</v>
      </c>
      <c r="E11" s="19" t="s">
        <v>191</v>
      </c>
      <c r="F11" s="18">
        <f t="shared" si="0"/>
        <v>49.095022624434392</v>
      </c>
      <c r="G11" s="18" t="s">
        <v>16</v>
      </c>
    </row>
    <row r="12" spans="2:11" x14ac:dyDescent="0.3">
      <c r="B12" s="17" t="s">
        <v>189</v>
      </c>
      <c r="C12" s="7">
        <v>41.2</v>
      </c>
      <c r="D12" s="9">
        <v>5.81</v>
      </c>
      <c r="E12" s="6" t="s">
        <v>184</v>
      </c>
      <c r="F12" s="9">
        <f t="shared" si="0"/>
        <v>7.0912220309810685</v>
      </c>
      <c r="G12" s="9" t="s">
        <v>15</v>
      </c>
    </row>
    <row r="13" spans="2:11" x14ac:dyDescent="0.3">
      <c r="B13" s="16" t="s">
        <v>190</v>
      </c>
      <c r="C13" s="26">
        <v>268</v>
      </c>
      <c r="D13" s="18">
        <v>4.37</v>
      </c>
      <c r="E13" s="19" t="s">
        <v>191</v>
      </c>
      <c r="F13" s="18">
        <f t="shared" si="0"/>
        <v>61.327231121281464</v>
      </c>
      <c r="G13" s="18" t="s">
        <v>16</v>
      </c>
    </row>
    <row r="14" spans="2:11" x14ac:dyDescent="0.3">
      <c r="B14" s="17" t="s">
        <v>189</v>
      </c>
      <c r="C14" s="7">
        <v>45.4</v>
      </c>
      <c r="D14" s="9">
        <v>5.94</v>
      </c>
      <c r="E14" s="6" t="s">
        <v>184</v>
      </c>
      <c r="F14" s="9">
        <f t="shared" si="0"/>
        <v>7.6430976430976427</v>
      </c>
      <c r="G14" s="9" t="s">
        <v>15</v>
      </c>
      <c r="H14" s="2" t="s">
        <v>396</v>
      </c>
      <c r="I14" s="2" t="s">
        <v>379</v>
      </c>
      <c r="J14" s="2" t="s">
        <v>397</v>
      </c>
      <c r="K14" s="2" t="s">
        <v>381</v>
      </c>
    </row>
    <row r="15" spans="2:11" x14ac:dyDescent="0.3">
      <c r="B15" s="16" t="s">
        <v>190</v>
      </c>
      <c r="C15" s="26">
        <v>295</v>
      </c>
      <c r="D15" s="18">
        <v>4.43</v>
      </c>
      <c r="E15" s="19" t="s">
        <v>191</v>
      </c>
      <c r="F15" s="18">
        <f t="shared" si="0"/>
        <v>66.591422121896173</v>
      </c>
      <c r="G15" s="18" t="s">
        <v>16</v>
      </c>
      <c r="H15" s="18">
        <f>I15/D14</f>
        <v>7.7726416709467552</v>
      </c>
      <c r="I15" s="26">
        <f>K15*C14/C15</f>
        <v>46.16949152542373</v>
      </c>
      <c r="J15" s="26">
        <f>K15/D15</f>
        <v>67.720090293453723</v>
      </c>
      <c r="K15" s="26">
        <v>300</v>
      </c>
    </row>
    <row r="16" spans="2:11" x14ac:dyDescent="0.3">
      <c r="B16" s="17" t="s">
        <v>189</v>
      </c>
      <c r="C16" s="7">
        <v>50.3</v>
      </c>
      <c r="D16" s="9">
        <v>5.94</v>
      </c>
      <c r="E16" s="6" t="s">
        <v>184</v>
      </c>
      <c r="F16" s="9">
        <f t="shared" si="0"/>
        <v>8.4680134680134671</v>
      </c>
      <c r="G16" s="9" t="s">
        <v>15</v>
      </c>
    </row>
    <row r="17" spans="1:7" x14ac:dyDescent="0.3">
      <c r="B17" s="16" t="s">
        <v>190</v>
      </c>
      <c r="C17" s="26">
        <v>327</v>
      </c>
      <c r="D17" s="18">
        <v>4.49</v>
      </c>
      <c r="E17" s="19" t="s">
        <v>191</v>
      </c>
      <c r="F17" s="18">
        <f t="shared" si="0"/>
        <v>72.828507795100222</v>
      </c>
      <c r="G17" s="18" t="s">
        <v>16</v>
      </c>
    </row>
    <row r="18" spans="1:7" x14ac:dyDescent="0.3">
      <c r="B18" s="17" t="s">
        <v>189</v>
      </c>
      <c r="C18" s="7">
        <v>56.3</v>
      </c>
      <c r="D18" s="9">
        <v>5.88</v>
      </c>
      <c r="E18" s="6" t="s">
        <v>184</v>
      </c>
      <c r="F18" s="9">
        <f t="shared" si="0"/>
        <v>9.5748299319727881</v>
      </c>
      <c r="G18" s="9" t="s">
        <v>15</v>
      </c>
    </row>
    <row r="19" spans="1:7" x14ac:dyDescent="0.3">
      <c r="B19" s="16" t="s">
        <v>190</v>
      </c>
      <c r="C19" s="26">
        <v>366</v>
      </c>
      <c r="D19" s="18">
        <v>4.46</v>
      </c>
      <c r="E19" s="19" t="s">
        <v>191</v>
      </c>
      <c r="F19" s="18">
        <f t="shared" si="0"/>
        <v>82.062780269058294</v>
      </c>
      <c r="G19" s="18" t="s">
        <v>16</v>
      </c>
    </row>
    <row r="20" spans="1:7" x14ac:dyDescent="0.3">
      <c r="B20" s="17" t="s">
        <v>189</v>
      </c>
      <c r="C20" s="7">
        <v>67.400000000000006</v>
      </c>
      <c r="D20" s="9">
        <v>5.82</v>
      </c>
      <c r="E20" s="6" t="s">
        <v>184</v>
      </c>
      <c r="F20" s="9">
        <f t="shared" si="0"/>
        <v>11.580756013745704</v>
      </c>
      <c r="G20" s="9" t="s">
        <v>15</v>
      </c>
    </row>
    <row r="21" spans="1:7" x14ac:dyDescent="0.3">
      <c r="B21" s="16" t="s">
        <v>190</v>
      </c>
      <c r="C21" s="26">
        <v>438</v>
      </c>
      <c r="D21" s="18">
        <v>4.3</v>
      </c>
      <c r="E21" s="19" t="s">
        <v>191</v>
      </c>
      <c r="F21" s="18">
        <f t="shared" si="0"/>
        <v>101.86046511627907</v>
      </c>
      <c r="G21" s="18" t="s">
        <v>16</v>
      </c>
    </row>
    <row r="24" spans="1:7" x14ac:dyDescent="0.3">
      <c r="B24" t="s">
        <v>1</v>
      </c>
      <c r="C24" t="s">
        <v>4</v>
      </c>
    </row>
    <row r="25" spans="1:7" x14ac:dyDescent="0.3">
      <c r="A25" t="s">
        <v>184</v>
      </c>
      <c r="B25" t="s">
        <v>183</v>
      </c>
      <c r="C25" s="4" t="s">
        <v>182</v>
      </c>
      <c r="D25" s="4"/>
      <c r="G25" t="s">
        <v>386</v>
      </c>
    </row>
    <row r="26" spans="1:7" x14ac:dyDescent="0.3">
      <c r="A26" t="s">
        <v>192</v>
      </c>
      <c r="B26" t="s">
        <v>195</v>
      </c>
      <c r="C26" s="4" t="s">
        <v>194</v>
      </c>
      <c r="D26" s="4"/>
    </row>
    <row r="27" spans="1:7" x14ac:dyDescent="0.3">
      <c r="B27" s="14"/>
      <c r="C27" s="4"/>
    </row>
    <row r="28" spans="1:7" x14ac:dyDescent="0.3">
      <c r="E28" s="10" t="s">
        <v>18</v>
      </c>
      <c r="F28" s="10" t="s">
        <v>18</v>
      </c>
      <c r="G28" s="10" t="s">
        <v>18</v>
      </c>
    </row>
    <row r="29" spans="1:7" x14ac:dyDescent="0.3">
      <c r="B29" s="2" t="s">
        <v>13</v>
      </c>
      <c r="C29" s="2" t="s">
        <v>12</v>
      </c>
      <c r="D29" s="2" t="s">
        <v>25</v>
      </c>
      <c r="E29" s="2" t="s">
        <v>17</v>
      </c>
      <c r="F29" s="2" t="s">
        <v>22</v>
      </c>
      <c r="G29" s="2" t="s">
        <v>23</v>
      </c>
    </row>
    <row r="30" spans="1:7" x14ac:dyDescent="0.3">
      <c r="B30" s="9" t="s">
        <v>15</v>
      </c>
      <c r="C30" s="9">
        <f>$C3</f>
        <v>156</v>
      </c>
      <c r="D30" s="9">
        <f t="shared" ref="D30:D49" si="1">$F2</f>
        <v>4.0816326530612246</v>
      </c>
      <c r="E30" s="9">
        <f t="shared" ref="E30:E49" si="2">$D30*$D2</f>
        <v>24</v>
      </c>
      <c r="F30" s="9">
        <f t="shared" ref="F30:F49" si="3">$B$52*$D30+$C$52*$C30+$D$52</f>
        <v>25.959707484470734</v>
      </c>
      <c r="G30" s="20">
        <f t="shared" ref="G30:G49" si="4">($E30-$F30)/$E30</f>
        <v>-8.1654478519613896E-2</v>
      </c>
    </row>
    <row r="31" spans="1:7" x14ac:dyDescent="0.3">
      <c r="B31" s="18" t="s">
        <v>16</v>
      </c>
      <c r="C31" s="18">
        <f>$C3</f>
        <v>156</v>
      </c>
      <c r="D31" s="18">
        <f t="shared" si="1"/>
        <v>34.36123348017621</v>
      </c>
      <c r="E31" s="18">
        <f t="shared" si="2"/>
        <v>156</v>
      </c>
      <c r="F31" s="18">
        <f t="shared" si="3"/>
        <v>153.72598756141792</v>
      </c>
      <c r="G31" s="20">
        <f t="shared" si="4"/>
        <v>1.4577002811423566E-2</v>
      </c>
    </row>
    <row r="32" spans="1:7" x14ac:dyDescent="0.3">
      <c r="B32" s="9" t="s">
        <v>15</v>
      </c>
      <c r="C32" s="9">
        <f>$C5</f>
        <v>165</v>
      </c>
      <c r="D32" s="9">
        <f t="shared" si="1"/>
        <v>4.3493150684931505</v>
      </c>
      <c r="E32" s="9">
        <f t="shared" si="2"/>
        <v>25.4</v>
      </c>
      <c r="F32" s="9">
        <f t="shared" si="3"/>
        <v>27.352436043416876</v>
      </c>
      <c r="G32" s="20">
        <f t="shared" si="4"/>
        <v>-7.686756076444401E-2</v>
      </c>
    </row>
    <row r="33" spans="2:7" x14ac:dyDescent="0.3">
      <c r="B33" s="18" t="s">
        <v>16</v>
      </c>
      <c r="C33" s="18">
        <f>$C5</f>
        <v>165</v>
      </c>
      <c r="D33" s="18">
        <f t="shared" si="1"/>
        <v>36.423841059602644</v>
      </c>
      <c r="E33" s="18">
        <f t="shared" si="2"/>
        <v>165</v>
      </c>
      <c r="F33" s="18">
        <f t="shared" si="3"/>
        <v>162.6924920274335</v>
      </c>
      <c r="G33" s="20">
        <f t="shared" si="4"/>
        <v>1.398489680343332E-2</v>
      </c>
    </row>
    <row r="34" spans="2:7" x14ac:dyDescent="0.3">
      <c r="B34" s="9" t="s">
        <v>15</v>
      </c>
      <c r="C34" s="9">
        <f>$C7</f>
        <v>184</v>
      </c>
      <c r="D34" s="9">
        <f t="shared" si="1"/>
        <v>4.6932006633499173</v>
      </c>
      <c r="E34" s="9">
        <f t="shared" si="2"/>
        <v>28.3</v>
      </c>
      <c r="F34" s="9">
        <f t="shared" si="3"/>
        <v>29.359184712536848</v>
      </c>
      <c r="G34" s="20">
        <f t="shared" si="4"/>
        <v>-3.7427021644411571E-2</v>
      </c>
    </row>
    <row r="35" spans="2:7" x14ac:dyDescent="0.3">
      <c r="B35" s="18" t="s">
        <v>16</v>
      </c>
      <c r="C35" s="18">
        <f>$C7</f>
        <v>184</v>
      </c>
      <c r="D35" s="18">
        <f t="shared" si="1"/>
        <v>41.071428571428569</v>
      </c>
      <c r="E35" s="18">
        <f t="shared" si="2"/>
        <v>184</v>
      </c>
      <c r="F35" s="18">
        <f t="shared" si="3"/>
        <v>182.85892475681283</v>
      </c>
      <c r="G35" s="20">
        <f t="shared" si="4"/>
        <v>6.2014958868868162E-3</v>
      </c>
    </row>
    <row r="36" spans="2:7" x14ac:dyDescent="0.3">
      <c r="B36" s="9" t="s">
        <v>15</v>
      </c>
      <c r="C36" s="9">
        <f>$C9</f>
        <v>185</v>
      </c>
      <c r="D36" s="9">
        <f t="shared" si="1"/>
        <v>4.9565217391304346</v>
      </c>
      <c r="E36" s="9">
        <f t="shared" si="2"/>
        <v>28.5</v>
      </c>
      <c r="F36" s="9">
        <f t="shared" si="3"/>
        <v>30.499528775279245</v>
      </c>
      <c r="G36" s="20">
        <f t="shared" si="4"/>
        <v>-7.0158904395762986E-2</v>
      </c>
    </row>
    <row r="37" spans="2:7" x14ac:dyDescent="0.3">
      <c r="B37" s="18" t="s">
        <v>16</v>
      </c>
      <c r="C37" s="18">
        <f>$C9</f>
        <v>185</v>
      </c>
      <c r="D37" s="18">
        <f t="shared" si="1"/>
        <v>41.666666666666664</v>
      </c>
      <c r="E37" s="18">
        <f t="shared" si="2"/>
        <v>185</v>
      </c>
      <c r="F37" s="18">
        <f t="shared" si="3"/>
        <v>185.39980917385037</v>
      </c>
      <c r="G37" s="20">
        <f t="shared" si="4"/>
        <v>-2.1611306694614687E-3</v>
      </c>
    </row>
    <row r="38" spans="2:7" x14ac:dyDescent="0.3">
      <c r="B38" s="9" t="s">
        <v>15</v>
      </c>
      <c r="C38" s="9">
        <f>$C11</f>
        <v>217</v>
      </c>
      <c r="D38" s="9">
        <f t="shared" si="1"/>
        <v>5.6899488926746162</v>
      </c>
      <c r="E38" s="9">
        <f t="shared" si="2"/>
        <v>33.4</v>
      </c>
      <c r="F38" s="9">
        <f t="shared" si="3"/>
        <v>34.530187516091651</v>
      </c>
      <c r="G38" s="20">
        <f t="shared" si="4"/>
        <v>-3.3837949583582411E-2</v>
      </c>
    </row>
    <row r="39" spans="2:7" x14ac:dyDescent="0.3">
      <c r="B39" s="18" t="s">
        <v>16</v>
      </c>
      <c r="C39" s="18">
        <f>$C11</f>
        <v>217</v>
      </c>
      <c r="D39" s="18">
        <f t="shared" si="1"/>
        <v>49.095022624434392</v>
      </c>
      <c r="E39" s="18">
        <f t="shared" si="2"/>
        <v>217</v>
      </c>
      <c r="F39" s="18">
        <f t="shared" si="3"/>
        <v>217.68005262945397</v>
      </c>
      <c r="G39" s="20">
        <f t="shared" si="4"/>
        <v>-3.1338830850413269E-3</v>
      </c>
    </row>
    <row r="40" spans="2:7" x14ac:dyDescent="0.3">
      <c r="B40" s="9" t="s">
        <v>15</v>
      </c>
      <c r="C40" s="9">
        <f>$C13</f>
        <v>268</v>
      </c>
      <c r="D40" s="9">
        <f t="shared" si="1"/>
        <v>7.0912220309810685</v>
      </c>
      <c r="E40" s="9">
        <f t="shared" si="2"/>
        <v>41.2</v>
      </c>
      <c r="F40" s="9">
        <f t="shared" si="3"/>
        <v>41.934561886613501</v>
      </c>
      <c r="G40" s="20">
        <f t="shared" si="4"/>
        <v>-1.7829172005181998E-2</v>
      </c>
    </row>
    <row r="41" spans="2:7" x14ac:dyDescent="0.3">
      <c r="B41" s="18" t="s">
        <v>16</v>
      </c>
      <c r="C41" s="18">
        <f>$C13</f>
        <v>268</v>
      </c>
      <c r="D41" s="18">
        <f t="shared" si="1"/>
        <v>61.327231121281464</v>
      </c>
      <c r="E41" s="18">
        <f t="shared" si="2"/>
        <v>268</v>
      </c>
      <c r="F41" s="18">
        <f t="shared" si="3"/>
        <v>270.78609686067659</v>
      </c>
      <c r="G41" s="20">
        <f t="shared" si="4"/>
        <v>-1.0395883808494752E-2</v>
      </c>
    </row>
    <row r="42" spans="2:7" x14ac:dyDescent="0.3">
      <c r="B42" s="9" t="s">
        <v>15</v>
      </c>
      <c r="C42" s="9">
        <f>$C15</f>
        <v>295</v>
      </c>
      <c r="D42" s="9">
        <f t="shared" si="1"/>
        <v>7.6430976430976427</v>
      </c>
      <c r="E42" s="9">
        <f t="shared" si="2"/>
        <v>45.4</v>
      </c>
      <c r="F42" s="9">
        <f t="shared" si="3"/>
        <v>45.052916374026616</v>
      </c>
      <c r="G42" s="20">
        <f t="shared" si="4"/>
        <v>7.6450137879599768E-3</v>
      </c>
    </row>
    <row r="43" spans="2:7" x14ac:dyDescent="0.3">
      <c r="B43" s="18" t="s">
        <v>16</v>
      </c>
      <c r="C43" s="18">
        <f>$C15</f>
        <v>295</v>
      </c>
      <c r="D43" s="18">
        <f t="shared" si="1"/>
        <v>66.591422121896173</v>
      </c>
      <c r="E43" s="18">
        <f t="shared" si="2"/>
        <v>295</v>
      </c>
      <c r="F43" s="18">
        <f t="shared" si="3"/>
        <v>293.78830025268326</v>
      </c>
      <c r="G43" s="20">
        <f t="shared" si="4"/>
        <v>4.1074567705652303E-3</v>
      </c>
    </row>
    <row r="44" spans="2:7" x14ac:dyDescent="0.3">
      <c r="B44" s="9" t="s">
        <v>15</v>
      </c>
      <c r="C44" s="9">
        <f>$C17</f>
        <v>327</v>
      </c>
      <c r="D44" s="9">
        <f t="shared" si="1"/>
        <v>8.4680134680134671</v>
      </c>
      <c r="E44" s="9">
        <f t="shared" si="2"/>
        <v>50.3</v>
      </c>
      <c r="F44" s="9">
        <f t="shared" si="3"/>
        <v>49.469616109140027</v>
      </c>
      <c r="G44" s="20">
        <f t="shared" si="4"/>
        <v>1.6508626060834395E-2</v>
      </c>
    </row>
    <row r="45" spans="2:7" x14ac:dyDescent="0.3">
      <c r="B45" s="18" t="s">
        <v>16</v>
      </c>
      <c r="C45" s="18">
        <f>$C17</f>
        <v>327</v>
      </c>
      <c r="D45" s="18">
        <f t="shared" si="1"/>
        <v>72.828507795100222</v>
      </c>
      <c r="E45" s="18">
        <f t="shared" si="2"/>
        <v>327</v>
      </c>
      <c r="F45" s="18">
        <f t="shared" si="3"/>
        <v>321.04191955647144</v>
      </c>
      <c r="G45" s="20">
        <f t="shared" si="4"/>
        <v>1.8220429490913022E-2</v>
      </c>
    </row>
    <row r="46" spans="2:7" x14ac:dyDescent="0.3">
      <c r="B46" s="9" t="s">
        <v>15</v>
      </c>
      <c r="C46" s="9">
        <f>$C19</f>
        <v>366</v>
      </c>
      <c r="D46" s="9">
        <f t="shared" si="1"/>
        <v>9.5748299319727881</v>
      </c>
      <c r="E46" s="9">
        <f t="shared" si="2"/>
        <v>56.29999999999999</v>
      </c>
      <c r="F46" s="9">
        <f t="shared" si="3"/>
        <v>55.280543502420358</v>
      </c>
      <c r="G46" s="20">
        <f t="shared" si="4"/>
        <v>1.810757544546417E-2</v>
      </c>
    </row>
    <row r="47" spans="2:7" x14ac:dyDescent="0.3">
      <c r="B47" s="18" t="s">
        <v>16</v>
      </c>
      <c r="C47" s="18">
        <f>$C19</f>
        <v>366</v>
      </c>
      <c r="D47" s="18">
        <f t="shared" si="1"/>
        <v>82.062780269058294</v>
      </c>
      <c r="E47" s="18">
        <f t="shared" si="2"/>
        <v>366</v>
      </c>
      <c r="F47" s="18">
        <f t="shared" si="3"/>
        <v>361.14705138182217</v>
      </c>
      <c r="G47" s="20">
        <f t="shared" si="4"/>
        <v>1.3259422454037797E-2</v>
      </c>
    </row>
    <row r="48" spans="2:7" x14ac:dyDescent="0.3">
      <c r="B48" s="9" t="s">
        <v>15</v>
      </c>
      <c r="C48" s="9">
        <f>$C21</f>
        <v>438</v>
      </c>
      <c r="D48" s="9">
        <f t="shared" si="1"/>
        <v>11.580756013745704</v>
      </c>
      <c r="E48" s="9">
        <f t="shared" si="2"/>
        <v>67.400000000000006</v>
      </c>
      <c r="F48" s="9">
        <f t="shared" si="3"/>
        <v>65.850482726987423</v>
      </c>
      <c r="G48" s="20">
        <f t="shared" si="4"/>
        <v>2.2989870519474525E-2</v>
      </c>
    </row>
    <row r="49" spans="2:7" x14ac:dyDescent="0.3">
      <c r="B49" s="18" t="s">
        <v>16</v>
      </c>
      <c r="C49" s="18">
        <f>$C21</f>
        <v>438</v>
      </c>
      <c r="D49" s="18">
        <f t="shared" si="1"/>
        <v>101.86046511627907</v>
      </c>
      <c r="E49" s="18">
        <f t="shared" si="2"/>
        <v>438</v>
      </c>
      <c r="F49" s="18">
        <f t="shared" si="3"/>
        <v>446.79020066839513</v>
      </c>
      <c r="G49" s="20">
        <f t="shared" si="4"/>
        <v>-2.0068951297705775E-2</v>
      </c>
    </row>
    <row r="51" spans="2:7" x14ac:dyDescent="0.3">
      <c r="B51" t="s">
        <v>19</v>
      </c>
      <c r="C51" t="s">
        <v>20</v>
      </c>
      <c r="D51" t="s">
        <v>21</v>
      </c>
    </row>
    <row r="52" spans="2:7" x14ac:dyDescent="0.3">
      <c r="B52" cm="1">
        <f t="array" ref="B52:D52">LINEST(E30:E49,C30:D49)</f>
        <v>4.219549683182553</v>
      </c>
      <c r="C52">
        <v>2.9247700857424171E-2</v>
      </c>
      <c r="D52">
        <v>4.1744143826205118</v>
      </c>
    </row>
    <row r="53" spans="2:7" x14ac:dyDescent="0.3">
      <c r="B53" s="35">
        <v>4.219549683182553</v>
      </c>
      <c r="C53" s="66">
        <v>2.9247700857424171E-2</v>
      </c>
      <c r="D53" s="35">
        <v>4.1744143826205118</v>
      </c>
    </row>
    <row r="55" spans="2:7" x14ac:dyDescent="0.3">
      <c r="B55" s="2" t="s">
        <v>416</v>
      </c>
      <c r="C55" s="57">
        <v>0.15</v>
      </c>
    </row>
    <row r="56" spans="2:7" x14ac:dyDescent="0.3">
      <c r="B56" s="2" t="s">
        <v>415</v>
      </c>
      <c r="C56" s="57">
        <v>1</v>
      </c>
    </row>
    <row r="58" spans="2:7" x14ac:dyDescent="0.3">
      <c r="B58" t="s">
        <v>417</v>
      </c>
    </row>
    <row r="60" spans="2:7" x14ac:dyDescent="0.3">
      <c r="B60" s="2" t="s">
        <v>378</v>
      </c>
      <c r="C60" s="2" t="s">
        <v>379</v>
      </c>
      <c r="F60" s="2" t="s">
        <v>380</v>
      </c>
      <c r="G60" s="2" t="s">
        <v>381</v>
      </c>
    </row>
    <row r="61" spans="2:7" x14ac:dyDescent="0.3">
      <c r="B61">
        <f>C55</f>
        <v>0.15</v>
      </c>
      <c r="C61" s="67">
        <f>B53*C55+C53</f>
        <v>0.66218015333480706</v>
      </c>
      <c r="D61" s="67"/>
      <c r="F61">
        <f>C56</f>
        <v>1</v>
      </c>
      <c r="G61" s="67">
        <f>B53*C56+C53</f>
        <v>4.2487973840399773</v>
      </c>
    </row>
  </sheetData>
  <hyperlinks>
    <hyperlink ref="C26" r:id="rId1" xr:uid="{CDF7BB41-2661-4A44-BFE2-B7EE50B12F45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0333-7CD7-40CB-9EC9-D065EA5249C4}">
  <sheetPr>
    <tabColor rgb="FF7030A0"/>
  </sheetPr>
  <dimension ref="A1:K61"/>
  <sheetViews>
    <sheetView topLeftCell="A37" workbookViewId="0">
      <selection activeCell="B55" sqref="B55:G61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7" x14ac:dyDescent="0.3">
      <c r="B1" s="10" t="s">
        <v>196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7" x14ac:dyDescent="0.3">
      <c r="B2" s="17" t="s">
        <v>189</v>
      </c>
      <c r="C2" s="7">
        <v>27.4</v>
      </c>
      <c r="D2" s="9">
        <v>8.7100000000000009</v>
      </c>
      <c r="E2" s="6" t="s">
        <v>184</v>
      </c>
      <c r="F2" s="9">
        <f t="shared" ref="F2:F21" si="0">$C2/$D2</f>
        <v>3.1458094144661306</v>
      </c>
      <c r="G2" s="9" t="s">
        <v>15</v>
      </c>
    </row>
    <row r="3" spans="2:7" x14ac:dyDescent="0.3">
      <c r="B3" s="16" t="s">
        <v>190</v>
      </c>
      <c r="C3" s="26">
        <v>129.80000000000001</v>
      </c>
      <c r="D3" s="18">
        <v>5.17</v>
      </c>
      <c r="E3" s="19" t="s">
        <v>191</v>
      </c>
      <c r="F3" s="18">
        <f t="shared" si="0"/>
        <v>25.106382978723406</v>
      </c>
      <c r="G3" s="18" t="s">
        <v>16</v>
      </c>
    </row>
    <row r="4" spans="2:7" x14ac:dyDescent="0.3">
      <c r="B4" s="17" t="s">
        <v>189</v>
      </c>
      <c r="C4" s="7">
        <v>30.1</v>
      </c>
      <c r="D4" s="9">
        <v>8.6199999999999992</v>
      </c>
      <c r="E4" s="6" t="s">
        <v>184</v>
      </c>
      <c r="F4" s="9">
        <f t="shared" si="0"/>
        <v>3.4918793503480283</v>
      </c>
      <c r="G4" s="9" t="s">
        <v>15</v>
      </c>
    </row>
    <row r="5" spans="2:7" x14ac:dyDescent="0.3">
      <c r="B5" s="16" t="s">
        <v>190</v>
      </c>
      <c r="C5" s="26">
        <v>143.1</v>
      </c>
      <c r="D5" s="18">
        <v>5.1100000000000003</v>
      </c>
      <c r="E5" s="19" t="s">
        <v>191</v>
      </c>
      <c r="F5" s="18">
        <f t="shared" si="0"/>
        <v>28.00391389432485</v>
      </c>
      <c r="G5" s="18" t="s">
        <v>16</v>
      </c>
    </row>
    <row r="6" spans="2:7" x14ac:dyDescent="0.3">
      <c r="B6" s="17" t="s">
        <v>189</v>
      </c>
      <c r="C6" s="7">
        <v>32.799999999999997</v>
      </c>
      <c r="D6" s="9">
        <v>8.1199999999999992</v>
      </c>
      <c r="E6" s="6" t="s">
        <v>184</v>
      </c>
      <c r="F6" s="9">
        <f t="shared" si="0"/>
        <v>4.0394088669950738</v>
      </c>
      <c r="G6" s="9" t="s">
        <v>15</v>
      </c>
    </row>
    <row r="7" spans="2:7" x14ac:dyDescent="0.3">
      <c r="B7" s="16" t="s">
        <v>190</v>
      </c>
      <c r="C7" s="26">
        <v>155.80000000000001</v>
      </c>
      <c r="D7" s="18">
        <v>5.01</v>
      </c>
      <c r="E7" s="19" t="s">
        <v>191</v>
      </c>
      <c r="F7" s="18">
        <f t="shared" si="0"/>
        <v>31.097804391217569</v>
      </c>
      <c r="G7" s="18" t="s">
        <v>16</v>
      </c>
    </row>
    <row r="8" spans="2:7" x14ac:dyDescent="0.3">
      <c r="B8" s="17" t="s">
        <v>189</v>
      </c>
      <c r="C8" s="7">
        <v>33.299999999999997</v>
      </c>
      <c r="D8" s="9">
        <v>7.9</v>
      </c>
      <c r="E8" s="6" t="s">
        <v>184</v>
      </c>
      <c r="F8" s="9">
        <f t="shared" si="0"/>
        <v>4.2151898734177209</v>
      </c>
      <c r="G8" s="9" t="s">
        <v>15</v>
      </c>
    </row>
    <row r="9" spans="2:7" x14ac:dyDescent="0.3">
      <c r="B9" s="16" t="s">
        <v>190</v>
      </c>
      <c r="C9" s="26">
        <v>158</v>
      </c>
      <c r="D9" s="18">
        <v>5.04</v>
      </c>
      <c r="E9" s="19" t="s">
        <v>191</v>
      </c>
      <c r="F9" s="18">
        <f t="shared" si="0"/>
        <v>31.349206349206348</v>
      </c>
      <c r="G9" s="18" t="s">
        <v>16</v>
      </c>
    </row>
    <row r="10" spans="2:7" x14ac:dyDescent="0.3">
      <c r="B10" s="17" t="s">
        <v>189</v>
      </c>
      <c r="C10" s="7">
        <v>39</v>
      </c>
      <c r="D10" s="9">
        <v>7.56</v>
      </c>
      <c r="E10" s="6" t="s">
        <v>184</v>
      </c>
      <c r="F10" s="9">
        <f t="shared" si="0"/>
        <v>5.1587301587301591</v>
      </c>
      <c r="G10" s="9" t="s">
        <v>15</v>
      </c>
    </row>
    <row r="11" spans="2:7" x14ac:dyDescent="0.3">
      <c r="B11" s="16" t="s">
        <v>190</v>
      </c>
      <c r="C11" s="26">
        <v>185</v>
      </c>
      <c r="D11" s="18">
        <v>4.96</v>
      </c>
      <c r="E11" s="19" t="s">
        <v>191</v>
      </c>
      <c r="F11" s="18">
        <f t="shared" si="0"/>
        <v>37.298387096774192</v>
      </c>
      <c r="G11" s="18" t="s">
        <v>16</v>
      </c>
    </row>
    <row r="12" spans="2:7" x14ac:dyDescent="0.3">
      <c r="B12" s="17" t="s">
        <v>189</v>
      </c>
      <c r="C12" s="7">
        <v>45.7</v>
      </c>
      <c r="D12" s="9">
        <v>7.62</v>
      </c>
      <c r="E12" s="6" t="s">
        <v>184</v>
      </c>
      <c r="F12" s="9">
        <f t="shared" si="0"/>
        <v>5.9973753280839901</v>
      </c>
      <c r="G12" s="9" t="s">
        <v>15</v>
      </c>
    </row>
    <row r="13" spans="2:7" x14ac:dyDescent="0.3">
      <c r="B13" s="16" t="s">
        <v>190</v>
      </c>
      <c r="C13" s="26">
        <v>217.2</v>
      </c>
      <c r="D13" s="18">
        <v>4.87</v>
      </c>
      <c r="E13" s="19" t="s">
        <v>191</v>
      </c>
      <c r="F13" s="18">
        <f t="shared" si="0"/>
        <v>44.599589322381924</v>
      </c>
      <c r="G13" s="18" t="s">
        <v>16</v>
      </c>
    </row>
    <row r="14" spans="2:7" x14ac:dyDescent="0.3">
      <c r="B14" s="17" t="s">
        <v>189</v>
      </c>
      <c r="C14" s="7">
        <v>52.7</v>
      </c>
      <c r="D14" s="9">
        <v>7.83</v>
      </c>
      <c r="E14" s="6" t="s">
        <v>184</v>
      </c>
      <c r="F14" s="9">
        <f t="shared" si="0"/>
        <v>6.7305236270753515</v>
      </c>
      <c r="G14" s="9" t="s">
        <v>15</v>
      </c>
    </row>
    <row r="15" spans="2:7" x14ac:dyDescent="0.3">
      <c r="B15" s="16" t="s">
        <v>190</v>
      </c>
      <c r="C15" s="26">
        <v>250.4</v>
      </c>
      <c r="D15" s="18">
        <v>4.93</v>
      </c>
      <c r="E15" s="19" t="s">
        <v>191</v>
      </c>
      <c r="F15" s="18">
        <f t="shared" si="0"/>
        <v>50.791075050709942</v>
      </c>
      <c r="G15" s="18" t="s">
        <v>16</v>
      </c>
    </row>
    <row r="16" spans="2:7" x14ac:dyDescent="0.3">
      <c r="B16" s="17" t="s">
        <v>189</v>
      </c>
      <c r="C16" s="7">
        <v>58.5</v>
      </c>
      <c r="D16" s="9">
        <v>8.01</v>
      </c>
      <c r="E16" s="6" t="s">
        <v>184</v>
      </c>
      <c r="F16" s="9">
        <f t="shared" si="0"/>
        <v>7.3033707865168545</v>
      </c>
      <c r="G16" s="9" t="s">
        <v>15</v>
      </c>
    </row>
    <row r="17" spans="1:11" x14ac:dyDescent="0.3">
      <c r="B17" s="16" t="s">
        <v>190</v>
      </c>
      <c r="C17" s="26">
        <v>277.7</v>
      </c>
      <c r="D17" s="18">
        <v>5.04</v>
      </c>
      <c r="E17" s="19" t="s">
        <v>191</v>
      </c>
      <c r="F17" s="18">
        <f t="shared" si="0"/>
        <v>55.099206349206348</v>
      </c>
      <c r="G17" s="18" t="s">
        <v>16</v>
      </c>
    </row>
    <row r="18" spans="1:11" x14ac:dyDescent="0.3">
      <c r="B18" s="17" t="s">
        <v>189</v>
      </c>
      <c r="C18" s="7">
        <v>63.7</v>
      </c>
      <c r="D18" s="9">
        <v>7.82</v>
      </c>
      <c r="E18" s="6" t="s">
        <v>184</v>
      </c>
      <c r="F18" s="9">
        <f t="shared" si="0"/>
        <v>8.1457800511508953</v>
      </c>
      <c r="G18" s="9" t="s">
        <v>15</v>
      </c>
      <c r="H18" s="2" t="s">
        <v>396</v>
      </c>
      <c r="I18" s="2" t="s">
        <v>411</v>
      </c>
      <c r="J18" s="2" t="s">
        <v>397</v>
      </c>
      <c r="K18" s="2" t="s">
        <v>410</v>
      </c>
    </row>
    <row r="19" spans="1:11" x14ac:dyDescent="0.3">
      <c r="B19" s="16" t="s">
        <v>190</v>
      </c>
      <c r="C19" s="26">
        <v>302.7</v>
      </c>
      <c r="D19" s="18">
        <v>4.99</v>
      </c>
      <c r="E19" s="19" t="s">
        <v>191</v>
      </c>
      <c r="F19" s="18">
        <f t="shared" si="0"/>
        <v>60.661322645290575</v>
      </c>
      <c r="G19" s="18" t="s">
        <v>16</v>
      </c>
      <c r="H19" s="18">
        <f>I19/D18</f>
        <v>9.0935645684998683</v>
      </c>
      <c r="I19" s="18">
        <f>K19*C18/C19</f>
        <v>71.111674925668979</v>
      </c>
      <c r="J19" s="18">
        <f>K19/D19</f>
        <v>67.719438877755508</v>
      </c>
      <c r="K19" s="26">
        <v>337.92</v>
      </c>
    </row>
    <row r="20" spans="1:11" x14ac:dyDescent="0.3">
      <c r="B20" s="17" t="s">
        <v>189</v>
      </c>
      <c r="C20" s="7">
        <v>69.8</v>
      </c>
      <c r="D20" s="9">
        <v>7.52</v>
      </c>
      <c r="E20" s="6" t="s">
        <v>184</v>
      </c>
      <c r="F20" s="9">
        <f t="shared" si="0"/>
        <v>9.2819148936170208</v>
      </c>
      <c r="G20" s="9" t="s">
        <v>15</v>
      </c>
    </row>
    <row r="21" spans="1:11" x14ac:dyDescent="0.3">
      <c r="B21" s="16" t="s">
        <v>190</v>
      </c>
      <c r="C21" s="26">
        <v>331.4</v>
      </c>
      <c r="D21" s="18">
        <v>4.7699999999999996</v>
      </c>
      <c r="E21" s="19" t="s">
        <v>191</v>
      </c>
      <c r="F21" s="18">
        <f t="shared" si="0"/>
        <v>69.475890985324952</v>
      </c>
      <c r="G21" s="18" t="s">
        <v>16</v>
      </c>
    </row>
    <row r="24" spans="1:11" x14ac:dyDescent="0.3">
      <c r="B24" t="s">
        <v>1</v>
      </c>
      <c r="C24" t="s">
        <v>4</v>
      </c>
    </row>
    <row r="25" spans="1:11" x14ac:dyDescent="0.3">
      <c r="A25" t="s">
        <v>184</v>
      </c>
      <c r="B25" t="s">
        <v>183</v>
      </c>
      <c r="C25" s="4" t="s">
        <v>182</v>
      </c>
      <c r="D25" s="4"/>
      <c r="G25" t="s">
        <v>386</v>
      </c>
    </row>
    <row r="26" spans="1:11" x14ac:dyDescent="0.3">
      <c r="A26" t="s">
        <v>192</v>
      </c>
      <c r="B26" t="s">
        <v>195</v>
      </c>
      <c r="C26" s="4" t="s">
        <v>194</v>
      </c>
      <c r="D26" s="4"/>
    </row>
    <row r="27" spans="1:11" x14ac:dyDescent="0.3">
      <c r="B27" s="14"/>
      <c r="C27" s="4"/>
    </row>
    <row r="28" spans="1:11" x14ac:dyDescent="0.3">
      <c r="E28" s="10" t="s">
        <v>18</v>
      </c>
      <c r="F28" s="10" t="s">
        <v>18</v>
      </c>
      <c r="G28" s="10" t="s">
        <v>18</v>
      </c>
    </row>
    <row r="29" spans="1:11" x14ac:dyDescent="0.3">
      <c r="B29" s="2" t="s">
        <v>13</v>
      </c>
      <c r="C29" s="2" t="s">
        <v>12</v>
      </c>
      <c r="D29" s="2" t="s">
        <v>25</v>
      </c>
      <c r="E29" s="2" t="s">
        <v>17</v>
      </c>
      <c r="F29" s="2" t="s">
        <v>22</v>
      </c>
      <c r="G29" s="2" t="s">
        <v>23</v>
      </c>
    </row>
    <row r="30" spans="1:11" x14ac:dyDescent="0.3">
      <c r="B30" s="9" t="s">
        <v>15</v>
      </c>
      <c r="C30" s="9">
        <f>$C3</f>
        <v>129.80000000000001</v>
      </c>
      <c r="D30" s="9">
        <f t="shared" ref="D30:D49" si="1">$F2</f>
        <v>3.1458094144661306</v>
      </c>
      <c r="E30" s="9">
        <f t="shared" ref="E30:E49" si="2">$D30*$D2</f>
        <v>27.4</v>
      </c>
      <c r="F30" s="9">
        <f t="shared" ref="F30:F49" si="3">$B$52*$D30+$C$52*$C30+$D$52</f>
        <v>28.351564007027104</v>
      </c>
      <c r="G30" s="20">
        <f t="shared" ref="G30:G49" si="4">($E30-$F30)/$E30</f>
        <v>-3.4728613395149835E-2</v>
      </c>
    </row>
    <row r="31" spans="1:11" x14ac:dyDescent="0.3">
      <c r="B31" s="18" t="s">
        <v>16</v>
      </c>
      <c r="C31" s="18">
        <f>$C3</f>
        <v>129.80000000000001</v>
      </c>
      <c r="D31" s="18">
        <f t="shared" si="1"/>
        <v>25.106382978723406</v>
      </c>
      <c r="E31" s="18">
        <f t="shared" si="2"/>
        <v>129.80000000000001</v>
      </c>
      <c r="F31" s="18">
        <f t="shared" si="3"/>
        <v>127.06106503387986</v>
      </c>
      <c r="G31" s="20">
        <f t="shared" si="4"/>
        <v>2.1101193883822457E-2</v>
      </c>
    </row>
    <row r="32" spans="1:11" x14ac:dyDescent="0.3">
      <c r="B32" s="9" t="s">
        <v>15</v>
      </c>
      <c r="C32" s="9">
        <f>$C5</f>
        <v>143.1</v>
      </c>
      <c r="D32" s="9">
        <f t="shared" si="1"/>
        <v>3.4918793503480283</v>
      </c>
      <c r="E32" s="9">
        <f t="shared" si="2"/>
        <v>30.1</v>
      </c>
      <c r="F32" s="9">
        <f t="shared" si="3"/>
        <v>30.787384959575427</v>
      </c>
      <c r="G32" s="20">
        <f t="shared" si="4"/>
        <v>-2.2836709620446018E-2</v>
      </c>
    </row>
    <row r="33" spans="2:7" x14ac:dyDescent="0.3">
      <c r="B33" s="18" t="s">
        <v>16</v>
      </c>
      <c r="C33" s="18">
        <f>$C5</f>
        <v>143.1</v>
      </c>
      <c r="D33" s="18">
        <f t="shared" si="1"/>
        <v>28.00391389432485</v>
      </c>
      <c r="E33" s="18">
        <f t="shared" si="2"/>
        <v>143.1</v>
      </c>
      <c r="F33" s="18">
        <f t="shared" si="3"/>
        <v>140.96532233945288</v>
      </c>
      <c r="G33" s="20">
        <f t="shared" si="4"/>
        <v>1.4917384070909239E-2</v>
      </c>
    </row>
    <row r="34" spans="2:7" x14ac:dyDescent="0.3">
      <c r="B34" s="9" t="s">
        <v>15</v>
      </c>
      <c r="C34" s="9">
        <f>$C7</f>
        <v>155.80000000000001</v>
      </c>
      <c r="D34" s="9">
        <f t="shared" si="1"/>
        <v>4.0394088669950738</v>
      </c>
      <c r="E34" s="9">
        <f t="shared" si="2"/>
        <v>32.799999999999997</v>
      </c>
      <c r="F34" s="9">
        <f t="shared" si="3"/>
        <v>34.089024412972371</v>
      </c>
      <c r="G34" s="20">
        <f t="shared" si="4"/>
        <v>-3.9299524785743112E-2</v>
      </c>
    </row>
    <row r="35" spans="2:7" x14ac:dyDescent="0.3">
      <c r="B35" s="18" t="s">
        <v>16</v>
      </c>
      <c r="C35" s="18">
        <f>$C7</f>
        <v>155.80000000000001</v>
      </c>
      <c r="D35" s="18">
        <f t="shared" si="1"/>
        <v>31.097804391217569</v>
      </c>
      <c r="E35" s="18">
        <f t="shared" si="2"/>
        <v>155.80000000000001</v>
      </c>
      <c r="F35" s="18">
        <f t="shared" si="3"/>
        <v>155.71247440930497</v>
      </c>
      <c r="G35" s="20">
        <f t="shared" si="4"/>
        <v>5.61781711778159E-4</v>
      </c>
    </row>
    <row r="36" spans="2:7" x14ac:dyDescent="0.3">
      <c r="B36" s="9" t="s">
        <v>15</v>
      </c>
      <c r="C36" s="9">
        <f>$C9</f>
        <v>158</v>
      </c>
      <c r="D36" s="9">
        <f t="shared" si="1"/>
        <v>4.2151898734177209</v>
      </c>
      <c r="E36" s="9">
        <f t="shared" si="2"/>
        <v>33.299999999999997</v>
      </c>
      <c r="F36" s="9">
        <f t="shared" si="3"/>
        <v>35.024745392922078</v>
      </c>
      <c r="G36" s="20">
        <f t="shared" si="4"/>
        <v>-5.1794155943606042E-2</v>
      </c>
    </row>
    <row r="37" spans="2:7" x14ac:dyDescent="0.3">
      <c r="B37" s="18" t="s">
        <v>16</v>
      </c>
      <c r="C37" s="18">
        <f>$C9</f>
        <v>158</v>
      </c>
      <c r="D37" s="18">
        <f t="shared" si="1"/>
        <v>31.349206349206348</v>
      </c>
      <c r="E37" s="18">
        <f t="shared" si="2"/>
        <v>158</v>
      </c>
      <c r="F37" s="18">
        <f t="shared" si="3"/>
        <v>156.98810028173972</v>
      </c>
      <c r="G37" s="20">
        <f t="shared" si="4"/>
        <v>6.4044285965840575E-3</v>
      </c>
    </row>
    <row r="38" spans="2:7" x14ac:dyDescent="0.3">
      <c r="B38" s="9" t="s">
        <v>15</v>
      </c>
      <c r="C38" s="9">
        <f>$C11</f>
        <v>185</v>
      </c>
      <c r="D38" s="9">
        <f t="shared" si="1"/>
        <v>5.1587301587301591</v>
      </c>
      <c r="E38" s="9">
        <f t="shared" si="2"/>
        <v>39</v>
      </c>
      <c r="F38" s="9">
        <f t="shared" si="3"/>
        <v>41.052869474914921</v>
      </c>
      <c r="G38" s="20">
        <f t="shared" si="4"/>
        <v>-5.2637678843972337E-2</v>
      </c>
    </row>
    <row r="39" spans="2:7" x14ac:dyDescent="0.3">
      <c r="B39" s="18" t="s">
        <v>16</v>
      </c>
      <c r="C39" s="18">
        <f>$C11</f>
        <v>185</v>
      </c>
      <c r="D39" s="18">
        <f t="shared" si="1"/>
        <v>37.298387096774192</v>
      </c>
      <c r="E39" s="18">
        <f t="shared" si="2"/>
        <v>185</v>
      </c>
      <c r="F39" s="18">
        <f t="shared" si="3"/>
        <v>185.51583125711775</v>
      </c>
      <c r="G39" s="20">
        <f t="shared" si="4"/>
        <v>-2.7882770655013687E-3</v>
      </c>
    </row>
    <row r="40" spans="2:7" x14ac:dyDescent="0.3">
      <c r="B40" s="9" t="s">
        <v>15</v>
      </c>
      <c r="C40" s="9">
        <f>$C13</f>
        <v>217.2</v>
      </c>
      <c r="D40" s="9">
        <f t="shared" si="1"/>
        <v>5.9973753280839901</v>
      </c>
      <c r="E40" s="9">
        <f t="shared" si="2"/>
        <v>45.7</v>
      </c>
      <c r="F40" s="9">
        <f t="shared" si="3"/>
        <v>46.953678507494672</v>
      </c>
      <c r="G40" s="20">
        <f t="shared" si="4"/>
        <v>-2.7432790098351624E-2</v>
      </c>
    </row>
    <row r="41" spans="2:7" x14ac:dyDescent="0.3">
      <c r="B41" s="18" t="s">
        <v>16</v>
      </c>
      <c r="C41" s="18">
        <f>$C13</f>
        <v>217.2</v>
      </c>
      <c r="D41" s="18">
        <f t="shared" si="1"/>
        <v>44.599589322381924</v>
      </c>
      <c r="E41" s="18">
        <f t="shared" si="2"/>
        <v>217.19999999999996</v>
      </c>
      <c r="F41" s="18">
        <f t="shared" si="3"/>
        <v>220.46486985955957</v>
      </c>
      <c r="G41" s="20">
        <f t="shared" si="4"/>
        <v>-1.5031629187659349E-2</v>
      </c>
    </row>
    <row r="42" spans="2:7" x14ac:dyDescent="0.3">
      <c r="B42" s="9" t="s">
        <v>15</v>
      </c>
      <c r="C42" s="9">
        <f>$C15</f>
        <v>250.4</v>
      </c>
      <c r="D42" s="9">
        <f t="shared" si="1"/>
        <v>6.7305236270753515</v>
      </c>
      <c r="E42" s="9">
        <f t="shared" si="2"/>
        <v>52.7</v>
      </c>
      <c r="F42" s="9">
        <f t="shared" si="3"/>
        <v>52.446481936223464</v>
      </c>
      <c r="G42" s="20">
        <f t="shared" si="4"/>
        <v>4.8105894454751287E-3</v>
      </c>
    </row>
    <row r="43" spans="2:7" x14ac:dyDescent="0.3">
      <c r="B43" s="18" t="s">
        <v>16</v>
      </c>
      <c r="C43" s="18">
        <f>$C15</f>
        <v>250.4</v>
      </c>
      <c r="D43" s="18">
        <f t="shared" si="1"/>
        <v>50.791075050709942</v>
      </c>
      <c r="E43" s="18">
        <f t="shared" si="2"/>
        <v>250.4</v>
      </c>
      <c r="F43" s="18">
        <f t="shared" si="3"/>
        <v>250.49208549339315</v>
      </c>
      <c r="G43" s="20">
        <f t="shared" si="4"/>
        <v>-3.6775356786398686E-4</v>
      </c>
    </row>
    <row r="44" spans="2:7" x14ac:dyDescent="0.3">
      <c r="B44" s="9" t="s">
        <v>15</v>
      </c>
      <c r="C44" s="9">
        <f>$C17</f>
        <v>277.7</v>
      </c>
      <c r="D44" s="9">
        <f t="shared" si="1"/>
        <v>7.3033707865168545</v>
      </c>
      <c r="E44" s="9">
        <f t="shared" si="2"/>
        <v>58.5</v>
      </c>
      <c r="F44" s="9">
        <f t="shared" si="3"/>
        <v>56.828251861008098</v>
      </c>
      <c r="G44" s="20">
        <f t="shared" si="4"/>
        <v>2.857689126481883E-2</v>
      </c>
    </row>
    <row r="45" spans="2:7" x14ac:dyDescent="0.3">
      <c r="B45" s="18" t="s">
        <v>16</v>
      </c>
      <c r="C45" s="18">
        <f>$C17</f>
        <v>277.7</v>
      </c>
      <c r="D45" s="18">
        <f t="shared" si="1"/>
        <v>55.099206349206348</v>
      </c>
      <c r="E45" s="18">
        <f t="shared" si="2"/>
        <v>277.7</v>
      </c>
      <c r="F45" s="18">
        <f t="shared" si="3"/>
        <v>271.66340021220492</v>
      </c>
      <c r="G45" s="20">
        <f t="shared" si="4"/>
        <v>2.173784583289546E-2</v>
      </c>
    </row>
    <row r="46" spans="2:7" x14ac:dyDescent="0.3">
      <c r="B46" s="9" t="s">
        <v>15</v>
      </c>
      <c r="C46" s="9">
        <f>$C19</f>
        <v>302.7</v>
      </c>
      <c r="D46" s="9">
        <f t="shared" si="1"/>
        <v>8.1457800511508953</v>
      </c>
      <c r="E46" s="9">
        <f t="shared" si="2"/>
        <v>63.7</v>
      </c>
      <c r="F46" s="9">
        <f t="shared" si="3"/>
        <v>62.269432926119464</v>
      </c>
      <c r="G46" s="20">
        <f t="shared" si="4"/>
        <v>2.2457881850557911E-2</v>
      </c>
    </row>
    <row r="47" spans="2:7" x14ac:dyDescent="0.3">
      <c r="B47" s="18" t="s">
        <v>16</v>
      </c>
      <c r="C47" s="18">
        <f>$C19</f>
        <v>302.7</v>
      </c>
      <c r="D47" s="18">
        <f t="shared" si="1"/>
        <v>60.661322645290575</v>
      </c>
      <c r="E47" s="18">
        <f t="shared" si="2"/>
        <v>302.7</v>
      </c>
      <c r="F47" s="18">
        <f t="shared" si="3"/>
        <v>298.31896006866248</v>
      </c>
      <c r="G47" s="20">
        <f t="shared" si="4"/>
        <v>1.4473207569664723E-2</v>
      </c>
    </row>
    <row r="48" spans="2:7" x14ac:dyDescent="0.3">
      <c r="B48" s="9" t="s">
        <v>15</v>
      </c>
      <c r="C48" s="9">
        <f>$C21</f>
        <v>331.4</v>
      </c>
      <c r="D48" s="9">
        <f t="shared" si="1"/>
        <v>9.2819148936170208</v>
      </c>
      <c r="E48" s="9">
        <f t="shared" si="2"/>
        <v>69.8</v>
      </c>
      <c r="F48" s="9">
        <f t="shared" si="3"/>
        <v>69.275758846894462</v>
      </c>
      <c r="G48" s="20">
        <f t="shared" si="4"/>
        <v>7.5106182393343173E-3</v>
      </c>
    </row>
    <row r="49" spans="2:7" x14ac:dyDescent="0.3">
      <c r="B49" s="18" t="s">
        <v>16</v>
      </c>
      <c r="C49" s="18">
        <f>$C21</f>
        <v>331.4</v>
      </c>
      <c r="D49" s="18">
        <f t="shared" si="1"/>
        <v>69.475890985324952</v>
      </c>
      <c r="E49" s="18">
        <f t="shared" si="2"/>
        <v>331.4</v>
      </c>
      <c r="F49" s="18">
        <f t="shared" si="3"/>
        <v>339.83869871953289</v>
      </c>
      <c r="G49" s="20">
        <f t="shared" si="4"/>
        <v>-2.5463786118083611E-2</v>
      </c>
    </row>
    <row r="51" spans="2:7" x14ac:dyDescent="0.3">
      <c r="B51" t="s">
        <v>19</v>
      </c>
      <c r="C51" t="s">
        <v>20</v>
      </c>
      <c r="D51" t="s">
        <v>21</v>
      </c>
    </row>
    <row r="52" spans="2:7" x14ac:dyDescent="0.3">
      <c r="B52" cm="1">
        <f t="array" ref="B52:D52">LINEST(E30:E49,C30:D49)</f>
        <v>4.4948507714530264</v>
      </c>
      <c r="C52">
        <v>6.6187085283674799E-2</v>
      </c>
      <c r="D52">
        <v>5.6205364637488344</v>
      </c>
    </row>
    <row r="53" spans="2:7" x14ac:dyDescent="0.3">
      <c r="B53" s="35">
        <v>4.4948507714530264</v>
      </c>
      <c r="C53" s="66">
        <v>6.6187085283674799E-2</v>
      </c>
      <c r="D53" s="35">
        <v>5.6205364637488344</v>
      </c>
    </row>
    <row r="55" spans="2:7" x14ac:dyDescent="0.3">
      <c r="B55" s="2" t="s">
        <v>416</v>
      </c>
      <c r="C55" s="57">
        <v>0.15</v>
      </c>
    </row>
    <row r="56" spans="2:7" x14ac:dyDescent="0.3">
      <c r="B56" s="2" t="s">
        <v>415</v>
      </c>
      <c r="C56" s="57">
        <v>1</v>
      </c>
    </row>
    <row r="58" spans="2:7" x14ac:dyDescent="0.3">
      <c r="B58" t="s">
        <v>417</v>
      </c>
    </row>
    <row r="60" spans="2:7" x14ac:dyDescent="0.3">
      <c r="B60" s="2" t="s">
        <v>378</v>
      </c>
      <c r="C60" s="2" t="s">
        <v>379</v>
      </c>
      <c r="F60" s="2" t="s">
        <v>380</v>
      </c>
      <c r="G60" s="2" t="s">
        <v>381</v>
      </c>
    </row>
    <row r="61" spans="2:7" x14ac:dyDescent="0.3">
      <c r="B61">
        <f>C55</f>
        <v>0.15</v>
      </c>
      <c r="C61" s="67">
        <f>B53*C55+C53</f>
        <v>0.74041470100162876</v>
      </c>
      <c r="D61" s="67"/>
      <c r="F61">
        <f>C56</f>
        <v>1</v>
      </c>
      <c r="G61" s="67">
        <f>B53*C56+C53</f>
        <v>4.5610378567367009</v>
      </c>
    </row>
  </sheetData>
  <hyperlinks>
    <hyperlink ref="C26" r:id="rId1" xr:uid="{88498F07-DC93-4D3B-9F87-994DAF0542E4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3FA4-7F32-47A4-8651-D3A9EEE1994E}">
  <sheetPr>
    <tabColor theme="9" tint="0.59999389629810485"/>
  </sheetPr>
  <dimension ref="B6:E48"/>
  <sheetViews>
    <sheetView workbookViewId="0">
      <selection activeCell="F54" sqref="F54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6" spans="2:5" x14ac:dyDescent="0.3">
      <c r="B6" s="10" t="s">
        <v>317</v>
      </c>
    </row>
    <row r="7" spans="2:5" x14ac:dyDescent="0.3">
      <c r="B7" s="2" t="s">
        <v>286</v>
      </c>
      <c r="C7" s="2" t="s">
        <v>288</v>
      </c>
      <c r="D7" s="2" t="s">
        <v>294</v>
      </c>
      <c r="E7" s="2" t="s">
        <v>295</v>
      </c>
    </row>
    <row r="8" spans="2:5" x14ac:dyDescent="0.3">
      <c r="B8" s="61"/>
      <c r="C8" s="64">
        <v>4.33</v>
      </c>
      <c r="D8" s="9">
        <v>63</v>
      </c>
      <c r="E8" s="9">
        <f>$D8/$C8</f>
        <v>14.549653579676674</v>
      </c>
    </row>
    <row r="9" spans="2:5" x14ac:dyDescent="0.3">
      <c r="B9" s="57"/>
      <c r="C9" s="64">
        <v>4.9800000000000004</v>
      </c>
      <c r="D9" s="9">
        <v>34</v>
      </c>
      <c r="E9" s="9">
        <f>$D9/$C9</f>
        <v>6.8273092369477908</v>
      </c>
    </row>
    <row r="10" spans="2:5" x14ac:dyDescent="0.3">
      <c r="B10" s="57"/>
      <c r="C10" s="64">
        <v>5.57</v>
      </c>
      <c r="D10" s="9">
        <v>21.8</v>
      </c>
      <c r="E10" s="9">
        <f>$D10/$C10</f>
        <v>3.9138240574506282</v>
      </c>
    </row>
    <row r="11" spans="2:5" x14ac:dyDescent="0.3">
      <c r="B11" s="57"/>
      <c r="C11" s="9">
        <v>5.8</v>
      </c>
      <c r="D11" s="9">
        <v>9.6999999999999993</v>
      </c>
      <c r="E11" s="9">
        <f>$D11/$C11</f>
        <v>1.6724137931034482</v>
      </c>
    </row>
    <row r="25" spans="2:5" x14ac:dyDescent="0.3">
      <c r="B25" s="10" t="s">
        <v>318</v>
      </c>
    </row>
    <row r="26" spans="2:5" x14ac:dyDescent="0.3">
      <c r="B26" s="2" t="s">
        <v>286</v>
      </c>
      <c r="C26" s="2" t="s">
        <v>288</v>
      </c>
      <c r="D26" s="2" t="s">
        <v>294</v>
      </c>
      <c r="E26" s="2" t="s">
        <v>295</v>
      </c>
    </row>
    <row r="27" spans="2:5" x14ac:dyDescent="0.3">
      <c r="B27" s="63"/>
      <c r="C27" s="64">
        <v>4.53</v>
      </c>
      <c r="D27" s="9">
        <v>165</v>
      </c>
      <c r="E27" s="9">
        <f>$D27/$C27</f>
        <v>36.423841059602644</v>
      </c>
    </row>
    <row r="28" spans="2:5" x14ac:dyDescent="0.3">
      <c r="B28" s="57"/>
      <c r="C28" s="64">
        <v>5.2</v>
      </c>
      <c r="D28" s="9">
        <v>88.8</v>
      </c>
      <c r="E28" s="9">
        <f>$D28/$C28</f>
        <v>17.076923076923077</v>
      </c>
    </row>
    <row r="29" spans="2:5" x14ac:dyDescent="0.3">
      <c r="B29" s="57"/>
      <c r="C29" s="64">
        <v>5.76</v>
      </c>
      <c r="D29" s="9">
        <v>57.1</v>
      </c>
      <c r="E29" s="9">
        <f>$D29/$C29</f>
        <v>9.9131944444444446</v>
      </c>
    </row>
    <row r="30" spans="2:5" x14ac:dyDescent="0.3">
      <c r="B30" s="57"/>
      <c r="C30" s="9">
        <v>5.84</v>
      </c>
      <c r="D30" s="9">
        <v>25.4</v>
      </c>
      <c r="E30" s="9">
        <f>$D30/$C30</f>
        <v>4.3493150684931505</v>
      </c>
    </row>
    <row r="43" spans="2:5" x14ac:dyDescent="0.3">
      <c r="B43" s="10" t="s">
        <v>319</v>
      </c>
    </row>
    <row r="44" spans="2:5" x14ac:dyDescent="0.3">
      <c r="B44" s="2" t="s">
        <v>286</v>
      </c>
      <c r="C44" s="2" t="s">
        <v>288</v>
      </c>
      <c r="D44" s="2" t="s">
        <v>294</v>
      </c>
      <c r="E44" s="2" t="s">
        <v>295</v>
      </c>
    </row>
    <row r="45" spans="2:5" x14ac:dyDescent="0.3">
      <c r="B45" s="63"/>
      <c r="C45" s="9">
        <v>4.3</v>
      </c>
      <c r="D45" s="9">
        <v>438</v>
      </c>
      <c r="E45" s="9">
        <f>$D45/$C45</f>
        <v>101.86046511627907</v>
      </c>
    </row>
    <row r="46" spans="2:5" x14ac:dyDescent="0.3">
      <c r="B46" s="57"/>
      <c r="C46" s="9">
        <v>4.8499999999999996</v>
      </c>
      <c r="D46" s="9">
        <v>235.8</v>
      </c>
      <c r="E46" s="9">
        <f>$D46/$C46</f>
        <v>48.618556701030933</v>
      </c>
    </row>
    <row r="47" spans="2:5" x14ac:dyDescent="0.3">
      <c r="B47" s="57"/>
      <c r="C47" s="9">
        <v>5.49</v>
      </c>
      <c r="D47" s="9">
        <v>151.6</v>
      </c>
      <c r="E47" s="9">
        <f>$D47/$C47</f>
        <v>27.613843351548269</v>
      </c>
    </row>
    <row r="48" spans="2:5" x14ac:dyDescent="0.3">
      <c r="B48" s="57"/>
      <c r="C48" s="9">
        <v>5.82</v>
      </c>
      <c r="D48" s="9">
        <v>67.400000000000006</v>
      </c>
      <c r="E48" s="9">
        <f>$D48/$C48</f>
        <v>11.580756013745704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6A6A-F1CF-4A35-8CCC-9A7F64675B77}">
  <sheetPr codeName="Sheet39">
    <tabColor rgb="FF00B050"/>
  </sheetPr>
  <dimension ref="A1:K87"/>
  <sheetViews>
    <sheetView topLeftCell="A64" zoomScaleNormal="100" workbookViewId="0">
      <selection activeCell="A20" sqref="A20:XFD21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197</v>
      </c>
      <c r="C1" s="3" t="s">
        <v>0</v>
      </c>
      <c r="D1" s="2" t="s">
        <v>32</v>
      </c>
      <c r="E1" s="5" t="s">
        <v>11</v>
      </c>
      <c r="F1" s="2" t="s">
        <v>31</v>
      </c>
    </row>
    <row r="2" spans="2:11" x14ac:dyDescent="0.3">
      <c r="B2" s="17" t="s">
        <v>189</v>
      </c>
      <c r="C2" s="7">
        <v>68</v>
      </c>
      <c r="D2" s="9">
        <v>6</v>
      </c>
      <c r="E2" s="6" t="s">
        <v>184</v>
      </c>
      <c r="F2" s="9">
        <f t="shared" ref="F2:F33" si="0">$C2/$D2</f>
        <v>11.333333333333334</v>
      </c>
      <c r="G2" s="9" t="s">
        <v>15</v>
      </c>
      <c r="H2" s="2" t="s">
        <v>396</v>
      </c>
      <c r="I2" s="2" t="s">
        <v>379</v>
      </c>
      <c r="J2" s="2" t="s">
        <v>397</v>
      </c>
      <c r="K2" s="2" t="s">
        <v>381</v>
      </c>
    </row>
    <row r="3" spans="2:11" x14ac:dyDescent="0.3">
      <c r="B3" s="16" t="s">
        <v>190</v>
      </c>
      <c r="C3" s="26">
        <v>443</v>
      </c>
      <c r="D3" s="18">
        <v>4.49</v>
      </c>
      <c r="E3" s="19" t="s">
        <v>188</v>
      </c>
      <c r="F3" s="18">
        <f t="shared" si="0"/>
        <v>98.663697104677055</v>
      </c>
      <c r="G3" s="18" t="s">
        <v>16</v>
      </c>
      <c r="H3" s="26">
        <f>I3/D2</f>
        <v>12.791572610985703</v>
      </c>
      <c r="I3" s="26">
        <f>K3*C2/C3</f>
        <v>76.74943566591422</v>
      </c>
      <c r="J3" s="26">
        <f>K3/D3</f>
        <v>111.35857461024499</v>
      </c>
      <c r="K3" s="26">
        <v>500</v>
      </c>
    </row>
    <row r="4" spans="2:11" x14ac:dyDescent="0.3">
      <c r="B4" s="17" t="s">
        <v>189</v>
      </c>
      <c r="C4" s="7">
        <v>78.5</v>
      </c>
      <c r="D4" s="9">
        <v>6.2</v>
      </c>
      <c r="E4" s="6" t="s">
        <v>184</v>
      </c>
      <c r="F4" s="9">
        <f t="shared" si="0"/>
        <v>12.661290322580644</v>
      </c>
      <c r="G4" s="9" t="s">
        <v>15</v>
      </c>
    </row>
    <row r="5" spans="2:11" x14ac:dyDescent="0.3">
      <c r="B5" s="16" t="s">
        <v>190</v>
      </c>
      <c r="C5" s="26">
        <v>511</v>
      </c>
      <c r="D5" s="18">
        <v>4.57</v>
      </c>
      <c r="E5" s="19" t="s">
        <v>188</v>
      </c>
      <c r="F5" s="18">
        <f t="shared" si="0"/>
        <v>111.81619256017505</v>
      </c>
      <c r="G5" s="18" t="s">
        <v>16</v>
      </c>
    </row>
    <row r="6" spans="2:11" x14ac:dyDescent="0.3">
      <c r="B6" s="17" t="s">
        <v>189</v>
      </c>
      <c r="C6" s="7">
        <v>86.8</v>
      </c>
      <c r="D6" s="9">
        <v>6.34</v>
      </c>
      <c r="E6" s="6" t="s">
        <v>184</v>
      </c>
      <c r="F6" s="9">
        <f t="shared" si="0"/>
        <v>13.690851735015773</v>
      </c>
      <c r="G6" s="9" t="s">
        <v>15</v>
      </c>
    </row>
    <row r="7" spans="2:11" x14ac:dyDescent="0.3">
      <c r="B7" s="16" t="s">
        <v>190</v>
      </c>
      <c r="C7" s="26">
        <v>565</v>
      </c>
      <c r="D7" s="18">
        <v>4.66</v>
      </c>
      <c r="E7" s="19" t="s">
        <v>188</v>
      </c>
      <c r="F7" s="18">
        <f t="shared" si="0"/>
        <v>121.24463519313305</v>
      </c>
      <c r="G7" s="18" t="s">
        <v>16</v>
      </c>
    </row>
    <row r="8" spans="2:11" x14ac:dyDescent="0.3">
      <c r="B8" s="17" t="s">
        <v>189</v>
      </c>
      <c r="C8" s="7">
        <v>94.5</v>
      </c>
      <c r="D8" s="9">
        <v>6.37</v>
      </c>
      <c r="E8" s="6" t="s">
        <v>184</v>
      </c>
      <c r="F8" s="9">
        <f t="shared" si="0"/>
        <v>14.835164835164836</v>
      </c>
      <c r="G8" s="9" t="s">
        <v>15</v>
      </c>
    </row>
    <row r="9" spans="2:11" x14ac:dyDescent="0.3">
      <c r="B9" s="16" t="s">
        <v>190</v>
      </c>
      <c r="C9" s="26">
        <v>615</v>
      </c>
      <c r="D9" s="18">
        <v>4.67</v>
      </c>
      <c r="E9" s="19" t="s">
        <v>188</v>
      </c>
      <c r="F9" s="18">
        <f t="shared" si="0"/>
        <v>131.6916488222698</v>
      </c>
      <c r="G9" s="18" t="s">
        <v>16</v>
      </c>
    </row>
    <row r="10" spans="2:11" x14ac:dyDescent="0.3">
      <c r="B10" s="17" t="s">
        <v>189</v>
      </c>
      <c r="C10" s="7">
        <v>102.9</v>
      </c>
      <c r="D10" s="9">
        <v>6.69</v>
      </c>
      <c r="E10" s="6" t="s">
        <v>184</v>
      </c>
      <c r="F10" s="9">
        <f t="shared" si="0"/>
        <v>15.381165919282511</v>
      </c>
      <c r="G10" s="9" t="s">
        <v>15</v>
      </c>
    </row>
    <row r="11" spans="2:11" x14ac:dyDescent="0.3">
      <c r="B11" s="16" t="s">
        <v>190</v>
      </c>
      <c r="C11" s="26">
        <v>670</v>
      </c>
      <c r="D11" s="18">
        <v>4.7300000000000004</v>
      </c>
      <c r="E11" s="19" t="s">
        <v>188</v>
      </c>
      <c r="F11" s="18">
        <f t="shared" si="0"/>
        <v>141.6490486257928</v>
      </c>
      <c r="G11" s="18" t="s">
        <v>16</v>
      </c>
    </row>
    <row r="12" spans="2:11" x14ac:dyDescent="0.3">
      <c r="B12" s="17" t="s">
        <v>189</v>
      </c>
      <c r="C12" s="7">
        <v>111.3</v>
      </c>
      <c r="D12" s="9">
        <v>6.77</v>
      </c>
      <c r="E12" s="6" t="s">
        <v>184</v>
      </c>
      <c r="F12" s="9">
        <f t="shared" si="0"/>
        <v>16.440177252584935</v>
      </c>
      <c r="G12" s="9" t="s">
        <v>15</v>
      </c>
    </row>
    <row r="13" spans="2:11" x14ac:dyDescent="0.3">
      <c r="B13" s="16" t="s">
        <v>190</v>
      </c>
      <c r="C13" s="26">
        <v>725</v>
      </c>
      <c r="D13" s="18">
        <v>4.7699999999999996</v>
      </c>
      <c r="E13" s="19" t="s">
        <v>188</v>
      </c>
      <c r="F13" s="18">
        <f t="shared" si="0"/>
        <v>151.9916142557652</v>
      </c>
      <c r="G13" s="18" t="s">
        <v>16</v>
      </c>
    </row>
    <row r="14" spans="2:11" x14ac:dyDescent="0.3">
      <c r="B14" s="17" t="s">
        <v>189</v>
      </c>
      <c r="C14" s="7">
        <v>121.8</v>
      </c>
      <c r="D14" s="9">
        <v>6.71</v>
      </c>
      <c r="E14" s="6" t="s">
        <v>184</v>
      </c>
      <c r="F14" s="9">
        <f t="shared" si="0"/>
        <v>18.152011922503725</v>
      </c>
      <c r="G14" s="9" t="s">
        <v>15</v>
      </c>
    </row>
    <row r="15" spans="2:11" x14ac:dyDescent="0.3">
      <c r="B15" s="16" t="s">
        <v>190</v>
      </c>
      <c r="C15" s="26">
        <v>793</v>
      </c>
      <c r="D15" s="18">
        <v>4.8</v>
      </c>
      <c r="E15" s="19" t="s">
        <v>188</v>
      </c>
      <c r="F15" s="18">
        <f t="shared" si="0"/>
        <v>165.20833333333334</v>
      </c>
      <c r="G15" s="18" t="s">
        <v>16</v>
      </c>
    </row>
    <row r="16" spans="2:11" x14ac:dyDescent="0.3">
      <c r="B16" s="17" t="s">
        <v>189</v>
      </c>
      <c r="C16" s="7">
        <v>131.6</v>
      </c>
      <c r="D16" s="9">
        <v>6.87</v>
      </c>
      <c r="E16" s="6" t="s">
        <v>184</v>
      </c>
      <c r="F16" s="9">
        <f t="shared" si="0"/>
        <v>19.155749636098982</v>
      </c>
      <c r="G16" s="9" t="s">
        <v>15</v>
      </c>
    </row>
    <row r="17" spans="2:11" x14ac:dyDescent="0.3">
      <c r="B17" s="16" t="s">
        <v>190</v>
      </c>
      <c r="C17" s="26">
        <v>857</v>
      </c>
      <c r="D17" s="18">
        <v>4.83</v>
      </c>
      <c r="E17" s="19" t="s">
        <v>188</v>
      </c>
      <c r="F17" s="18">
        <f t="shared" si="0"/>
        <v>177.43271221532092</v>
      </c>
      <c r="G17" s="18" t="s">
        <v>16</v>
      </c>
    </row>
    <row r="18" spans="2:11" x14ac:dyDescent="0.3">
      <c r="B18" s="17" t="s">
        <v>189</v>
      </c>
      <c r="C18" s="7">
        <v>150.80000000000001</v>
      </c>
      <c r="D18" s="9">
        <v>6.22</v>
      </c>
      <c r="E18" s="6" t="s">
        <v>184</v>
      </c>
      <c r="F18" s="9">
        <f t="shared" si="0"/>
        <v>24.2443729903537</v>
      </c>
      <c r="G18" s="9" t="s">
        <v>15</v>
      </c>
      <c r="H18" s="2" t="s">
        <v>396</v>
      </c>
      <c r="I18" s="2" t="s">
        <v>379</v>
      </c>
      <c r="J18" s="2" t="s">
        <v>397</v>
      </c>
      <c r="K18" s="2" t="s">
        <v>381</v>
      </c>
    </row>
    <row r="19" spans="2:11" x14ac:dyDescent="0.3">
      <c r="B19" s="16" t="s">
        <v>190</v>
      </c>
      <c r="C19" s="26">
        <v>981</v>
      </c>
      <c r="D19" s="18">
        <v>4.5999999999999996</v>
      </c>
      <c r="E19" s="19" t="s">
        <v>188</v>
      </c>
      <c r="F19" s="18">
        <f t="shared" si="0"/>
        <v>213.2608695652174</v>
      </c>
      <c r="G19" s="18" t="s">
        <v>16</v>
      </c>
      <c r="H19" s="26">
        <f>I19/D18</f>
        <v>24.713937808719368</v>
      </c>
      <c r="I19" s="26">
        <f>K19*C18/C19</f>
        <v>153.72069317023445</v>
      </c>
      <c r="J19" s="26">
        <f>K19/D19</f>
        <v>217.39130434782609</v>
      </c>
      <c r="K19" s="26">
        <v>1000</v>
      </c>
    </row>
    <row r="20" spans="2:11" x14ac:dyDescent="0.3">
      <c r="B20" s="17" t="s">
        <v>189</v>
      </c>
      <c r="C20" s="7">
        <v>158.30000000000001</v>
      </c>
      <c r="D20" s="9">
        <v>6.21</v>
      </c>
      <c r="E20" s="6" t="s">
        <v>184</v>
      </c>
      <c r="F20" s="9">
        <f t="shared" si="0"/>
        <v>25.491143317230275</v>
      </c>
      <c r="G20" s="9" t="s">
        <v>15</v>
      </c>
    </row>
    <row r="21" spans="2:11" x14ac:dyDescent="0.3">
      <c r="B21" s="16" t="s">
        <v>190</v>
      </c>
      <c r="C21" s="26">
        <v>1030</v>
      </c>
      <c r="D21" s="18">
        <v>4.58</v>
      </c>
      <c r="E21" s="19" t="s">
        <v>188</v>
      </c>
      <c r="F21" s="18">
        <f t="shared" si="0"/>
        <v>224.89082969432314</v>
      </c>
      <c r="G21" s="18" t="s">
        <v>16</v>
      </c>
    </row>
    <row r="22" spans="2:11" x14ac:dyDescent="0.3">
      <c r="B22" s="17" t="s">
        <v>189</v>
      </c>
      <c r="C22" s="7">
        <v>167.9</v>
      </c>
      <c r="D22" s="9">
        <v>6.02</v>
      </c>
      <c r="E22" s="6" t="s">
        <v>184</v>
      </c>
      <c r="F22" s="9">
        <f t="shared" si="0"/>
        <v>27.890365448504987</v>
      </c>
      <c r="G22" s="9" t="s">
        <v>15</v>
      </c>
    </row>
    <row r="23" spans="2:11" x14ac:dyDescent="0.3">
      <c r="B23" s="16" t="s">
        <v>190</v>
      </c>
      <c r="C23" s="26">
        <v>1093</v>
      </c>
      <c r="D23" s="18">
        <v>4.58</v>
      </c>
      <c r="E23" s="19" t="s">
        <v>188</v>
      </c>
      <c r="F23" s="18">
        <f t="shared" si="0"/>
        <v>238.64628820960698</v>
      </c>
      <c r="G23" s="18" t="s">
        <v>16</v>
      </c>
    </row>
    <row r="24" spans="2:11" x14ac:dyDescent="0.3">
      <c r="B24" s="17" t="s">
        <v>189</v>
      </c>
      <c r="C24" s="7">
        <v>177.2</v>
      </c>
      <c r="D24" s="9">
        <v>6.07</v>
      </c>
      <c r="E24" s="6" t="s">
        <v>184</v>
      </c>
      <c r="F24" s="9">
        <f t="shared" si="0"/>
        <v>29.19275123558484</v>
      </c>
      <c r="G24" s="9" t="s">
        <v>15</v>
      </c>
    </row>
    <row r="25" spans="2:11" x14ac:dyDescent="0.3">
      <c r="B25" s="16" t="s">
        <v>190</v>
      </c>
      <c r="C25" s="26">
        <v>1153</v>
      </c>
      <c r="D25" s="18">
        <v>4.5999999999999996</v>
      </c>
      <c r="E25" s="19" t="s">
        <v>188</v>
      </c>
      <c r="F25" s="18">
        <f t="shared" si="0"/>
        <v>250.6521739130435</v>
      </c>
      <c r="G25" s="18" t="s">
        <v>16</v>
      </c>
    </row>
    <row r="26" spans="2:11" x14ac:dyDescent="0.3">
      <c r="B26" s="17" t="s">
        <v>189</v>
      </c>
      <c r="C26" s="7">
        <v>194.2</v>
      </c>
      <c r="D26" s="9">
        <v>6.13</v>
      </c>
      <c r="E26" s="6" t="s">
        <v>184</v>
      </c>
      <c r="F26" s="9">
        <f t="shared" si="0"/>
        <v>31.680261011419248</v>
      </c>
      <c r="G26" s="9" t="s">
        <v>15</v>
      </c>
    </row>
    <row r="27" spans="2:11" x14ac:dyDescent="0.3">
      <c r="B27" s="16" t="s">
        <v>190</v>
      </c>
      <c r="C27" s="26">
        <v>1264</v>
      </c>
      <c r="D27" s="18">
        <v>4.63</v>
      </c>
      <c r="E27" s="19" t="s">
        <v>188</v>
      </c>
      <c r="F27" s="18">
        <f t="shared" si="0"/>
        <v>273.0021598272138</v>
      </c>
      <c r="G27" s="18" t="s">
        <v>16</v>
      </c>
    </row>
    <row r="28" spans="2:11" x14ac:dyDescent="0.3">
      <c r="B28" s="17" t="s">
        <v>189</v>
      </c>
      <c r="C28" s="7">
        <v>223.7</v>
      </c>
      <c r="D28" s="9">
        <v>6.61</v>
      </c>
      <c r="E28" s="6" t="s">
        <v>184</v>
      </c>
      <c r="F28" s="9">
        <f t="shared" si="0"/>
        <v>33.842662632375188</v>
      </c>
      <c r="G28" s="9" t="s">
        <v>15</v>
      </c>
    </row>
    <row r="29" spans="2:11" x14ac:dyDescent="0.3">
      <c r="B29" s="16" t="s">
        <v>190</v>
      </c>
      <c r="C29" s="26">
        <v>1455</v>
      </c>
      <c r="D29" s="18">
        <v>4.59</v>
      </c>
      <c r="E29" s="19" t="s">
        <v>188</v>
      </c>
      <c r="F29" s="18">
        <f t="shared" si="0"/>
        <v>316.99346405228761</v>
      </c>
      <c r="G29" s="18" t="s">
        <v>16</v>
      </c>
    </row>
    <row r="30" spans="2:11" x14ac:dyDescent="0.3">
      <c r="B30" s="17" t="s">
        <v>189</v>
      </c>
      <c r="C30" s="7">
        <v>242.9</v>
      </c>
      <c r="D30" s="9">
        <v>6.68</v>
      </c>
      <c r="E30" s="6" t="s">
        <v>184</v>
      </c>
      <c r="F30" s="9">
        <f t="shared" si="0"/>
        <v>36.362275449101801</v>
      </c>
      <c r="G30" s="9" t="s">
        <v>15</v>
      </c>
    </row>
    <row r="31" spans="2:11" x14ac:dyDescent="0.3">
      <c r="B31" s="16" t="s">
        <v>190</v>
      </c>
      <c r="C31" s="26">
        <v>1581</v>
      </c>
      <c r="D31" s="18">
        <v>4.6100000000000003</v>
      </c>
      <c r="E31" s="19" t="s">
        <v>188</v>
      </c>
      <c r="F31" s="18">
        <f t="shared" si="0"/>
        <v>342.95010845986985</v>
      </c>
      <c r="G31" s="18" t="s">
        <v>16</v>
      </c>
    </row>
    <row r="32" spans="2:11" x14ac:dyDescent="0.3">
      <c r="B32" s="17" t="s">
        <v>189</v>
      </c>
      <c r="C32" s="7">
        <v>262.3</v>
      </c>
      <c r="D32" s="9">
        <v>6.85</v>
      </c>
      <c r="E32" s="6" t="s">
        <v>184</v>
      </c>
      <c r="F32" s="9">
        <f t="shared" si="0"/>
        <v>38.291970802919714</v>
      </c>
      <c r="G32" s="9" t="s">
        <v>15</v>
      </c>
      <c r="H32" s="2" t="s">
        <v>396</v>
      </c>
      <c r="I32" s="2" t="s">
        <v>379</v>
      </c>
      <c r="J32" s="2" t="s">
        <v>397</v>
      </c>
      <c r="K32" s="2" t="s">
        <v>381</v>
      </c>
    </row>
    <row r="33" spans="1:11" x14ac:dyDescent="0.3">
      <c r="B33" s="16" t="s">
        <v>190</v>
      </c>
      <c r="C33" s="26">
        <v>1707</v>
      </c>
      <c r="D33" s="18">
        <v>4.66</v>
      </c>
      <c r="E33" s="19" t="s">
        <v>188</v>
      </c>
      <c r="F33" s="18">
        <f t="shared" si="0"/>
        <v>366.3090128755365</v>
      </c>
      <c r="G33" s="18" t="s">
        <v>16</v>
      </c>
      <c r="H33" s="26">
        <f>I33/D32</f>
        <v>1121.616016488568</v>
      </c>
      <c r="I33" s="26">
        <f>K33*C32/C33</f>
        <v>7683.0697129466898</v>
      </c>
      <c r="J33" s="26">
        <f>K33/D33</f>
        <v>10729.613733905579</v>
      </c>
      <c r="K33" s="26">
        <v>50000</v>
      </c>
    </row>
    <row r="36" spans="1:11" x14ac:dyDescent="0.3">
      <c r="B36" t="s">
        <v>1</v>
      </c>
      <c r="C36" t="s">
        <v>4</v>
      </c>
    </row>
    <row r="37" spans="1:11" x14ac:dyDescent="0.3">
      <c r="A37" t="s">
        <v>184</v>
      </c>
      <c r="B37" t="s">
        <v>183</v>
      </c>
      <c r="C37" s="4" t="s">
        <v>182</v>
      </c>
      <c r="D37" s="4"/>
      <c r="G37" t="s">
        <v>193</v>
      </c>
    </row>
    <row r="38" spans="1:11" x14ac:dyDescent="0.3">
      <c r="A38" t="s">
        <v>187</v>
      </c>
      <c r="B38" t="s">
        <v>186</v>
      </c>
      <c r="C38" s="4" t="s">
        <v>185</v>
      </c>
      <c r="D38" s="4"/>
    </row>
    <row r="39" spans="1:11" x14ac:dyDescent="0.3">
      <c r="C39" s="4"/>
    </row>
    <row r="40" spans="1:11" x14ac:dyDescent="0.3">
      <c r="C40" s="4"/>
    </row>
    <row r="41" spans="1:11" x14ac:dyDescent="0.3">
      <c r="B41" s="14"/>
      <c r="C41" s="4"/>
    </row>
    <row r="42" spans="1:11" x14ac:dyDescent="0.3">
      <c r="E42" s="10" t="s">
        <v>18</v>
      </c>
      <c r="F42" s="10" t="s">
        <v>18</v>
      </c>
      <c r="G42" s="10" t="s">
        <v>18</v>
      </c>
    </row>
    <row r="43" spans="1:11" x14ac:dyDescent="0.3">
      <c r="B43" s="2" t="s">
        <v>13</v>
      </c>
      <c r="C43" s="2" t="s">
        <v>12</v>
      </c>
      <c r="D43" s="2" t="s">
        <v>25</v>
      </c>
      <c r="E43" s="2" t="s">
        <v>17</v>
      </c>
      <c r="F43" s="2" t="s">
        <v>22</v>
      </c>
      <c r="G43" s="2" t="s">
        <v>23</v>
      </c>
    </row>
    <row r="44" spans="1:11" x14ac:dyDescent="0.3">
      <c r="B44" s="9" t="s">
        <v>15</v>
      </c>
      <c r="C44" s="9">
        <f>$C3</f>
        <v>443</v>
      </c>
      <c r="D44" s="9">
        <f t="shared" ref="D44:D75" si="1">$F2</f>
        <v>11.333333333333334</v>
      </c>
      <c r="E44" s="9">
        <f t="shared" ref="E44:E75" si="2">$D44*$D2</f>
        <v>68</v>
      </c>
      <c r="F44" s="9">
        <f t="shared" ref="F44:F75" si="3">$B$78*$D44+$C$78*$C44+$D$78</f>
        <v>73.371661373453236</v>
      </c>
      <c r="G44" s="20">
        <f t="shared" ref="G44:G75" si="4">($E44-$F44)/$E44</f>
        <v>-7.89950201978417E-2</v>
      </c>
    </row>
    <row r="45" spans="1:11" x14ac:dyDescent="0.3">
      <c r="B45" s="18" t="s">
        <v>16</v>
      </c>
      <c r="C45" s="18">
        <f>$C3</f>
        <v>443</v>
      </c>
      <c r="D45" s="18">
        <f t="shared" si="1"/>
        <v>98.663697104677055</v>
      </c>
      <c r="E45" s="18">
        <f t="shared" si="2"/>
        <v>443</v>
      </c>
      <c r="F45" s="18">
        <f t="shared" si="3"/>
        <v>458.21208323646221</v>
      </c>
      <c r="G45" s="20">
        <f t="shared" si="4"/>
        <v>-3.4338788344158482E-2</v>
      </c>
    </row>
    <row r="46" spans="1:11" x14ac:dyDescent="0.3">
      <c r="B46" s="9" t="s">
        <v>15</v>
      </c>
      <c r="C46" s="9">
        <f>$C5</f>
        <v>511</v>
      </c>
      <c r="D46" s="9">
        <f t="shared" si="1"/>
        <v>12.661290322580644</v>
      </c>
      <c r="E46" s="9">
        <f t="shared" si="2"/>
        <v>78.5</v>
      </c>
      <c r="F46" s="9">
        <f t="shared" si="3"/>
        <v>82.409687849565387</v>
      </c>
      <c r="G46" s="20">
        <f t="shared" si="4"/>
        <v>-4.9804940758794734E-2</v>
      </c>
    </row>
    <row r="47" spans="1:11" x14ac:dyDescent="0.3">
      <c r="B47" s="18" t="s">
        <v>16</v>
      </c>
      <c r="C47" s="18">
        <f>$C5</f>
        <v>511</v>
      </c>
      <c r="D47" s="18">
        <f t="shared" si="1"/>
        <v>111.81619256017505</v>
      </c>
      <c r="E47" s="18">
        <f t="shared" si="2"/>
        <v>511</v>
      </c>
      <c r="F47" s="18">
        <f t="shared" si="3"/>
        <v>519.35753461237186</v>
      </c>
      <c r="G47" s="20">
        <f t="shared" si="4"/>
        <v>-1.6355253644563337E-2</v>
      </c>
    </row>
    <row r="48" spans="1:11" x14ac:dyDescent="0.3">
      <c r="B48" s="9" t="s">
        <v>15</v>
      </c>
      <c r="C48" s="9">
        <f>$C7</f>
        <v>565</v>
      </c>
      <c r="D48" s="9">
        <f t="shared" si="1"/>
        <v>13.690851735015773</v>
      </c>
      <c r="E48" s="9">
        <f t="shared" si="2"/>
        <v>86.8</v>
      </c>
      <c r="F48" s="9">
        <f t="shared" si="3"/>
        <v>89.476808493254339</v>
      </c>
      <c r="G48" s="20">
        <f t="shared" si="4"/>
        <v>-3.0838807525971679E-2</v>
      </c>
    </row>
    <row r="49" spans="2:7" x14ac:dyDescent="0.3">
      <c r="B49" s="18" t="s">
        <v>16</v>
      </c>
      <c r="C49" s="18">
        <f>$C7</f>
        <v>565</v>
      </c>
      <c r="D49" s="18">
        <f t="shared" si="1"/>
        <v>121.24463519313305</v>
      </c>
      <c r="E49" s="18">
        <f t="shared" si="2"/>
        <v>565</v>
      </c>
      <c r="F49" s="18">
        <f t="shared" si="3"/>
        <v>563.43616937898651</v>
      </c>
      <c r="G49" s="20">
        <f t="shared" si="4"/>
        <v>2.7678418071035295E-3</v>
      </c>
    </row>
    <row r="50" spans="2:7" x14ac:dyDescent="0.3">
      <c r="B50" s="9" t="s">
        <v>15</v>
      </c>
      <c r="C50" s="9">
        <f t="shared" ref="C50" si="5">$C9</f>
        <v>615</v>
      </c>
      <c r="D50" s="9">
        <f t="shared" si="1"/>
        <v>14.835164835164836</v>
      </c>
      <c r="E50" s="9">
        <f t="shared" si="2"/>
        <v>94.5</v>
      </c>
      <c r="F50" s="9">
        <f t="shared" si="3"/>
        <v>96.862190440799935</v>
      </c>
      <c r="G50" s="20">
        <f t="shared" si="4"/>
        <v>-2.4996724241269155E-2</v>
      </c>
    </row>
    <row r="51" spans="2:7" x14ac:dyDescent="0.3">
      <c r="B51" s="18" t="s">
        <v>16</v>
      </c>
      <c r="C51" s="18">
        <f t="shared" ref="C51" si="6">$C9</f>
        <v>615</v>
      </c>
      <c r="D51" s="18">
        <f t="shared" si="1"/>
        <v>131.6916488222698</v>
      </c>
      <c r="E51" s="18">
        <f t="shared" si="2"/>
        <v>615</v>
      </c>
      <c r="F51" s="18">
        <f t="shared" si="3"/>
        <v>611.81594367115213</v>
      </c>
      <c r="G51" s="20">
        <f t="shared" si="4"/>
        <v>5.1773273639802815E-3</v>
      </c>
    </row>
    <row r="52" spans="2:7" x14ac:dyDescent="0.3">
      <c r="B52" s="9" t="s">
        <v>15</v>
      </c>
      <c r="C52" s="9">
        <f t="shared" ref="C52" si="7">$C11</f>
        <v>670</v>
      </c>
      <c r="D52" s="9">
        <f t="shared" si="1"/>
        <v>15.381165919282511</v>
      </c>
      <c r="E52" s="9">
        <f t="shared" si="2"/>
        <v>102.9</v>
      </c>
      <c r="F52" s="9">
        <f t="shared" si="3"/>
        <v>101.84525062980964</v>
      </c>
      <c r="G52" s="20">
        <f t="shared" si="4"/>
        <v>1.0250236833725604E-2</v>
      </c>
    </row>
    <row r="53" spans="2:7" x14ac:dyDescent="0.3">
      <c r="B53" s="18" t="s">
        <v>16</v>
      </c>
      <c r="C53" s="18">
        <f t="shared" ref="C53" si="8">$C11</f>
        <v>670</v>
      </c>
      <c r="D53" s="18">
        <f t="shared" si="1"/>
        <v>141.6490486257928</v>
      </c>
      <c r="E53" s="18">
        <f t="shared" si="2"/>
        <v>670</v>
      </c>
      <c r="F53" s="18">
        <f t="shared" si="3"/>
        <v>658.27239864619628</v>
      </c>
      <c r="G53" s="20">
        <f t="shared" si="4"/>
        <v>1.7503882617617494E-2</v>
      </c>
    </row>
    <row r="54" spans="2:7" x14ac:dyDescent="0.3">
      <c r="B54" s="9" t="s">
        <v>15</v>
      </c>
      <c r="C54" s="9">
        <f t="shared" ref="C54" si="9">$C13</f>
        <v>725</v>
      </c>
      <c r="D54" s="9">
        <f t="shared" si="1"/>
        <v>16.440177252584935</v>
      </c>
      <c r="E54" s="9">
        <f t="shared" si="2"/>
        <v>111.3</v>
      </c>
      <c r="F54" s="9">
        <f t="shared" si="3"/>
        <v>109.08900311632573</v>
      </c>
      <c r="G54" s="20">
        <f t="shared" si="4"/>
        <v>1.9865201111179422E-2</v>
      </c>
    </row>
    <row r="55" spans="2:7" x14ac:dyDescent="0.3">
      <c r="B55" s="18" t="s">
        <v>16</v>
      </c>
      <c r="C55" s="18">
        <f t="shared" ref="C55" si="10">$C13</f>
        <v>725</v>
      </c>
      <c r="D55" s="18">
        <f t="shared" si="1"/>
        <v>151.9916142557652</v>
      </c>
      <c r="E55" s="18">
        <f t="shared" si="2"/>
        <v>724.99999999999989</v>
      </c>
      <c r="F55" s="18">
        <f t="shared" si="3"/>
        <v>706.42617140095444</v>
      </c>
      <c r="G55" s="20">
        <f t="shared" si="4"/>
        <v>2.5619073929717854E-2</v>
      </c>
    </row>
    <row r="56" spans="2:7" x14ac:dyDescent="0.3">
      <c r="B56" s="9" t="s">
        <v>15</v>
      </c>
      <c r="C56" s="9">
        <f t="shared" ref="C56" si="11">$C15</f>
        <v>793</v>
      </c>
      <c r="D56" s="9">
        <f t="shared" si="1"/>
        <v>18.152011922503725</v>
      </c>
      <c r="E56" s="9">
        <f t="shared" si="2"/>
        <v>121.8</v>
      </c>
      <c r="F56" s="9">
        <f t="shared" si="3"/>
        <v>119.81867087496147</v>
      </c>
      <c r="G56" s="20">
        <f t="shared" si="4"/>
        <v>1.6267069992106139E-2</v>
      </c>
    </row>
    <row r="57" spans="2:7" x14ac:dyDescent="0.3">
      <c r="B57" s="18" t="s">
        <v>16</v>
      </c>
      <c r="C57" s="18">
        <f t="shared" ref="C57" si="12">$C15</f>
        <v>793</v>
      </c>
      <c r="D57" s="18">
        <f t="shared" si="1"/>
        <v>165.20833333333334</v>
      </c>
      <c r="E57" s="18">
        <f t="shared" si="2"/>
        <v>793</v>
      </c>
      <c r="F57" s="18">
        <f t="shared" si="3"/>
        <v>767.85463826819705</v>
      </c>
      <c r="G57" s="20">
        <f t="shared" si="4"/>
        <v>3.170915729105038E-2</v>
      </c>
    </row>
    <row r="58" spans="2:7" x14ac:dyDescent="0.3">
      <c r="B58" s="9" t="s">
        <v>15</v>
      </c>
      <c r="C58" s="9">
        <f t="shared" ref="C58" si="13">$C17</f>
        <v>857</v>
      </c>
      <c r="D58" s="9">
        <f t="shared" si="1"/>
        <v>19.155749636098982</v>
      </c>
      <c r="E58" s="9">
        <f t="shared" si="2"/>
        <v>131.6</v>
      </c>
      <c r="F58" s="9">
        <f t="shared" si="3"/>
        <v>127.24053672615307</v>
      </c>
      <c r="G58" s="20">
        <f t="shared" si="4"/>
        <v>3.3126620621937136E-2</v>
      </c>
    </row>
    <row r="59" spans="2:7" x14ac:dyDescent="0.3">
      <c r="B59" s="18" t="s">
        <v>16</v>
      </c>
      <c r="C59" s="18">
        <f t="shared" ref="C59" si="14">$C17</f>
        <v>857</v>
      </c>
      <c r="D59" s="18">
        <f t="shared" si="1"/>
        <v>177.43271221532092</v>
      </c>
      <c r="E59" s="18">
        <f t="shared" si="2"/>
        <v>857</v>
      </c>
      <c r="F59" s="18">
        <f t="shared" si="3"/>
        <v>824.72272298690359</v>
      </c>
      <c r="G59" s="20">
        <f t="shared" si="4"/>
        <v>3.7663100365340034E-2</v>
      </c>
    </row>
    <row r="60" spans="2:7" x14ac:dyDescent="0.3">
      <c r="B60" s="9" t="s">
        <v>15</v>
      </c>
      <c r="C60" s="9">
        <f t="shared" ref="C60" si="15">$C19</f>
        <v>981</v>
      </c>
      <c r="D60" s="9">
        <f t="shared" si="1"/>
        <v>24.2443729903537</v>
      </c>
      <c r="E60" s="9">
        <f t="shared" si="2"/>
        <v>150.80000000000001</v>
      </c>
      <c r="F60" s="9">
        <f t="shared" si="3"/>
        <v>155.47460605115663</v>
      </c>
      <c r="G60" s="20">
        <f t="shared" si="4"/>
        <v>-3.099871386708631E-2</v>
      </c>
    </row>
    <row r="61" spans="2:7" x14ac:dyDescent="0.3">
      <c r="B61" s="18" t="s">
        <v>16</v>
      </c>
      <c r="C61" s="18">
        <f t="shared" ref="C61" si="16">$C19</f>
        <v>981</v>
      </c>
      <c r="D61" s="18">
        <f t="shared" si="1"/>
        <v>213.2608695652174</v>
      </c>
      <c r="E61" s="18">
        <f t="shared" si="2"/>
        <v>981</v>
      </c>
      <c r="F61" s="18">
        <f t="shared" si="3"/>
        <v>988.41729791255921</v>
      </c>
      <c r="G61" s="20">
        <f t="shared" si="4"/>
        <v>-7.5609560780420049E-3</v>
      </c>
    </row>
    <row r="62" spans="2:7" x14ac:dyDescent="0.3">
      <c r="B62" s="9" t="s">
        <v>15</v>
      </c>
      <c r="C62" s="9">
        <f t="shared" ref="C62" si="17">$C21</f>
        <v>1030</v>
      </c>
      <c r="D62" s="9">
        <f t="shared" si="1"/>
        <v>25.491143317230275</v>
      </c>
      <c r="E62" s="9">
        <f t="shared" si="2"/>
        <v>158.30000000000001</v>
      </c>
      <c r="F62" s="9">
        <f t="shared" si="3"/>
        <v>163.26463396275614</v>
      </c>
      <c r="G62" s="20">
        <f t="shared" si="4"/>
        <v>-3.1362185488036161E-2</v>
      </c>
    </row>
    <row r="63" spans="2:7" x14ac:dyDescent="0.3">
      <c r="B63" s="18" t="s">
        <v>16</v>
      </c>
      <c r="C63" s="18">
        <f t="shared" ref="C63" si="18">$C21</f>
        <v>1030</v>
      </c>
      <c r="D63" s="18">
        <f t="shared" si="1"/>
        <v>224.89082969432314</v>
      </c>
      <c r="E63" s="18">
        <f t="shared" si="2"/>
        <v>1030</v>
      </c>
      <c r="F63" s="18">
        <f t="shared" si="3"/>
        <v>1041.9631313792106</v>
      </c>
      <c r="G63" s="20">
        <f t="shared" si="4"/>
        <v>-1.1614690659427775E-2</v>
      </c>
    </row>
    <row r="64" spans="2:7" x14ac:dyDescent="0.3">
      <c r="B64" s="9" t="s">
        <v>15</v>
      </c>
      <c r="C64" s="9">
        <f t="shared" ref="C64" si="19">$C23</f>
        <v>1093</v>
      </c>
      <c r="D64" s="9">
        <f t="shared" si="1"/>
        <v>27.890365448504987</v>
      </c>
      <c r="E64" s="9">
        <f t="shared" si="2"/>
        <v>167.9</v>
      </c>
      <c r="F64" s="9">
        <f t="shared" si="3"/>
        <v>176.789153986798</v>
      </c>
      <c r="G64" s="20">
        <f t="shared" si="4"/>
        <v>-5.2943144650375182E-2</v>
      </c>
    </row>
    <row r="65" spans="2:7" x14ac:dyDescent="0.3">
      <c r="B65" s="18" t="s">
        <v>16</v>
      </c>
      <c r="C65" s="18">
        <f t="shared" ref="C65" si="20">$C23</f>
        <v>1093</v>
      </c>
      <c r="D65" s="18">
        <f t="shared" si="1"/>
        <v>238.64628820960698</v>
      </c>
      <c r="E65" s="18">
        <f t="shared" si="2"/>
        <v>1093</v>
      </c>
      <c r="F65" s="18">
        <f t="shared" si="3"/>
        <v>1105.5314003591247</v>
      </c>
      <c r="G65" s="20">
        <f t="shared" si="4"/>
        <v>-1.1465142140095834E-2</v>
      </c>
    </row>
    <row r="66" spans="2:7" x14ac:dyDescent="0.3">
      <c r="B66" s="9" t="s">
        <v>15</v>
      </c>
      <c r="C66" s="9">
        <f t="shared" ref="C66" si="21">$C25</f>
        <v>1153</v>
      </c>
      <c r="D66" s="9">
        <f t="shared" si="1"/>
        <v>29.19275123558484</v>
      </c>
      <c r="E66" s="9">
        <f t="shared" si="2"/>
        <v>177.2</v>
      </c>
      <c r="F66" s="9">
        <f t="shared" si="3"/>
        <v>185.33966094129795</v>
      </c>
      <c r="G66" s="20">
        <f t="shared" si="4"/>
        <v>-4.5934881158566379E-2</v>
      </c>
    </row>
    <row r="67" spans="2:7" x14ac:dyDescent="0.3">
      <c r="B67" s="18" t="s">
        <v>16</v>
      </c>
      <c r="C67" s="18">
        <f t="shared" ref="C67" si="22">$C25</f>
        <v>1153</v>
      </c>
      <c r="D67" s="18">
        <f t="shared" si="1"/>
        <v>250.6521739130435</v>
      </c>
      <c r="E67" s="18">
        <f t="shared" si="2"/>
        <v>1153</v>
      </c>
      <c r="F67" s="18">
        <f t="shared" si="3"/>
        <v>1161.2492297125841</v>
      </c>
      <c r="G67" s="20">
        <f t="shared" si="4"/>
        <v>-7.1545791089194363E-3</v>
      </c>
    </row>
    <row r="68" spans="2:7" x14ac:dyDescent="0.3">
      <c r="B68" s="9" t="s">
        <v>15</v>
      </c>
      <c r="C68" s="9">
        <f t="shared" ref="C68" si="23">$C27</f>
        <v>1264</v>
      </c>
      <c r="D68" s="9">
        <f t="shared" si="1"/>
        <v>31.680261011419248</v>
      </c>
      <c r="E68" s="9">
        <f t="shared" si="2"/>
        <v>194.2</v>
      </c>
      <c r="F68" s="9">
        <f t="shared" si="3"/>
        <v>201.50224628487751</v>
      </c>
      <c r="G68" s="20">
        <f t="shared" si="4"/>
        <v>-3.7601680148699933E-2</v>
      </c>
    </row>
    <row r="69" spans="2:7" x14ac:dyDescent="0.3">
      <c r="B69" s="18" t="s">
        <v>16</v>
      </c>
      <c r="C69" s="18">
        <f t="shared" ref="C69" si="24">$C27</f>
        <v>1264</v>
      </c>
      <c r="D69" s="18">
        <f t="shared" si="1"/>
        <v>273.0021598272138</v>
      </c>
      <c r="E69" s="18">
        <f t="shared" si="2"/>
        <v>1263.9999999999998</v>
      </c>
      <c r="F69" s="18">
        <f t="shared" si="3"/>
        <v>1264.9401770853779</v>
      </c>
      <c r="G69" s="20">
        <f t="shared" si="4"/>
        <v>-7.4381098526746985E-4</v>
      </c>
    </row>
    <row r="70" spans="2:7" x14ac:dyDescent="0.3">
      <c r="B70" s="9" t="s">
        <v>15</v>
      </c>
      <c r="C70" s="9">
        <f t="shared" ref="C70" si="25">$C29</f>
        <v>1455</v>
      </c>
      <c r="D70" s="9">
        <f t="shared" si="1"/>
        <v>33.842662632375188</v>
      </c>
      <c r="E70" s="9">
        <f t="shared" si="2"/>
        <v>223.7</v>
      </c>
      <c r="F70" s="9">
        <f t="shared" si="3"/>
        <v>219.98051521404869</v>
      </c>
      <c r="G70" s="20">
        <f t="shared" si="4"/>
        <v>1.6627111246988353E-2</v>
      </c>
    </row>
    <row r="71" spans="2:7" x14ac:dyDescent="0.3">
      <c r="B71" s="18" t="s">
        <v>16</v>
      </c>
      <c r="C71" s="18">
        <f t="shared" ref="C71" si="26">$C29</f>
        <v>1455</v>
      </c>
      <c r="D71" s="18">
        <f t="shared" si="1"/>
        <v>316.99346405228761</v>
      </c>
      <c r="E71" s="18">
        <f t="shared" si="2"/>
        <v>1455</v>
      </c>
      <c r="F71" s="18">
        <f t="shared" si="3"/>
        <v>1467.7466891257679</v>
      </c>
      <c r="G71" s="20">
        <f t="shared" si="4"/>
        <v>-8.7606110830020234E-3</v>
      </c>
    </row>
    <row r="72" spans="2:7" x14ac:dyDescent="0.3">
      <c r="B72" s="9" t="s">
        <v>15</v>
      </c>
      <c r="C72" s="9">
        <f t="shared" ref="C72" si="27">$C31</f>
        <v>1581</v>
      </c>
      <c r="D72" s="9">
        <f t="shared" si="1"/>
        <v>36.362275449101801</v>
      </c>
      <c r="E72" s="9">
        <f t="shared" si="2"/>
        <v>242.90000000000003</v>
      </c>
      <c r="F72" s="9">
        <f t="shared" si="3"/>
        <v>236.98738416501729</v>
      </c>
      <c r="G72" s="20">
        <f t="shared" si="4"/>
        <v>2.4341769596470747E-2</v>
      </c>
    </row>
    <row r="73" spans="2:7" x14ac:dyDescent="0.3">
      <c r="B73" s="18" t="s">
        <v>16</v>
      </c>
      <c r="C73" s="18">
        <f t="shared" ref="C73" si="28">$C31</f>
        <v>1581</v>
      </c>
      <c r="D73" s="18">
        <f t="shared" si="1"/>
        <v>342.95010845986985</v>
      </c>
      <c r="E73" s="18">
        <f t="shared" si="2"/>
        <v>1581.0000000000002</v>
      </c>
      <c r="F73" s="18">
        <f t="shared" si="3"/>
        <v>1588.0339835225445</v>
      </c>
      <c r="G73" s="20">
        <f t="shared" si="4"/>
        <v>-4.4490724367769151E-3</v>
      </c>
    </row>
    <row r="74" spans="2:7" x14ac:dyDescent="0.3">
      <c r="B74" s="9" t="s">
        <v>15</v>
      </c>
      <c r="C74" s="9">
        <f t="shared" ref="C74" si="29">$C33</f>
        <v>1707</v>
      </c>
      <c r="D74" s="9">
        <f t="shared" si="1"/>
        <v>38.291970802919714</v>
      </c>
      <c r="E74" s="9">
        <f t="shared" si="2"/>
        <v>262.3</v>
      </c>
      <c r="F74" s="9">
        <f t="shared" si="3"/>
        <v>251.39465229576535</v>
      </c>
      <c r="G74" s="20">
        <f t="shared" si="4"/>
        <v>4.1575858575046344E-2</v>
      </c>
    </row>
    <row r="75" spans="2:7" x14ac:dyDescent="0.3">
      <c r="B75" s="18" t="s">
        <v>16</v>
      </c>
      <c r="C75" s="18">
        <f t="shared" ref="C75" si="30">$C33</f>
        <v>1707</v>
      </c>
      <c r="D75" s="18">
        <f t="shared" si="1"/>
        <v>366.3090128755365</v>
      </c>
      <c r="E75" s="18">
        <f t="shared" si="2"/>
        <v>1707.0000000000002</v>
      </c>
      <c r="F75" s="18">
        <f t="shared" si="3"/>
        <v>1696.8737662955662</v>
      </c>
      <c r="G75" s="20">
        <f t="shared" si="4"/>
        <v>5.9321814320058988E-3</v>
      </c>
    </row>
    <row r="77" spans="2:7" x14ac:dyDescent="0.3">
      <c r="B77" t="s">
        <v>19</v>
      </c>
      <c r="C77" t="s">
        <v>20</v>
      </c>
      <c r="D77" t="s">
        <v>21</v>
      </c>
    </row>
    <row r="78" spans="2:7" x14ac:dyDescent="0.3">
      <c r="B78" cm="1">
        <f t="array" ref="B78:D78">LINEST(E44:E75,C44:D75)</f>
        <v>4.4067195559912369</v>
      </c>
      <c r="C78">
        <v>4.68543006188352E-2</v>
      </c>
      <c r="D78">
        <v>2.6723845647418898</v>
      </c>
    </row>
    <row r="79" spans="2:7" x14ac:dyDescent="0.3">
      <c r="B79" s="35">
        <v>4.4067195559912369</v>
      </c>
      <c r="C79" s="66">
        <v>4.68543006188352E-2</v>
      </c>
      <c r="D79" s="35">
        <v>2.6723845647418898</v>
      </c>
    </row>
    <row r="81" spans="2:7" x14ac:dyDescent="0.3">
      <c r="B81" s="2" t="s">
        <v>416</v>
      </c>
      <c r="C81" s="57">
        <v>0.15</v>
      </c>
    </row>
    <row r="82" spans="2:7" x14ac:dyDescent="0.3">
      <c r="B82" s="2" t="s">
        <v>415</v>
      </c>
      <c r="C82" s="57">
        <v>1</v>
      </c>
    </row>
    <row r="84" spans="2:7" x14ac:dyDescent="0.3">
      <c r="B84" t="s">
        <v>417</v>
      </c>
    </row>
    <row r="86" spans="2:7" x14ac:dyDescent="0.3">
      <c r="B86" s="2" t="s">
        <v>378</v>
      </c>
      <c r="C86" s="2" t="s">
        <v>379</v>
      </c>
      <c r="F86" s="2" t="s">
        <v>380</v>
      </c>
      <c r="G86" s="2" t="s">
        <v>381</v>
      </c>
    </row>
    <row r="87" spans="2:7" x14ac:dyDescent="0.3">
      <c r="B87">
        <f>C81</f>
        <v>0.15</v>
      </c>
      <c r="C87" s="67">
        <f>B79*C81+C79</f>
        <v>0.70786223401752069</v>
      </c>
      <c r="D87" s="67"/>
      <c r="F87">
        <f>C82</f>
        <v>1</v>
      </c>
      <c r="G87" s="67">
        <f>B79*C82+C79</f>
        <v>4.4535738566100722</v>
      </c>
    </row>
  </sheetData>
  <hyperlinks>
    <hyperlink ref="C38" r:id="rId1" xr:uid="{704B02B3-0E88-47C5-A27C-DAE22B294B91}"/>
    <hyperlink ref="C37" r:id="rId2" xr:uid="{61BACC35-A312-4978-BC9D-AB852C1446A1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513F-7515-494F-943C-98E008B8463C}">
  <sheetPr>
    <tabColor rgb="FF7030A0"/>
  </sheetPr>
  <dimension ref="A1:K87"/>
  <sheetViews>
    <sheetView topLeftCell="A67" workbookViewId="0">
      <selection activeCell="B81" sqref="B81:G87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197</v>
      </c>
      <c r="C1" s="3" t="s">
        <v>0</v>
      </c>
      <c r="D1" s="2" t="s">
        <v>32</v>
      </c>
      <c r="E1" s="5" t="s">
        <v>11</v>
      </c>
      <c r="F1" s="2" t="s">
        <v>31</v>
      </c>
    </row>
    <row r="2" spans="2:11" x14ac:dyDescent="0.3">
      <c r="B2" s="17" t="s">
        <v>189</v>
      </c>
      <c r="C2" s="7">
        <v>89</v>
      </c>
      <c r="D2" s="9">
        <v>7.46</v>
      </c>
      <c r="E2" s="6" t="s">
        <v>184</v>
      </c>
      <c r="F2" s="9">
        <f t="shared" ref="F2:F33" si="0">$C2/$D2</f>
        <v>11.930294906166219</v>
      </c>
      <c r="G2" s="9" t="s">
        <v>15</v>
      </c>
    </row>
    <row r="3" spans="2:11" x14ac:dyDescent="0.3">
      <c r="B3" s="16" t="s">
        <v>190</v>
      </c>
      <c r="C3" s="26">
        <v>422</v>
      </c>
      <c r="D3" s="18">
        <v>4.6100000000000003</v>
      </c>
      <c r="E3" s="19" t="s">
        <v>188</v>
      </c>
      <c r="F3" s="18">
        <f t="shared" si="0"/>
        <v>91.540130151843812</v>
      </c>
      <c r="G3" s="18" t="s">
        <v>16</v>
      </c>
    </row>
    <row r="4" spans="2:11" x14ac:dyDescent="0.3">
      <c r="B4" s="17" t="s">
        <v>189</v>
      </c>
      <c r="C4" s="7">
        <v>103</v>
      </c>
      <c r="D4" s="9">
        <v>7.74</v>
      </c>
      <c r="E4" s="6" t="s">
        <v>184</v>
      </c>
      <c r="F4" s="9">
        <f t="shared" si="0"/>
        <v>13.307493540051679</v>
      </c>
      <c r="G4" s="9" t="s">
        <v>15</v>
      </c>
      <c r="H4" s="2" t="s">
        <v>396</v>
      </c>
      <c r="I4" s="2" t="s">
        <v>411</v>
      </c>
      <c r="J4" s="2" t="s">
        <v>397</v>
      </c>
      <c r="K4" s="2" t="s">
        <v>410</v>
      </c>
    </row>
    <row r="5" spans="2:11" x14ac:dyDescent="0.3">
      <c r="B5" s="16" t="s">
        <v>190</v>
      </c>
      <c r="C5" s="26">
        <v>489</v>
      </c>
      <c r="D5" s="18">
        <v>4.78</v>
      </c>
      <c r="E5" s="19" t="s">
        <v>188</v>
      </c>
      <c r="F5" s="18">
        <f t="shared" si="0"/>
        <v>102.30125523012552</v>
      </c>
      <c r="G5" s="18" t="s">
        <v>16</v>
      </c>
      <c r="H5" s="18">
        <f>I5/D4</f>
        <v>14.485574103137235</v>
      </c>
      <c r="I5" s="26">
        <f>K5*C4/C5</f>
        <v>112.11834355828221</v>
      </c>
      <c r="J5" s="26">
        <f>K5/D5</f>
        <v>111.35774058577404</v>
      </c>
      <c r="K5" s="26">
        <v>532.29</v>
      </c>
    </row>
    <row r="6" spans="2:11" x14ac:dyDescent="0.3">
      <c r="B6" s="17" t="s">
        <v>189</v>
      </c>
      <c r="C6" s="7">
        <v>114</v>
      </c>
      <c r="D6" s="9">
        <v>7.68</v>
      </c>
      <c r="E6" s="6" t="s">
        <v>184</v>
      </c>
      <c r="F6" s="9">
        <f t="shared" si="0"/>
        <v>14.84375</v>
      </c>
      <c r="G6" s="9" t="s">
        <v>15</v>
      </c>
    </row>
    <row r="7" spans="2:11" x14ac:dyDescent="0.3">
      <c r="B7" s="16" t="s">
        <v>190</v>
      </c>
      <c r="C7" s="26">
        <v>541</v>
      </c>
      <c r="D7" s="18">
        <v>4.82</v>
      </c>
      <c r="E7" s="19" t="s">
        <v>188</v>
      </c>
      <c r="F7" s="18">
        <f t="shared" si="0"/>
        <v>112.24066390041493</v>
      </c>
      <c r="G7" s="18" t="s">
        <v>16</v>
      </c>
    </row>
    <row r="8" spans="2:11" x14ac:dyDescent="0.3">
      <c r="B8" s="17" t="s">
        <v>189</v>
      </c>
      <c r="C8" s="7">
        <v>123</v>
      </c>
      <c r="D8" s="9">
        <v>7.66</v>
      </c>
      <c r="E8" s="6" t="s">
        <v>184</v>
      </c>
      <c r="F8" s="9">
        <f t="shared" si="0"/>
        <v>16.057441253263708</v>
      </c>
      <c r="G8" s="9" t="s">
        <v>15</v>
      </c>
    </row>
    <row r="9" spans="2:11" x14ac:dyDescent="0.3">
      <c r="B9" s="16" t="s">
        <v>190</v>
      </c>
      <c r="C9" s="26">
        <v>588</v>
      </c>
      <c r="D9" s="18">
        <v>4.82</v>
      </c>
      <c r="E9" s="19" t="s">
        <v>188</v>
      </c>
      <c r="F9" s="18">
        <f t="shared" si="0"/>
        <v>121.99170124481327</v>
      </c>
      <c r="G9" s="18" t="s">
        <v>16</v>
      </c>
    </row>
    <row r="10" spans="2:11" x14ac:dyDescent="0.3">
      <c r="B10" s="17" t="s">
        <v>189</v>
      </c>
      <c r="C10" s="7">
        <v>134</v>
      </c>
      <c r="D10" s="9">
        <v>7.99</v>
      </c>
      <c r="E10" s="6" t="s">
        <v>184</v>
      </c>
      <c r="F10" s="9">
        <f t="shared" si="0"/>
        <v>16.770963704630788</v>
      </c>
      <c r="G10" s="9" t="s">
        <v>15</v>
      </c>
    </row>
    <row r="11" spans="2:11" x14ac:dyDescent="0.3">
      <c r="B11" s="16" t="s">
        <v>190</v>
      </c>
      <c r="C11" s="26">
        <v>637</v>
      </c>
      <c r="D11" s="18">
        <v>4.87</v>
      </c>
      <c r="E11" s="19" t="s">
        <v>188</v>
      </c>
      <c r="F11" s="18">
        <f t="shared" si="0"/>
        <v>130.80082135523614</v>
      </c>
      <c r="G11" s="18" t="s">
        <v>16</v>
      </c>
    </row>
    <row r="12" spans="2:11" x14ac:dyDescent="0.3">
      <c r="B12" s="17" t="s">
        <v>189</v>
      </c>
      <c r="C12" s="7">
        <v>144</v>
      </c>
      <c r="D12" s="9">
        <v>8</v>
      </c>
      <c r="E12" s="6" t="s">
        <v>184</v>
      </c>
      <c r="F12" s="9">
        <f t="shared" si="0"/>
        <v>18</v>
      </c>
      <c r="G12" s="9" t="s">
        <v>15</v>
      </c>
    </row>
    <row r="13" spans="2:11" x14ac:dyDescent="0.3">
      <c r="B13" s="16" t="s">
        <v>190</v>
      </c>
      <c r="C13" s="26">
        <v>686</v>
      </c>
      <c r="D13" s="18">
        <v>4.8899999999999997</v>
      </c>
      <c r="E13" s="19" t="s">
        <v>188</v>
      </c>
      <c r="F13" s="18">
        <f t="shared" si="0"/>
        <v>140.28629856850716</v>
      </c>
      <c r="G13" s="18" t="s">
        <v>16</v>
      </c>
    </row>
    <row r="14" spans="2:11" x14ac:dyDescent="0.3">
      <c r="B14" s="17" t="s">
        <v>189</v>
      </c>
      <c r="C14" s="7">
        <v>158</v>
      </c>
      <c r="D14" s="9">
        <v>7.97</v>
      </c>
      <c r="E14" s="6" t="s">
        <v>184</v>
      </c>
      <c r="F14" s="9">
        <f t="shared" si="0"/>
        <v>19.824341279799249</v>
      </c>
      <c r="G14" s="9" t="s">
        <v>15</v>
      </c>
    </row>
    <row r="15" spans="2:11" x14ac:dyDescent="0.3">
      <c r="B15" s="16" t="s">
        <v>190</v>
      </c>
      <c r="C15" s="26">
        <v>752</v>
      </c>
      <c r="D15" s="18">
        <v>4.93</v>
      </c>
      <c r="E15" s="19" t="s">
        <v>188</v>
      </c>
      <c r="F15" s="18">
        <f t="shared" si="0"/>
        <v>152.53549695740367</v>
      </c>
      <c r="G15" s="18" t="s">
        <v>16</v>
      </c>
    </row>
    <row r="16" spans="2:11" x14ac:dyDescent="0.3">
      <c r="B16" s="17" t="s">
        <v>189</v>
      </c>
      <c r="C16" s="7">
        <v>171</v>
      </c>
      <c r="D16" s="9">
        <v>8.15</v>
      </c>
      <c r="E16" s="6" t="s">
        <v>184</v>
      </c>
      <c r="F16" s="9">
        <f t="shared" si="0"/>
        <v>20.981595092024538</v>
      </c>
      <c r="G16" s="9" t="s">
        <v>15</v>
      </c>
    </row>
    <row r="17" spans="2:11" x14ac:dyDescent="0.3">
      <c r="B17" s="16" t="s">
        <v>190</v>
      </c>
      <c r="C17" s="26">
        <v>815</v>
      </c>
      <c r="D17" s="18">
        <v>4.9800000000000004</v>
      </c>
      <c r="E17" s="19" t="s">
        <v>188</v>
      </c>
      <c r="F17" s="18">
        <f t="shared" si="0"/>
        <v>163.65461847389557</v>
      </c>
      <c r="G17" s="18" t="s">
        <v>16</v>
      </c>
    </row>
    <row r="18" spans="2:11" x14ac:dyDescent="0.3">
      <c r="B18" s="17" t="s">
        <v>189</v>
      </c>
      <c r="C18" s="7">
        <v>196</v>
      </c>
      <c r="D18" s="9">
        <v>7.04</v>
      </c>
      <c r="E18" s="6" t="s">
        <v>184</v>
      </c>
      <c r="F18" s="9">
        <f t="shared" si="0"/>
        <v>27.84090909090909</v>
      </c>
      <c r="G18" s="9" t="s">
        <v>15</v>
      </c>
    </row>
    <row r="19" spans="2:11" x14ac:dyDescent="0.3">
      <c r="B19" s="16" t="s">
        <v>190</v>
      </c>
      <c r="C19" s="26">
        <v>936</v>
      </c>
      <c r="D19" s="18">
        <v>4.7699999999999996</v>
      </c>
      <c r="E19" s="19" t="s">
        <v>188</v>
      </c>
      <c r="F19" s="18">
        <f t="shared" si="0"/>
        <v>196.22641509433964</v>
      </c>
      <c r="G19" s="18" t="s">
        <v>16</v>
      </c>
    </row>
    <row r="20" spans="2:11" x14ac:dyDescent="0.3">
      <c r="B20" s="17" t="s">
        <v>189</v>
      </c>
      <c r="C20" s="7">
        <v>206</v>
      </c>
      <c r="D20" s="9">
        <v>7.05</v>
      </c>
      <c r="E20" s="6" t="s">
        <v>184</v>
      </c>
      <c r="F20" s="9">
        <f t="shared" si="0"/>
        <v>29.219858156028369</v>
      </c>
      <c r="G20" s="9" t="s">
        <v>15</v>
      </c>
      <c r="H20" s="2" t="s">
        <v>396</v>
      </c>
      <c r="I20" s="2" t="s">
        <v>411</v>
      </c>
      <c r="J20" s="2" t="s">
        <v>397</v>
      </c>
      <c r="K20" s="2" t="s">
        <v>410</v>
      </c>
    </row>
    <row r="21" spans="2:11" x14ac:dyDescent="0.3">
      <c r="B21" s="16" t="s">
        <v>190</v>
      </c>
      <c r="C21" s="26">
        <v>981</v>
      </c>
      <c r="D21" s="18">
        <v>4.74</v>
      </c>
      <c r="E21" s="19" t="s">
        <v>188</v>
      </c>
      <c r="F21" s="18">
        <f t="shared" si="0"/>
        <v>206.96202531645568</v>
      </c>
      <c r="G21" s="18" t="s">
        <v>16</v>
      </c>
      <c r="H21" s="18">
        <f>I21/D20</f>
        <v>30.692169663319383</v>
      </c>
      <c r="I21" s="26">
        <f>K21*C20/C21</f>
        <v>216.37979612640166</v>
      </c>
      <c r="J21" s="26">
        <f>K21/D21</f>
        <v>217.39029535864978</v>
      </c>
      <c r="K21" s="26">
        <v>1030.43</v>
      </c>
    </row>
    <row r="22" spans="2:11" x14ac:dyDescent="0.3">
      <c r="B22" s="17" t="s">
        <v>189</v>
      </c>
      <c r="C22" s="7">
        <v>219</v>
      </c>
      <c r="D22" s="9">
        <v>7.04</v>
      </c>
      <c r="E22" s="6" t="s">
        <v>184</v>
      </c>
      <c r="F22" s="9">
        <f t="shared" si="0"/>
        <v>31.107954545454547</v>
      </c>
      <c r="G22" s="9" t="s">
        <v>15</v>
      </c>
    </row>
    <row r="23" spans="2:11" x14ac:dyDescent="0.3">
      <c r="B23" s="16" t="s">
        <v>190</v>
      </c>
      <c r="C23" s="26">
        <v>1041</v>
      </c>
      <c r="D23" s="18">
        <v>4.7300000000000004</v>
      </c>
      <c r="E23" s="19" t="s">
        <v>188</v>
      </c>
      <c r="F23" s="18">
        <f t="shared" si="0"/>
        <v>220.08456659619449</v>
      </c>
      <c r="G23" s="18" t="s">
        <v>16</v>
      </c>
    </row>
    <row r="24" spans="2:11" x14ac:dyDescent="0.3">
      <c r="B24" s="17" t="s">
        <v>189</v>
      </c>
      <c r="C24" s="7">
        <v>231</v>
      </c>
      <c r="D24" s="9">
        <v>6.65</v>
      </c>
      <c r="E24" s="6" t="s">
        <v>184</v>
      </c>
      <c r="F24" s="9">
        <f t="shared" si="0"/>
        <v>34.736842105263158</v>
      </c>
      <c r="G24" s="9" t="s">
        <v>15</v>
      </c>
    </row>
    <row r="25" spans="2:11" x14ac:dyDescent="0.3">
      <c r="B25" s="16" t="s">
        <v>190</v>
      </c>
      <c r="C25" s="26">
        <v>1098</v>
      </c>
      <c r="D25" s="18">
        <v>4.7699999999999996</v>
      </c>
      <c r="E25" s="19" t="s">
        <v>188</v>
      </c>
      <c r="F25" s="18">
        <f t="shared" si="0"/>
        <v>230.18867924528303</v>
      </c>
      <c r="G25" s="18" t="s">
        <v>16</v>
      </c>
    </row>
    <row r="26" spans="2:11" x14ac:dyDescent="0.3">
      <c r="B26" s="17" t="s">
        <v>189</v>
      </c>
      <c r="C26" s="7">
        <v>254</v>
      </c>
      <c r="D26" s="9">
        <v>6.62</v>
      </c>
      <c r="E26" s="6" t="s">
        <v>184</v>
      </c>
      <c r="F26" s="9">
        <f t="shared" si="0"/>
        <v>38.368580060422957</v>
      </c>
      <c r="G26" s="9" t="s">
        <v>15</v>
      </c>
    </row>
    <row r="27" spans="2:11" x14ac:dyDescent="0.3">
      <c r="B27" s="16" t="s">
        <v>190</v>
      </c>
      <c r="C27" s="26">
        <v>1210</v>
      </c>
      <c r="D27" s="18">
        <v>4.82</v>
      </c>
      <c r="E27" s="19" t="s">
        <v>188</v>
      </c>
      <c r="F27" s="18">
        <f t="shared" si="0"/>
        <v>251.03734439834022</v>
      </c>
      <c r="G27" s="18" t="s">
        <v>16</v>
      </c>
    </row>
    <row r="28" spans="2:11" x14ac:dyDescent="0.3">
      <c r="B28" s="17" t="s">
        <v>189</v>
      </c>
      <c r="C28" s="7">
        <v>292</v>
      </c>
      <c r="D28" s="9">
        <v>6.83</v>
      </c>
      <c r="E28" s="6" t="s">
        <v>184</v>
      </c>
      <c r="F28" s="9">
        <f t="shared" si="0"/>
        <v>42.752562225475842</v>
      </c>
      <c r="G28" s="9" t="s">
        <v>15</v>
      </c>
    </row>
    <row r="29" spans="2:11" x14ac:dyDescent="0.3">
      <c r="B29" s="16" t="s">
        <v>190</v>
      </c>
      <c r="C29" s="26">
        <v>1390</v>
      </c>
      <c r="D29" s="18">
        <v>4.76</v>
      </c>
      <c r="E29" s="19" t="s">
        <v>188</v>
      </c>
      <c r="F29" s="18">
        <f t="shared" si="0"/>
        <v>292.01680672268907</v>
      </c>
      <c r="G29" s="18" t="s">
        <v>16</v>
      </c>
    </row>
    <row r="30" spans="2:11" x14ac:dyDescent="0.3">
      <c r="B30" s="17" t="s">
        <v>189</v>
      </c>
      <c r="C30" s="7">
        <v>317</v>
      </c>
      <c r="D30" s="9">
        <v>6.63</v>
      </c>
      <c r="E30" s="6" t="s">
        <v>184</v>
      </c>
      <c r="F30" s="9">
        <f t="shared" si="0"/>
        <v>47.812971342383108</v>
      </c>
      <c r="G30" s="9" t="s">
        <v>15</v>
      </c>
    </row>
    <row r="31" spans="2:11" x14ac:dyDescent="0.3">
      <c r="B31" s="16" t="s">
        <v>190</v>
      </c>
      <c r="C31" s="26">
        <v>1508</v>
      </c>
      <c r="D31" s="18">
        <v>4.79</v>
      </c>
      <c r="E31" s="19" t="s">
        <v>188</v>
      </c>
      <c r="F31" s="18">
        <f t="shared" si="0"/>
        <v>314.8225469728601</v>
      </c>
      <c r="G31" s="18" t="s">
        <v>16</v>
      </c>
    </row>
    <row r="32" spans="2:11" x14ac:dyDescent="0.3">
      <c r="B32" s="17" t="s">
        <v>189</v>
      </c>
      <c r="C32" s="7">
        <v>342</v>
      </c>
      <c r="D32" s="9">
        <v>7.03</v>
      </c>
      <c r="E32" s="6" t="s">
        <v>184</v>
      </c>
      <c r="F32" s="9">
        <f t="shared" si="0"/>
        <v>48.648648648648646</v>
      </c>
      <c r="G32" s="9" t="s">
        <v>15</v>
      </c>
      <c r="H32" s="2" t="s">
        <v>396</v>
      </c>
      <c r="I32" s="2" t="s">
        <v>411</v>
      </c>
      <c r="J32" s="2" t="s">
        <v>397</v>
      </c>
      <c r="K32" s="2" t="s">
        <v>410</v>
      </c>
    </row>
    <row r="33" spans="1:11" x14ac:dyDescent="0.3">
      <c r="B33" s="16" t="s">
        <v>190</v>
      </c>
      <c r="C33" s="26">
        <v>1629</v>
      </c>
      <c r="D33" s="18">
        <v>4.83</v>
      </c>
      <c r="E33" s="19" t="s">
        <v>188</v>
      </c>
      <c r="F33" s="18">
        <f t="shared" si="0"/>
        <v>337.26708074534162</v>
      </c>
      <c r="G33" s="18" t="s">
        <v>16</v>
      </c>
      <c r="H33" s="26">
        <f>I33/D32</f>
        <v>1547.6780648051365</v>
      </c>
      <c r="I33" s="39">
        <f>K33*C32/C33</f>
        <v>10880.17679558011</v>
      </c>
      <c r="J33" s="39">
        <f>K33/D33</f>
        <v>10729.606625258799</v>
      </c>
      <c r="K33" s="39">
        <v>51824</v>
      </c>
    </row>
    <row r="36" spans="1:11" x14ac:dyDescent="0.3">
      <c r="B36" t="s">
        <v>1</v>
      </c>
      <c r="C36" t="s">
        <v>4</v>
      </c>
    </row>
    <row r="37" spans="1:11" x14ac:dyDescent="0.3">
      <c r="A37" t="s">
        <v>184</v>
      </c>
      <c r="B37" t="s">
        <v>183</v>
      </c>
      <c r="C37" s="4" t="s">
        <v>182</v>
      </c>
      <c r="D37" s="4"/>
      <c r="G37" t="s">
        <v>388</v>
      </c>
    </row>
    <row r="38" spans="1:11" x14ac:dyDescent="0.3">
      <c r="A38" t="s">
        <v>187</v>
      </c>
      <c r="B38" t="s">
        <v>186</v>
      </c>
      <c r="C38" s="4" t="s">
        <v>185</v>
      </c>
      <c r="D38" s="4"/>
    </row>
    <row r="39" spans="1:11" x14ac:dyDescent="0.3">
      <c r="C39" s="4"/>
    </row>
    <row r="40" spans="1:11" x14ac:dyDescent="0.3">
      <c r="C40" s="4"/>
    </row>
    <row r="41" spans="1:11" x14ac:dyDescent="0.3">
      <c r="B41" s="14"/>
      <c r="C41" s="4"/>
    </row>
    <row r="42" spans="1:11" x14ac:dyDescent="0.3">
      <c r="E42" s="10" t="s">
        <v>18</v>
      </c>
      <c r="F42" s="10" t="s">
        <v>18</v>
      </c>
      <c r="G42" s="10" t="s">
        <v>18</v>
      </c>
    </row>
    <row r="43" spans="1:11" x14ac:dyDescent="0.3">
      <c r="B43" s="2" t="s">
        <v>13</v>
      </c>
      <c r="C43" s="2" t="s">
        <v>12</v>
      </c>
      <c r="D43" s="2" t="s">
        <v>25</v>
      </c>
      <c r="E43" s="2" t="s">
        <v>17</v>
      </c>
      <c r="F43" s="2" t="s">
        <v>22</v>
      </c>
      <c r="G43" s="2" t="s">
        <v>23</v>
      </c>
    </row>
    <row r="44" spans="1:11" x14ac:dyDescent="0.3">
      <c r="B44" s="9" t="s">
        <v>15</v>
      </c>
      <c r="C44" s="9">
        <f>$C3</f>
        <v>422</v>
      </c>
      <c r="D44" s="9">
        <f t="shared" ref="D44:D75" si="1">$F2</f>
        <v>11.930294906166219</v>
      </c>
      <c r="E44" s="9">
        <f t="shared" ref="E44:E75" si="2">$D44*$D2</f>
        <v>89</v>
      </c>
      <c r="F44" s="9">
        <f t="shared" ref="F44:F59" si="3">$B$78*$D44+$C$78*$C44+$D$78</f>
        <v>93.458883259613359</v>
      </c>
      <c r="G44" s="20">
        <f t="shared" ref="G44:G75" si="4">($E44-$F44)/$E44</f>
        <v>-5.0099811905768073E-2</v>
      </c>
    </row>
    <row r="45" spans="1:11" x14ac:dyDescent="0.3">
      <c r="B45" s="18" t="s">
        <v>16</v>
      </c>
      <c r="C45" s="18">
        <f>$C3</f>
        <v>422</v>
      </c>
      <c r="D45" s="18">
        <f t="shared" si="1"/>
        <v>91.540130151843812</v>
      </c>
      <c r="E45" s="18">
        <f t="shared" si="2"/>
        <v>422</v>
      </c>
      <c r="F45" s="18">
        <f t="shared" si="3"/>
        <v>445.36337789467467</v>
      </c>
      <c r="G45" s="20">
        <f t="shared" si="4"/>
        <v>-5.5363454726717228E-2</v>
      </c>
    </row>
    <row r="46" spans="1:11" x14ac:dyDescent="0.3">
      <c r="B46" s="9" t="s">
        <v>15</v>
      </c>
      <c r="C46" s="9">
        <f>$C5</f>
        <v>489</v>
      </c>
      <c r="D46" s="9">
        <f t="shared" si="1"/>
        <v>13.307493540051679</v>
      </c>
      <c r="E46" s="9">
        <f t="shared" si="2"/>
        <v>103</v>
      </c>
      <c r="F46" s="9">
        <f t="shared" si="3"/>
        <v>103.87973531360413</v>
      </c>
      <c r="G46" s="20">
        <f t="shared" si="4"/>
        <v>-8.541119549554655E-3</v>
      </c>
    </row>
    <row r="47" spans="1:11" x14ac:dyDescent="0.3">
      <c r="B47" s="18" t="s">
        <v>16</v>
      </c>
      <c r="C47" s="18">
        <f>$C5</f>
        <v>489</v>
      </c>
      <c r="D47" s="18">
        <f t="shared" si="1"/>
        <v>102.30125523012552</v>
      </c>
      <c r="E47" s="18">
        <f t="shared" si="2"/>
        <v>489</v>
      </c>
      <c r="F47" s="18">
        <f t="shared" si="3"/>
        <v>497.26460587102542</v>
      </c>
      <c r="G47" s="20">
        <f t="shared" si="4"/>
        <v>-1.6901034501074486E-2</v>
      </c>
    </row>
    <row r="48" spans="1:11" x14ac:dyDescent="0.3">
      <c r="B48" s="9" t="s">
        <v>15</v>
      </c>
      <c r="C48" s="9">
        <f>$C7</f>
        <v>541</v>
      </c>
      <c r="D48" s="9">
        <f t="shared" si="1"/>
        <v>14.84375</v>
      </c>
      <c r="E48" s="9">
        <f t="shared" si="2"/>
        <v>114</v>
      </c>
      <c r="F48" s="9">
        <f t="shared" si="3"/>
        <v>114.03357676286745</v>
      </c>
      <c r="G48" s="20">
        <f t="shared" si="4"/>
        <v>-2.9453300760925077E-4</v>
      </c>
    </row>
    <row r="49" spans="2:7" x14ac:dyDescent="0.3">
      <c r="B49" s="18" t="s">
        <v>16</v>
      </c>
      <c r="C49" s="18">
        <f>$C7</f>
        <v>541</v>
      </c>
      <c r="D49" s="18">
        <f t="shared" si="1"/>
        <v>112.24066390041493</v>
      </c>
      <c r="E49" s="18">
        <f t="shared" si="2"/>
        <v>541</v>
      </c>
      <c r="F49" s="18">
        <f t="shared" si="3"/>
        <v>544.56344357352668</v>
      </c>
      <c r="G49" s="20">
        <f t="shared" si="4"/>
        <v>-6.5867718549476586E-3</v>
      </c>
    </row>
    <row r="50" spans="2:7" x14ac:dyDescent="0.3">
      <c r="B50" s="9" t="s">
        <v>15</v>
      </c>
      <c r="C50" s="9">
        <f>$C9</f>
        <v>588</v>
      </c>
      <c r="D50" s="9">
        <f t="shared" si="1"/>
        <v>16.057441253263708</v>
      </c>
      <c r="E50" s="9">
        <f t="shared" si="2"/>
        <v>123</v>
      </c>
      <c r="F50" s="9">
        <f t="shared" si="3"/>
        <v>122.43819434217394</v>
      </c>
      <c r="G50" s="20">
        <f t="shared" si="4"/>
        <v>4.5675256733825722E-3</v>
      </c>
    </row>
    <row r="51" spans="2:7" x14ac:dyDescent="0.3">
      <c r="B51" s="18" t="s">
        <v>16</v>
      </c>
      <c r="C51" s="18">
        <f>$C9</f>
        <v>588</v>
      </c>
      <c r="D51" s="18">
        <f t="shared" si="1"/>
        <v>121.99170124481327</v>
      </c>
      <c r="E51" s="18">
        <f t="shared" si="2"/>
        <v>588</v>
      </c>
      <c r="F51" s="18">
        <f t="shared" si="3"/>
        <v>590.70624328138445</v>
      </c>
      <c r="G51" s="20">
        <f t="shared" si="4"/>
        <v>-4.602454560177628E-3</v>
      </c>
    </row>
    <row r="52" spans="2:7" x14ac:dyDescent="0.3">
      <c r="B52" s="9" t="s">
        <v>15</v>
      </c>
      <c r="C52" s="9">
        <f>$C11</f>
        <v>637</v>
      </c>
      <c r="D52" s="9">
        <f t="shared" si="1"/>
        <v>16.770963704630788</v>
      </c>
      <c r="E52" s="9">
        <f t="shared" si="2"/>
        <v>134</v>
      </c>
      <c r="F52" s="9">
        <f t="shared" si="3"/>
        <v>128.76123069810129</v>
      </c>
      <c r="G52" s="20">
        <f t="shared" si="4"/>
        <v>3.9095293297751597E-2</v>
      </c>
    </row>
    <row r="53" spans="2:7" x14ac:dyDescent="0.3">
      <c r="B53" s="18" t="s">
        <v>16</v>
      </c>
      <c r="C53" s="18">
        <f>$C11</f>
        <v>637</v>
      </c>
      <c r="D53" s="18">
        <f t="shared" si="1"/>
        <v>130.80082135523614</v>
      </c>
      <c r="E53" s="18">
        <f t="shared" si="2"/>
        <v>637</v>
      </c>
      <c r="F53" s="18">
        <f t="shared" si="3"/>
        <v>632.81477265067031</v>
      </c>
      <c r="G53" s="20">
        <f t="shared" si="4"/>
        <v>6.5702156190419053E-3</v>
      </c>
    </row>
    <row r="54" spans="2:7" x14ac:dyDescent="0.3">
      <c r="B54" s="9" t="s">
        <v>15</v>
      </c>
      <c r="C54" s="9">
        <f>$C13</f>
        <v>686</v>
      </c>
      <c r="D54" s="9">
        <f t="shared" si="1"/>
        <v>18</v>
      </c>
      <c r="E54" s="9">
        <f t="shared" si="2"/>
        <v>144</v>
      </c>
      <c r="F54" s="9">
        <f t="shared" si="3"/>
        <v>137.36302618210757</v>
      </c>
      <c r="G54" s="20">
        <f t="shared" si="4"/>
        <v>4.6090095957586286E-2</v>
      </c>
    </row>
    <row r="55" spans="2:7" x14ac:dyDescent="0.3">
      <c r="B55" s="18" t="s">
        <v>16</v>
      </c>
      <c r="C55" s="18">
        <f>$C13</f>
        <v>686</v>
      </c>
      <c r="D55" s="18">
        <f t="shared" si="1"/>
        <v>140.28629856850716</v>
      </c>
      <c r="E55" s="18">
        <f t="shared" si="2"/>
        <v>686</v>
      </c>
      <c r="F55" s="18">
        <f t="shared" si="3"/>
        <v>677.91304698973408</v>
      </c>
      <c r="G55" s="20">
        <f t="shared" si="4"/>
        <v>1.1788561239454686E-2</v>
      </c>
    </row>
    <row r="56" spans="2:7" x14ac:dyDescent="0.3">
      <c r="B56" s="9" t="s">
        <v>15</v>
      </c>
      <c r="C56" s="9">
        <f>$C15</f>
        <v>752</v>
      </c>
      <c r="D56" s="9">
        <f t="shared" si="1"/>
        <v>19.824341279799249</v>
      </c>
      <c r="E56" s="9">
        <f t="shared" si="2"/>
        <v>158</v>
      </c>
      <c r="F56" s="9">
        <f t="shared" si="3"/>
        <v>149.69573813080106</v>
      </c>
      <c r="G56" s="20">
        <f t="shared" si="4"/>
        <v>5.255861942530974E-2</v>
      </c>
    </row>
    <row r="57" spans="2:7" x14ac:dyDescent="0.3">
      <c r="B57" s="18" t="s">
        <v>16</v>
      </c>
      <c r="C57" s="18">
        <f>$C15</f>
        <v>752</v>
      </c>
      <c r="D57" s="18">
        <f t="shared" si="1"/>
        <v>152.53549695740367</v>
      </c>
      <c r="E57" s="18">
        <f t="shared" si="2"/>
        <v>752</v>
      </c>
      <c r="F57" s="18">
        <f t="shared" si="3"/>
        <v>736.3274278842099</v>
      </c>
      <c r="G57" s="20">
        <f t="shared" si="4"/>
        <v>2.0841186324188968E-2</v>
      </c>
    </row>
    <row r="58" spans="2:7" x14ac:dyDescent="0.3">
      <c r="B58" s="9" t="s">
        <v>15</v>
      </c>
      <c r="C58" s="9">
        <f>$C17</f>
        <v>815</v>
      </c>
      <c r="D58" s="9">
        <f t="shared" si="1"/>
        <v>20.981595092024538</v>
      </c>
      <c r="E58" s="9">
        <f t="shared" si="2"/>
        <v>171</v>
      </c>
      <c r="F58" s="9">
        <f t="shared" si="3"/>
        <v>158.8856594404761</v>
      </c>
      <c r="G58" s="20">
        <f t="shared" si="4"/>
        <v>7.0844096839321025E-2</v>
      </c>
    </row>
    <row r="59" spans="2:7" x14ac:dyDescent="0.3">
      <c r="B59" s="18" t="s">
        <v>16</v>
      </c>
      <c r="C59" s="18">
        <f>$C17</f>
        <v>815</v>
      </c>
      <c r="D59" s="18">
        <f t="shared" si="1"/>
        <v>163.65461847389557</v>
      </c>
      <c r="E59" s="18">
        <f t="shared" si="2"/>
        <v>815</v>
      </c>
      <c r="F59" s="18">
        <f t="shared" si="3"/>
        <v>789.55243618122574</v>
      </c>
      <c r="G59" s="20">
        <f t="shared" si="4"/>
        <v>3.1224004685612584E-2</v>
      </c>
    </row>
    <row r="60" spans="2:7" x14ac:dyDescent="0.3">
      <c r="B60" s="9" t="s">
        <v>15</v>
      </c>
      <c r="C60" s="9">
        <f>$C19</f>
        <v>936</v>
      </c>
      <c r="D60" s="9">
        <f t="shared" si="1"/>
        <v>27.84090909090909</v>
      </c>
      <c r="E60" s="9">
        <f t="shared" si="2"/>
        <v>196</v>
      </c>
      <c r="F60" s="9">
        <f t="shared" ref="F60:F75" si="5">$B$78*$D60+$C$78*$C60+$D$78</f>
        <v>197.03183504498281</v>
      </c>
      <c r="G60" s="20">
        <f t="shared" si="4"/>
        <v>-5.2644645152184338E-3</v>
      </c>
    </row>
    <row r="61" spans="2:7" x14ac:dyDescent="0.3">
      <c r="B61" s="18" t="s">
        <v>16</v>
      </c>
      <c r="C61" s="18">
        <f>$C19</f>
        <v>936</v>
      </c>
      <c r="D61" s="18">
        <f t="shared" si="1"/>
        <v>196.22641509433964</v>
      </c>
      <c r="E61" s="18">
        <f t="shared" si="2"/>
        <v>936</v>
      </c>
      <c r="F61" s="18">
        <f t="shared" si="5"/>
        <v>941.35715880858902</v>
      </c>
      <c r="G61" s="20">
        <f t="shared" si="4"/>
        <v>-5.7234602655865593E-3</v>
      </c>
    </row>
    <row r="62" spans="2:7" x14ac:dyDescent="0.3">
      <c r="B62" s="9" t="s">
        <v>15</v>
      </c>
      <c r="C62" s="9">
        <f>$C21</f>
        <v>981</v>
      </c>
      <c r="D62" s="9">
        <f t="shared" si="1"/>
        <v>29.219858156028369</v>
      </c>
      <c r="E62" s="9">
        <f t="shared" si="2"/>
        <v>206</v>
      </c>
      <c r="F62" s="9">
        <f t="shared" si="5"/>
        <v>206.03760517532643</v>
      </c>
      <c r="G62" s="20">
        <f t="shared" si="4"/>
        <v>-1.8254939478851205E-4</v>
      </c>
    </row>
    <row r="63" spans="2:7" x14ac:dyDescent="0.3">
      <c r="B63" s="18" t="s">
        <v>16</v>
      </c>
      <c r="C63" s="18">
        <f>$C21</f>
        <v>981</v>
      </c>
      <c r="D63" s="18">
        <f t="shared" si="1"/>
        <v>206.96202531645568</v>
      </c>
      <c r="E63" s="18">
        <f t="shared" si="2"/>
        <v>981</v>
      </c>
      <c r="F63" s="18">
        <f t="shared" si="5"/>
        <v>991.72278235105512</v>
      </c>
      <c r="G63" s="20">
        <f t="shared" si="4"/>
        <v>-1.0930461112186663E-2</v>
      </c>
    </row>
    <row r="64" spans="2:7" x14ac:dyDescent="0.3">
      <c r="B64" s="9" t="s">
        <v>15</v>
      </c>
      <c r="C64" s="9">
        <f>$C23</f>
        <v>1041</v>
      </c>
      <c r="D64" s="9">
        <f t="shared" si="1"/>
        <v>31.107954545454547</v>
      </c>
      <c r="E64" s="9">
        <f t="shared" si="2"/>
        <v>219</v>
      </c>
      <c r="F64" s="9">
        <f t="shared" si="5"/>
        <v>218.26409627831566</v>
      </c>
      <c r="G64" s="20">
        <f t="shared" si="4"/>
        <v>3.3602909665951487E-3</v>
      </c>
    </row>
    <row r="65" spans="2:7" x14ac:dyDescent="0.3">
      <c r="B65" s="18" t="s">
        <v>16</v>
      </c>
      <c r="C65" s="18">
        <f>$C23</f>
        <v>1041</v>
      </c>
      <c r="D65" s="18">
        <f t="shared" si="1"/>
        <v>220.08456659619449</v>
      </c>
      <c r="E65" s="18">
        <f t="shared" si="2"/>
        <v>1041</v>
      </c>
      <c r="F65" s="18">
        <f t="shared" si="5"/>
        <v>1053.6096155390453</v>
      </c>
      <c r="G65" s="20">
        <f t="shared" si="4"/>
        <v>-1.2112983226748614E-2</v>
      </c>
    </row>
    <row r="66" spans="2:7" x14ac:dyDescent="0.3">
      <c r="B66" s="9" t="s">
        <v>15</v>
      </c>
      <c r="C66" s="9">
        <f>$C25</f>
        <v>1098</v>
      </c>
      <c r="D66" s="9">
        <f t="shared" si="1"/>
        <v>34.736842105263158</v>
      </c>
      <c r="E66" s="9">
        <f t="shared" si="2"/>
        <v>231</v>
      </c>
      <c r="F66" s="9">
        <f t="shared" si="5"/>
        <v>237.99149814698956</v>
      </c>
      <c r="G66" s="20">
        <f t="shared" si="4"/>
        <v>-3.0266225744543535E-2</v>
      </c>
    </row>
    <row r="67" spans="2:7" x14ac:dyDescent="0.3">
      <c r="B67" s="18" t="s">
        <v>16</v>
      </c>
      <c r="C67" s="18">
        <f>$C25</f>
        <v>1098</v>
      </c>
      <c r="D67" s="18">
        <f t="shared" si="1"/>
        <v>230.18867924528303</v>
      </c>
      <c r="E67" s="18">
        <f t="shared" si="2"/>
        <v>1098</v>
      </c>
      <c r="F67" s="18">
        <f t="shared" si="5"/>
        <v>1101.9598729337899</v>
      </c>
      <c r="G67" s="20">
        <f t="shared" si="4"/>
        <v>-3.6064416519034047E-3</v>
      </c>
    </row>
    <row r="68" spans="2:7" x14ac:dyDescent="0.3">
      <c r="B68" s="9" t="s">
        <v>15</v>
      </c>
      <c r="C68" s="9">
        <f>$C27</f>
        <v>1210</v>
      </c>
      <c r="D68" s="9">
        <f t="shared" si="1"/>
        <v>38.368580060422957</v>
      </c>
      <c r="E68" s="9">
        <f t="shared" si="2"/>
        <v>253.99999999999997</v>
      </c>
      <c r="F68" s="9">
        <f t="shared" si="5"/>
        <v>261.2885484718766</v>
      </c>
      <c r="G68" s="20">
        <f t="shared" si="4"/>
        <v>-2.8695072723923718E-2</v>
      </c>
    </row>
    <row r="69" spans="2:7" x14ac:dyDescent="0.3">
      <c r="B69" s="18" t="s">
        <v>16</v>
      </c>
      <c r="C69" s="18">
        <f>$C27</f>
        <v>1210</v>
      </c>
      <c r="D69" s="18">
        <f t="shared" si="1"/>
        <v>251.03734439834022</v>
      </c>
      <c r="E69" s="18">
        <f t="shared" si="2"/>
        <v>1210</v>
      </c>
      <c r="F69" s="18">
        <f t="shared" si="5"/>
        <v>1201.362018138567</v>
      </c>
      <c r="G69" s="20">
        <f t="shared" si="4"/>
        <v>7.1388279846553646E-3</v>
      </c>
    </row>
    <row r="70" spans="2:7" x14ac:dyDescent="0.3">
      <c r="B70" s="9" t="s">
        <v>15</v>
      </c>
      <c r="C70" s="9">
        <f>$C29</f>
        <v>1390</v>
      </c>
      <c r="D70" s="9">
        <f t="shared" si="1"/>
        <v>42.752562225475842</v>
      </c>
      <c r="E70" s="9">
        <f t="shared" si="2"/>
        <v>292</v>
      </c>
      <c r="F70" s="9">
        <f t="shared" si="5"/>
        <v>292.30859807324003</v>
      </c>
      <c r="G70" s="20">
        <f t="shared" si="4"/>
        <v>-1.0568427165754603E-3</v>
      </c>
    </row>
    <row r="71" spans="2:7" x14ac:dyDescent="0.3">
      <c r="B71" s="18" t="s">
        <v>16</v>
      </c>
      <c r="C71" s="18">
        <f>$C29</f>
        <v>1390</v>
      </c>
      <c r="D71" s="18">
        <f t="shared" si="1"/>
        <v>292.01680672268907</v>
      </c>
      <c r="E71" s="18">
        <f t="shared" si="2"/>
        <v>1390</v>
      </c>
      <c r="F71" s="18">
        <f t="shared" si="5"/>
        <v>1394.1474314244845</v>
      </c>
      <c r="G71" s="20">
        <f t="shared" si="4"/>
        <v>-2.983763614737026E-3</v>
      </c>
    </row>
    <row r="72" spans="2:7" x14ac:dyDescent="0.3">
      <c r="B72" s="9" t="s">
        <v>15</v>
      </c>
      <c r="C72" s="9">
        <f>$C31</f>
        <v>1508</v>
      </c>
      <c r="D72" s="9">
        <f t="shared" si="1"/>
        <v>47.812971342383108</v>
      </c>
      <c r="E72" s="9">
        <f t="shared" si="2"/>
        <v>317</v>
      </c>
      <c r="F72" s="9">
        <f t="shared" si="5"/>
        <v>322.30893744761977</v>
      </c>
      <c r="G72" s="20">
        <f t="shared" si="4"/>
        <v>-1.6747436743280029E-2</v>
      </c>
    </row>
    <row r="73" spans="2:7" x14ac:dyDescent="0.3">
      <c r="B73" s="18" t="s">
        <v>16</v>
      </c>
      <c r="C73" s="18">
        <f>$C31</f>
        <v>1508</v>
      </c>
      <c r="D73" s="18">
        <f t="shared" si="1"/>
        <v>314.8225469728601</v>
      </c>
      <c r="E73" s="18">
        <f t="shared" si="2"/>
        <v>1507.9999999999998</v>
      </c>
      <c r="F73" s="18">
        <f t="shared" si="5"/>
        <v>1502.5886037099217</v>
      </c>
      <c r="G73" s="20">
        <f t="shared" si="4"/>
        <v>3.5884590783011104E-3</v>
      </c>
    </row>
    <row r="74" spans="2:7" x14ac:dyDescent="0.3">
      <c r="B74" s="9" t="s">
        <v>15</v>
      </c>
      <c r="C74" s="9">
        <f>$C33</f>
        <v>1629</v>
      </c>
      <c r="D74" s="9">
        <f t="shared" si="1"/>
        <v>48.648648648648646</v>
      </c>
      <c r="E74" s="9">
        <f t="shared" si="2"/>
        <v>342</v>
      </c>
      <c r="F74" s="9">
        <f t="shared" si="5"/>
        <v>333.82844287199453</v>
      </c>
      <c r="G74" s="20">
        <f t="shared" si="4"/>
        <v>2.389344189475285E-2</v>
      </c>
    </row>
    <row r="75" spans="2:7" x14ac:dyDescent="0.3">
      <c r="B75" s="18" t="s">
        <v>16</v>
      </c>
      <c r="C75" s="18">
        <f>$C33</f>
        <v>1629</v>
      </c>
      <c r="D75" s="18">
        <f t="shared" si="1"/>
        <v>337.26708074534162</v>
      </c>
      <c r="E75" s="18">
        <f t="shared" si="2"/>
        <v>1629</v>
      </c>
      <c r="F75" s="18">
        <f t="shared" si="5"/>
        <v>1609.627132517757</v>
      </c>
      <c r="G75" s="20">
        <f t="shared" si="4"/>
        <v>1.1892490780996322E-2</v>
      </c>
    </row>
    <row r="76" spans="2:7" ht="13.8" customHeight="1" x14ac:dyDescent="0.3"/>
    <row r="77" spans="2:7" x14ac:dyDescent="0.3">
      <c r="B77" t="s">
        <v>19</v>
      </c>
      <c r="C77" t="s">
        <v>20</v>
      </c>
      <c r="D77" t="s">
        <v>21</v>
      </c>
    </row>
    <row r="78" spans="2:7" x14ac:dyDescent="0.3">
      <c r="B78" cm="1">
        <f t="array" ref="B78:D78">LINEST(E44:E73,C44:D73)</f>
        <v>4.4203645636129858</v>
      </c>
      <c r="C78">
        <v>6.4673612174735343E-2</v>
      </c>
      <c r="D78">
        <v>13.430366085205378</v>
      </c>
    </row>
    <row r="79" spans="2:7" x14ac:dyDescent="0.3">
      <c r="B79" s="35">
        <v>4.4203645636129858</v>
      </c>
      <c r="C79" s="66">
        <v>6.4673612174735343E-2</v>
      </c>
      <c r="D79" s="35">
        <v>13.430366085205378</v>
      </c>
    </row>
    <row r="81" spans="2:7" x14ac:dyDescent="0.3">
      <c r="B81" s="2" t="s">
        <v>416</v>
      </c>
      <c r="C81" s="57">
        <v>0.15</v>
      </c>
    </row>
    <row r="82" spans="2:7" x14ac:dyDescent="0.3">
      <c r="B82" s="2" t="s">
        <v>415</v>
      </c>
      <c r="C82" s="57">
        <v>1</v>
      </c>
    </row>
    <row r="84" spans="2:7" x14ac:dyDescent="0.3">
      <c r="B84" t="s">
        <v>417</v>
      </c>
    </row>
    <row r="86" spans="2:7" x14ac:dyDescent="0.3">
      <c r="B86" s="2" t="s">
        <v>378</v>
      </c>
      <c r="C86" s="2" t="s">
        <v>379</v>
      </c>
      <c r="F86" s="2" t="s">
        <v>380</v>
      </c>
      <c r="G86" s="2" t="s">
        <v>381</v>
      </c>
    </row>
    <row r="87" spans="2:7" x14ac:dyDescent="0.3">
      <c r="B87">
        <f>C81</f>
        <v>0.15</v>
      </c>
      <c r="C87" s="67">
        <f>B79*C81+C79</f>
        <v>0.72772829671668315</v>
      </c>
      <c r="D87" s="67"/>
      <c r="F87">
        <f>C82</f>
        <v>1</v>
      </c>
      <c r="G87" s="67">
        <f>B79*C82+C79</f>
        <v>4.4850381757877216</v>
      </c>
    </row>
  </sheetData>
  <hyperlinks>
    <hyperlink ref="C38" r:id="rId1" xr:uid="{D509F6EA-4E87-4C40-93B9-0642C58B410F}"/>
    <hyperlink ref="C37" r:id="rId2" xr:uid="{8553D55B-174C-4B1E-8457-7DEEBAD8CAAD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0A14-B3DA-433D-927E-02EACC8BE21A}">
  <sheetPr>
    <tabColor theme="9" tint="0.59999389629810485"/>
  </sheetPr>
  <dimension ref="B6:E48"/>
  <sheetViews>
    <sheetView topLeftCell="A28" workbookViewId="0">
      <selection activeCell="C46" sqref="C46:E48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6" spans="2:5" x14ac:dyDescent="0.3">
      <c r="B6" s="10" t="s">
        <v>320</v>
      </c>
    </row>
    <row r="7" spans="2:5" x14ac:dyDescent="0.3">
      <c r="B7" s="2" t="s">
        <v>286</v>
      </c>
      <c r="C7" s="2" t="s">
        <v>288</v>
      </c>
      <c r="D7" s="2" t="s">
        <v>294</v>
      </c>
      <c r="E7" s="2" t="s">
        <v>295</v>
      </c>
    </row>
    <row r="8" spans="2:5" x14ac:dyDescent="0.3">
      <c r="B8" s="61"/>
      <c r="C8" s="64">
        <v>4.49</v>
      </c>
      <c r="D8" s="9">
        <v>443</v>
      </c>
      <c r="E8" s="9">
        <f>$D8/$C8</f>
        <v>98.663697104677055</v>
      </c>
    </row>
    <row r="9" spans="2:5" x14ac:dyDescent="0.3">
      <c r="B9" s="57"/>
      <c r="C9" s="64">
        <v>4.97</v>
      </c>
      <c r="D9" s="9">
        <v>238.5</v>
      </c>
      <c r="E9" s="9">
        <f>$D9/$C9</f>
        <v>47.987927565392354</v>
      </c>
    </row>
    <row r="10" spans="2:5" x14ac:dyDescent="0.3">
      <c r="B10" s="57"/>
      <c r="C10" s="64">
        <v>5.5</v>
      </c>
      <c r="D10" s="9">
        <v>152.5</v>
      </c>
      <c r="E10" s="9">
        <f>$D10/$C10</f>
        <v>27.727272727272727</v>
      </c>
    </row>
    <row r="11" spans="2:5" x14ac:dyDescent="0.3">
      <c r="B11" s="57"/>
      <c r="C11" s="9">
        <v>6</v>
      </c>
      <c r="D11" s="9">
        <v>68</v>
      </c>
      <c r="E11" s="9">
        <f>$D11/$C11</f>
        <v>11.333333333333334</v>
      </c>
    </row>
    <row r="25" spans="2:5" x14ac:dyDescent="0.3">
      <c r="B25" s="10" t="s">
        <v>322</v>
      </c>
    </row>
    <row r="26" spans="2:5" x14ac:dyDescent="0.3">
      <c r="B26" s="2" t="s">
        <v>286</v>
      </c>
      <c r="C26" s="2" t="s">
        <v>288</v>
      </c>
      <c r="D26" s="2" t="s">
        <v>294</v>
      </c>
      <c r="E26" s="2" t="s">
        <v>295</v>
      </c>
    </row>
    <row r="27" spans="2:5" x14ac:dyDescent="0.3">
      <c r="B27" s="63"/>
      <c r="C27" s="64">
        <v>4.5999999999999996</v>
      </c>
      <c r="D27" s="9">
        <v>981</v>
      </c>
      <c r="E27" s="9">
        <f>$D27/$C27</f>
        <v>213.2608695652174</v>
      </c>
    </row>
    <row r="28" spans="2:5" x14ac:dyDescent="0.3">
      <c r="B28" s="57"/>
      <c r="C28" s="9">
        <v>5.19</v>
      </c>
      <c r="D28" s="9">
        <v>526.29999999999995</v>
      </c>
      <c r="E28" s="9">
        <f>$D28/$C28</f>
        <v>101.40655105973023</v>
      </c>
    </row>
    <row r="29" spans="2:5" x14ac:dyDescent="0.3">
      <c r="B29" s="57"/>
      <c r="C29" s="9">
        <v>5.81</v>
      </c>
      <c r="D29" s="9">
        <v>340.1</v>
      </c>
      <c r="E29" s="9">
        <f>$D29/$C29</f>
        <v>58.537005163511196</v>
      </c>
    </row>
    <row r="30" spans="2:5" x14ac:dyDescent="0.3">
      <c r="B30" s="57"/>
      <c r="C30" s="9">
        <v>6.22</v>
      </c>
      <c r="D30" s="9">
        <v>150.80000000000001</v>
      </c>
      <c r="E30" s="9">
        <f>$D30/$C30</f>
        <v>24.2443729903537</v>
      </c>
    </row>
    <row r="43" spans="2:5" x14ac:dyDescent="0.3">
      <c r="B43" s="10" t="s">
        <v>321</v>
      </c>
    </row>
    <row r="44" spans="2:5" x14ac:dyDescent="0.3">
      <c r="B44" s="2" t="s">
        <v>286</v>
      </c>
      <c r="C44" s="2" t="s">
        <v>288</v>
      </c>
      <c r="D44" s="2" t="s">
        <v>294</v>
      </c>
      <c r="E44" s="2" t="s">
        <v>295</v>
      </c>
    </row>
    <row r="45" spans="2:5" x14ac:dyDescent="0.3">
      <c r="B45" s="63"/>
      <c r="C45" s="9">
        <v>4.66</v>
      </c>
      <c r="D45" s="9">
        <v>1707</v>
      </c>
      <c r="E45" s="9">
        <f>$D45/$C45</f>
        <v>366.3090128755365</v>
      </c>
    </row>
    <row r="46" spans="2:5" x14ac:dyDescent="0.3">
      <c r="B46" s="57"/>
      <c r="C46" s="9">
        <v>5.33</v>
      </c>
      <c r="D46" s="9">
        <v>920.5</v>
      </c>
      <c r="E46" s="9">
        <f>$D46/$C46</f>
        <v>172.70168855534709</v>
      </c>
    </row>
    <row r="47" spans="2:5" x14ac:dyDescent="0.3">
      <c r="B47" s="57"/>
      <c r="C47" s="9">
        <v>5.97</v>
      </c>
      <c r="D47" s="9">
        <v>578.9</v>
      </c>
      <c r="E47" s="9">
        <f>$D47/$C47</f>
        <v>96.968174204355108</v>
      </c>
    </row>
    <row r="48" spans="2:5" x14ac:dyDescent="0.3">
      <c r="B48" s="57"/>
      <c r="C48" s="9">
        <v>6.85</v>
      </c>
      <c r="D48" s="9">
        <v>262.3</v>
      </c>
      <c r="E48" s="9">
        <f>$D48/$C48</f>
        <v>38.291970802919714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9405-B7DC-4F2E-AE5A-0103B336130C}">
  <sheetPr codeName="Sheet46">
    <tabColor rgb="FF00B050"/>
  </sheetPr>
  <dimension ref="A1:K55"/>
  <sheetViews>
    <sheetView topLeftCell="A28" workbookViewId="0">
      <selection activeCell="B49" sqref="B49:G55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198</v>
      </c>
      <c r="C1" s="3" t="s">
        <v>0</v>
      </c>
      <c r="D1" s="2" t="s">
        <v>32</v>
      </c>
      <c r="E1" s="5" t="s">
        <v>11</v>
      </c>
      <c r="F1" s="2" t="s">
        <v>31</v>
      </c>
    </row>
    <row r="2" spans="2:11" x14ac:dyDescent="0.3">
      <c r="B2" s="17" t="s">
        <v>199</v>
      </c>
      <c r="C2" s="7">
        <v>2.9</v>
      </c>
      <c r="D2" s="9">
        <v>4.0199999999999996</v>
      </c>
      <c r="E2" s="6" t="s">
        <v>184</v>
      </c>
      <c r="F2" s="9">
        <f t="shared" ref="F2:F17" si="0">$C2/$D2</f>
        <v>0.72139303482587069</v>
      </c>
      <c r="G2" s="9" t="s">
        <v>15</v>
      </c>
      <c r="H2" s="2" t="s">
        <v>396</v>
      </c>
      <c r="I2" s="2" t="s">
        <v>379</v>
      </c>
      <c r="J2" s="2" t="s">
        <v>397</v>
      </c>
      <c r="K2" s="2" t="s">
        <v>381</v>
      </c>
    </row>
    <row r="3" spans="2:11" x14ac:dyDescent="0.3">
      <c r="B3" s="16" t="s">
        <v>200</v>
      </c>
      <c r="C3" s="26">
        <v>6</v>
      </c>
      <c r="D3" s="18">
        <v>3.35</v>
      </c>
      <c r="E3" s="19" t="s">
        <v>227</v>
      </c>
      <c r="F3" s="18">
        <f t="shared" si="0"/>
        <v>1.791044776119403</v>
      </c>
      <c r="G3" s="18" t="s">
        <v>16</v>
      </c>
      <c r="H3" s="18">
        <f>I3/D2</f>
        <v>0.60116086235489219</v>
      </c>
      <c r="I3" s="18">
        <f>K3*C2/C3</f>
        <v>2.4166666666666665</v>
      </c>
      <c r="J3" s="18">
        <f>K3/D3</f>
        <v>1.4925373134328357</v>
      </c>
      <c r="K3" s="18">
        <v>5</v>
      </c>
    </row>
    <row r="4" spans="2:11" x14ac:dyDescent="0.3">
      <c r="B4" s="17" t="s">
        <v>199</v>
      </c>
      <c r="C4" s="7">
        <v>4.8</v>
      </c>
      <c r="D4" s="9">
        <v>3.93</v>
      </c>
      <c r="E4" s="6" t="s">
        <v>184</v>
      </c>
      <c r="F4" s="9">
        <f t="shared" si="0"/>
        <v>1.2213740458015265</v>
      </c>
      <c r="G4" s="9" t="s">
        <v>15</v>
      </c>
      <c r="H4" s="2" t="s">
        <v>396</v>
      </c>
      <c r="I4" s="2" t="s">
        <v>379</v>
      </c>
      <c r="J4" s="2" t="s">
        <v>397</v>
      </c>
      <c r="K4" s="2" t="s">
        <v>381</v>
      </c>
    </row>
    <row r="5" spans="2:11" x14ac:dyDescent="0.3">
      <c r="B5" s="16" t="s">
        <v>200</v>
      </c>
      <c r="C5" s="26">
        <v>10</v>
      </c>
      <c r="D5" s="18">
        <v>3.52</v>
      </c>
      <c r="E5" s="19" t="s">
        <v>227</v>
      </c>
      <c r="F5" s="18">
        <f t="shared" si="0"/>
        <v>2.8409090909090908</v>
      </c>
      <c r="G5" s="18" t="s">
        <v>16</v>
      </c>
      <c r="H5" s="18">
        <f>I5/D4</f>
        <v>1.2213740458015265</v>
      </c>
      <c r="I5" s="18">
        <f>K5*C4/C5</f>
        <v>4.8</v>
      </c>
      <c r="J5" s="18">
        <f>K5/D5</f>
        <v>2.8409090909090908</v>
      </c>
      <c r="K5" s="18">
        <v>10</v>
      </c>
    </row>
    <row r="6" spans="2:11" x14ac:dyDescent="0.3">
      <c r="B6" s="17" t="s">
        <v>199</v>
      </c>
      <c r="C6" s="7">
        <v>6.9</v>
      </c>
      <c r="D6" s="9">
        <v>3.94</v>
      </c>
      <c r="E6" s="6" t="s">
        <v>184</v>
      </c>
      <c r="F6" s="9">
        <f t="shared" si="0"/>
        <v>1.751269035532995</v>
      </c>
      <c r="G6" s="9" t="s">
        <v>15</v>
      </c>
    </row>
    <row r="7" spans="2:11" x14ac:dyDescent="0.3">
      <c r="B7" s="16" t="s">
        <v>200</v>
      </c>
      <c r="C7" s="26">
        <v>14</v>
      </c>
      <c r="D7" s="18">
        <v>3.44</v>
      </c>
      <c r="E7" s="19" t="s">
        <v>227</v>
      </c>
      <c r="F7" s="18">
        <f t="shared" si="0"/>
        <v>4.0697674418604652</v>
      </c>
      <c r="G7" s="18" t="s">
        <v>16</v>
      </c>
    </row>
    <row r="8" spans="2:11" x14ac:dyDescent="0.3">
      <c r="B8" s="17" t="s">
        <v>199</v>
      </c>
      <c r="C8" s="7">
        <v>9.9</v>
      </c>
      <c r="D8" s="9">
        <v>4.1100000000000003</v>
      </c>
      <c r="E8" s="6" t="s">
        <v>184</v>
      </c>
      <c r="F8" s="9">
        <f t="shared" si="0"/>
        <v>2.4087591240875912</v>
      </c>
      <c r="G8" s="9" t="s">
        <v>15</v>
      </c>
      <c r="H8" s="2" t="s">
        <v>396</v>
      </c>
      <c r="I8" s="2" t="s">
        <v>379</v>
      </c>
      <c r="J8" s="2" t="s">
        <v>397</v>
      </c>
      <c r="K8" s="2" t="s">
        <v>381</v>
      </c>
    </row>
    <row r="9" spans="2:11" x14ac:dyDescent="0.3">
      <c r="B9" s="16" t="s">
        <v>200</v>
      </c>
      <c r="C9" s="26">
        <v>21</v>
      </c>
      <c r="D9" s="18">
        <v>3.47</v>
      </c>
      <c r="E9" s="19" t="s">
        <v>227</v>
      </c>
      <c r="F9" s="18">
        <f t="shared" si="0"/>
        <v>6.0518731988472618</v>
      </c>
      <c r="G9" s="18" t="s">
        <v>16</v>
      </c>
      <c r="H9" s="18">
        <f>I9/D8</f>
        <v>2.2940563086548487</v>
      </c>
      <c r="I9" s="18">
        <f>K9*C8/C9</f>
        <v>9.4285714285714288</v>
      </c>
      <c r="J9" s="18">
        <f>K9/D9</f>
        <v>5.7636887608069163</v>
      </c>
      <c r="K9" s="26">
        <v>20</v>
      </c>
    </row>
    <row r="10" spans="2:11" x14ac:dyDescent="0.3">
      <c r="B10" s="17" t="s">
        <v>199</v>
      </c>
      <c r="C10" s="7">
        <v>10.4</v>
      </c>
      <c r="D10" s="9">
        <v>4.82</v>
      </c>
      <c r="E10" s="6" t="s">
        <v>184</v>
      </c>
      <c r="F10" s="9">
        <f t="shared" si="0"/>
        <v>2.1576763485477177</v>
      </c>
      <c r="G10" s="9" t="s">
        <v>15</v>
      </c>
      <c r="H10" s="2" t="s">
        <v>396</v>
      </c>
      <c r="I10" s="2" t="s">
        <v>379</v>
      </c>
      <c r="J10" s="2" t="s">
        <v>397</v>
      </c>
      <c r="K10" s="2" t="s">
        <v>381</v>
      </c>
    </row>
    <row r="11" spans="2:11" x14ac:dyDescent="0.3">
      <c r="B11" s="16" t="s">
        <v>200</v>
      </c>
      <c r="C11" s="26">
        <v>26</v>
      </c>
      <c r="D11" s="18">
        <v>3.59</v>
      </c>
      <c r="E11" s="19" t="s">
        <v>227</v>
      </c>
      <c r="F11" s="18">
        <f t="shared" si="0"/>
        <v>7.2423398328690807</v>
      </c>
      <c r="G11" s="18" t="s">
        <v>16</v>
      </c>
      <c r="H11" s="18">
        <f>I11/D10</f>
        <v>2.4896265560165975</v>
      </c>
      <c r="I11" s="26">
        <f>K11*C10/C11</f>
        <v>12</v>
      </c>
      <c r="J11" s="18">
        <f>K11/D11</f>
        <v>8.3565459610027855</v>
      </c>
      <c r="K11" s="26">
        <v>30</v>
      </c>
    </row>
    <row r="12" spans="2:11" x14ac:dyDescent="0.3">
      <c r="B12" s="17" t="s">
        <v>199</v>
      </c>
      <c r="C12" s="7">
        <v>14.1</v>
      </c>
      <c r="D12" s="9">
        <v>4.75</v>
      </c>
      <c r="E12" s="6" t="s">
        <v>184</v>
      </c>
      <c r="F12" s="9">
        <f t="shared" si="0"/>
        <v>2.9684210526315788</v>
      </c>
      <c r="G12" s="9" t="s">
        <v>15</v>
      </c>
      <c r="H12" s="2" t="s">
        <v>396</v>
      </c>
      <c r="I12" s="2" t="s">
        <v>379</v>
      </c>
      <c r="J12" s="2" t="s">
        <v>397</v>
      </c>
      <c r="K12" s="2" t="s">
        <v>381</v>
      </c>
    </row>
    <row r="13" spans="2:11" x14ac:dyDescent="0.3">
      <c r="B13" s="16" t="s">
        <v>200</v>
      </c>
      <c r="C13" s="26">
        <v>35</v>
      </c>
      <c r="D13" s="18">
        <v>3.39</v>
      </c>
      <c r="E13" s="19" t="s">
        <v>227</v>
      </c>
      <c r="F13" s="18">
        <f t="shared" si="0"/>
        <v>10.32448377581121</v>
      </c>
      <c r="G13" s="18" t="s">
        <v>16</v>
      </c>
      <c r="H13" s="18">
        <f>I13/D12</f>
        <v>3.3924812030075189</v>
      </c>
      <c r="I13" s="26">
        <f>K13*C12/C13</f>
        <v>16.114285714285714</v>
      </c>
      <c r="J13" s="26">
        <f>K13/D13</f>
        <v>11.799410029498524</v>
      </c>
      <c r="K13" s="26">
        <v>40</v>
      </c>
    </row>
    <row r="14" spans="2:11" x14ac:dyDescent="0.3">
      <c r="B14" s="17" t="s">
        <v>199</v>
      </c>
      <c r="C14" s="7">
        <v>19.399999999999999</v>
      </c>
      <c r="D14" s="9">
        <v>5.09</v>
      </c>
      <c r="E14" s="6" t="s">
        <v>184</v>
      </c>
      <c r="F14" s="9">
        <f t="shared" si="0"/>
        <v>3.8113948919449898</v>
      </c>
      <c r="G14" s="9" t="s">
        <v>15</v>
      </c>
    </row>
    <row r="15" spans="2:11" x14ac:dyDescent="0.3">
      <c r="B15" s="16" t="s">
        <v>200</v>
      </c>
      <c r="C15" s="26">
        <v>41</v>
      </c>
      <c r="D15" s="18">
        <v>3.52</v>
      </c>
      <c r="E15" s="19" t="s">
        <v>227</v>
      </c>
      <c r="F15" s="18">
        <f t="shared" si="0"/>
        <v>11.647727272727273</v>
      </c>
      <c r="G15" s="18" t="s">
        <v>16</v>
      </c>
    </row>
    <row r="16" spans="2:11" x14ac:dyDescent="0.3">
      <c r="B16" s="17" t="s">
        <v>199</v>
      </c>
      <c r="C16" s="7">
        <v>19.600000000000001</v>
      </c>
      <c r="D16" s="9">
        <v>5.12</v>
      </c>
      <c r="E16" s="6" t="s">
        <v>184</v>
      </c>
      <c r="F16" s="9">
        <f t="shared" si="0"/>
        <v>3.828125</v>
      </c>
      <c r="G16" s="9" t="s">
        <v>15</v>
      </c>
      <c r="H16" s="2" t="s">
        <v>396</v>
      </c>
      <c r="I16" s="2" t="s">
        <v>379</v>
      </c>
      <c r="J16" s="2" t="s">
        <v>397</v>
      </c>
      <c r="K16" s="2" t="s">
        <v>381</v>
      </c>
    </row>
    <row r="17" spans="1:11" x14ac:dyDescent="0.3">
      <c r="B17" s="16" t="s">
        <v>200</v>
      </c>
      <c r="C17" s="26">
        <v>48</v>
      </c>
      <c r="D17" s="18">
        <v>3.26</v>
      </c>
      <c r="E17" s="19" t="s">
        <v>227</v>
      </c>
      <c r="F17" s="18">
        <f t="shared" si="0"/>
        <v>14.723926380368098</v>
      </c>
      <c r="G17" s="18" t="s">
        <v>16</v>
      </c>
      <c r="H17" s="18">
        <f>I17/D16</f>
        <v>3.9876302083333335</v>
      </c>
      <c r="I17" s="26">
        <f>K17*C16/C17</f>
        <v>20.416666666666668</v>
      </c>
      <c r="J17" s="26">
        <f>K17/D17</f>
        <v>15.337423312883436</v>
      </c>
      <c r="K17" s="26">
        <v>50</v>
      </c>
    </row>
    <row r="20" spans="1:11" x14ac:dyDescent="0.3">
      <c r="B20" t="s">
        <v>1</v>
      </c>
      <c r="C20" t="s">
        <v>4</v>
      </c>
    </row>
    <row r="21" spans="1:11" x14ac:dyDescent="0.3">
      <c r="A21" t="s">
        <v>184</v>
      </c>
      <c r="B21" t="s">
        <v>183</v>
      </c>
      <c r="C21" s="4" t="s">
        <v>182</v>
      </c>
      <c r="D21" s="4"/>
      <c r="G21" t="s">
        <v>228</v>
      </c>
    </row>
    <row r="22" spans="1:11" x14ac:dyDescent="0.3">
      <c r="A22" t="s">
        <v>224</v>
      </c>
      <c r="B22" t="s">
        <v>226</v>
      </c>
      <c r="C22" s="4" t="s">
        <v>225</v>
      </c>
      <c r="D22" s="4"/>
    </row>
    <row r="23" spans="1:11" x14ac:dyDescent="0.3">
      <c r="C23" s="4"/>
    </row>
    <row r="24" spans="1:11" x14ac:dyDescent="0.3">
      <c r="C24" s="4"/>
    </row>
    <row r="25" spans="1:11" x14ac:dyDescent="0.3">
      <c r="B25" s="14"/>
      <c r="C25" s="4"/>
    </row>
    <row r="26" spans="1:11" x14ac:dyDescent="0.3">
      <c r="E26" s="10" t="s">
        <v>18</v>
      </c>
      <c r="F26" s="10" t="s">
        <v>18</v>
      </c>
      <c r="G26" s="10" t="s">
        <v>18</v>
      </c>
    </row>
    <row r="27" spans="1:11" x14ac:dyDescent="0.3">
      <c r="B27" s="2" t="s">
        <v>13</v>
      </c>
      <c r="C27" s="2" t="s">
        <v>12</v>
      </c>
      <c r="D27" s="2" t="s">
        <v>25</v>
      </c>
      <c r="E27" s="2" t="s">
        <v>17</v>
      </c>
      <c r="F27" s="2" t="s">
        <v>22</v>
      </c>
      <c r="G27" s="2" t="s">
        <v>23</v>
      </c>
    </row>
    <row r="28" spans="1:11" x14ac:dyDescent="0.3">
      <c r="B28" s="9" t="s">
        <v>15</v>
      </c>
      <c r="C28" s="9">
        <f>$C3</f>
        <v>6</v>
      </c>
      <c r="D28" s="9">
        <f t="shared" ref="D28:D43" si="1">$F2</f>
        <v>0.72139303482587069</v>
      </c>
      <c r="E28" s="9">
        <f t="shared" ref="E28:E43" si="2">$D28*$D2</f>
        <v>2.9</v>
      </c>
      <c r="F28" s="9">
        <f t="shared" ref="F28:F43" si="3">$B$46*$D28+$C$46*$C28+$D$46</f>
        <v>3.0413488149625172</v>
      </c>
      <c r="G28" s="20">
        <f t="shared" ref="G28:G43" si="4">($E28-$F28)/$E28</f>
        <v>-4.8740970676730097E-2</v>
      </c>
    </row>
    <row r="29" spans="1:11" x14ac:dyDescent="0.3">
      <c r="B29" s="18" t="s">
        <v>16</v>
      </c>
      <c r="C29" s="18">
        <f>$C3</f>
        <v>6</v>
      </c>
      <c r="D29" s="18">
        <f t="shared" si="1"/>
        <v>1.791044776119403</v>
      </c>
      <c r="E29" s="18">
        <f t="shared" si="2"/>
        <v>6</v>
      </c>
      <c r="F29" s="18">
        <f t="shared" si="3"/>
        <v>5.9906259584383683</v>
      </c>
      <c r="G29" s="20">
        <f t="shared" si="4"/>
        <v>1.5623402602719476E-3</v>
      </c>
    </row>
    <row r="30" spans="1:11" x14ac:dyDescent="0.3">
      <c r="B30" s="9" t="s">
        <v>15</v>
      </c>
      <c r="C30" s="9">
        <f>$C5</f>
        <v>10</v>
      </c>
      <c r="D30" s="9">
        <f t="shared" si="1"/>
        <v>1.2213740458015265</v>
      </c>
      <c r="E30" s="9">
        <f t="shared" si="2"/>
        <v>4.8</v>
      </c>
      <c r="F30" s="9">
        <f t="shared" si="3"/>
        <v>5.1821472233497001</v>
      </c>
      <c r="G30" s="20">
        <f t="shared" si="4"/>
        <v>-7.9614004864520901E-2</v>
      </c>
    </row>
    <row r="31" spans="1:11" x14ac:dyDescent="0.3">
      <c r="B31" s="18" t="s">
        <v>16</v>
      </c>
      <c r="C31" s="18">
        <f>$C5</f>
        <v>10</v>
      </c>
      <c r="D31" s="18">
        <f t="shared" si="1"/>
        <v>2.8409090909090908</v>
      </c>
      <c r="E31" s="18">
        <f t="shared" si="2"/>
        <v>10</v>
      </c>
      <c r="F31" s="18">
        <f t="shared" si="3"/>
        <v>9.6475797629328088</v>
      </c>
      <c r="G31" s="20">
        <f t="shared" si="4"/>
        <v>3.5242023706719118E-2</v>
      </c>
    </row>
    <row r="32" spans="1:11" x14ac:dyDescent="0.3">
      <c r="B32" s="9" t="s">
        <v>15</v>
      </c>
      <c r="C32" s="9">
        <f>$C7</f>
        <v>14</v>
      </c>
      <c r="D32" s="9">
        <f t="shared" si="1"/>
        <v>1.751269035532995</v>
      </c>
      <c r="E32" s="9">
        <f t="shared" si="2"/>
        <v>6.9</v>
      </c>
      <c r="F32" s="9">
        <f t="shared" si="3"/>
        <v>7.4054253869778259</v>
      </c>
      <c r="G32" s="20">
        <f t="shared" si="4"/>
        <v>-7.325005608374284E-2</v>
      </c>
    </row>
    <row r="33" spans="2:7" x14ac:dyDescent="0.3">
      <c r="B33" s="18" t="s">
        <v>16</v>
      </c>
      <c r="C33" s="18">
        <f>$C7</f>
        <v>14</v>
      </c>
      <c r="D33" s="18">
        <f t="shared" si="1"/>
        <v>4.0697674418604652</v>
      </c>
      <c r="E33" s="18">
        <f t="shared" si="2"/>
        <v>14</v>
      </c>
      <c r="F33" s="18">
        <f t="shared" si="3"/>
        <v>13.798061506746784</v>
      </c>
      <c r="G33" s="20">
        <f t="shared" si="4"/>
        <v>1.4424178089515445E-2</v>
      </c>
    </row>
    <row r="34" spans="2:7" x14ac:dyDescent="0.3">
      <c r="B34" s="9" t="s">
        <v>15</v>
      </c>
      <c r="C34" s="9">
        <f>$C9</f>
        <v>21</v>
      </c>
      <c r="D34" s="9">
        <f t="shared" si="1"/>
        <v>2.4087591240875912</v>
      </c>
      <c r="E34" s="9">
        <f t="shared" si="2"/>
        <v>9.9</v>
      </c>
      <c r="F34" s="9">
        <f t="shared" si="3"/>
        <v>10.552189114673306</v>
      </c>
      <c r="G34" s="20">
        <f t="shared" si="4"/>
        <v>-6.5877688350838931E-2</v>
      </c>
    </row>
    <row r="35" spans="2:7" x14ac:dyDescent="0.3">
      <c r="B35" s="18" t="s">
        <v>16</v>
      </c>
      <c r="C35" s="18">
        <f>$C9</f>
        <v>21</v>
      </c>
      <c r="D35" s="18">
        <f t="shared" si="1"/>
        <v>6.0518731988472618</v>
      </c>
      <c r="E35" s="18">
        <f t="shared" si="2"/>
        <v>21</v>
      </c>
      <c r="F35" s="18">
        <f t="shared" si="3"/>
        <v>20.597096870136276</v>
      </c>
      <c r="G35" s="20">
        <f t="shared" si="4"/>
        <v>1.918586332684398E-2</v>
      </c>
    </row>
    <row r="36" spans="2:7" x14ac:dyDescent="0.3">
      <c r="B36" s="9" t="s">
        <v>15</v>
      </c>
      <c r="C36" s="9">
        <f>$C11</f>
        <v>26</v>
      </c>
      <c r="D36" s="9">
        <f t="shared" si="1"/>
        <v>2.1576763485477177</v>
      </c>
      <c r="E36" s="9">
        <f t="shared" si="2"/>
        <v>10.4</v>
      </c>
      <c r="F36" s="9">
        <f t="shared" si="3"/>
        <v>10.812689817875976</v>
      </c>
      <c r="G36" s="20">
        <f t="shared" si="4"/>
        <v>-3.9681713257305309E-2</v>
      </c>
    </row>
    <row r="37" spans="2:7" x14ac:dyDescent="0.3">
      <c r="B37" s="18" t="s">
        <v>16</v>
      </c>
      <c r="C37" s="18">
        <f>$C11</f>
        <v>26</v>
      </c>
      <c r="D37" s="18">
        <f t="shared" si="1"/>
        <v>7.2423398328690807</v>
      </c>
      <c r="E37" s="18">
        <f t="shared" si="2"/>
        <v>26</v>
      </c>
      <c r="F37" s="18">
        <f t="shared" si="3"/>
        <v>24.832282567232401</v>
      </c>
      <c r="G37" s="20">
        <f t="shared" si="4"/>
        <v>4.4912208952599966E-2</v>
      </c>
    </row>
    <row r="38" spans="2:7" x14ac:dyDescent="0.3">
      <c r="B38" s="9" t="s">
        <v>15</v>
      </c>
      <c r="C38" s="9">
        <f>$C13</f>
        <v>35</v>
      </c>
      <c r="D38" s="9">
        <f t="shared" si="1"/>
        <v>2.9684210526315788</v>
      </c>
      <c r="E38" s="9">
        <f t="shared" si="2"/>
        <v>14.1</v>
      </c>
      <c r="F38" s="9">
        <f t="shared" si="3"/>
        <v>14.763129536783998</v>
      </c>
      <c r="G38" s="20">
        <f t="shared" si="4"/>
        <v>-4.7030463601702002E-2</v>
      </c>
    </row>
    <row r="39" spans="2:7" x14ac:dyDescent="0.3">
      <c r="B39" s="18" t="s">
        <v>16</v>
      </c>
      <c r="C39" s="18">
        <f>$C13</f>
        <v>35</v>
      </c>
      <c r="D39" s="18">
        <f t="shared" si="1"/>
        <v>10.32448377581121</v>
      </c>
      <c r="E39" s="18">
        <f t="shared" si="2"/>
        <v>35</v>
      </c>
      <c r="F39" s="18">
        <f t="shared" si="3"/>
        <v>35.045495112342749</v>
      </c>
      <c r="G39" s="20">
        <f t="shared" si="4"/>
        <v>-1.2998603526499762E-3</v>
      </c>
    </row>
    <row r="40" spans="2:7" x14ac:dyDescent="0.3">
      <c r="B40" s="9" t="s">
        <v>15</v>
      </c>
      <c r="C40" s="9">
        <f>$C15</f>
        <v>41</v>
      </c>
      <c r="D40" s="9">
        <f t="shared" si="1"/>
        <v>3.8113948919449898</v>
      </c>
      <c r="E40" s="9">
        <f t="shared" si="2"/>
        <v>19.399999999999999</v>
      </c>
      <c r="F40" s="9">
        <f t="shared" si="3"/>
        <v>18.230756054664127</v>
      </c>
      <c r="G40" s="20">
        <f t="shared" si="4"/>
        <v>6.027030646061194E-2</v>
      </c>
    </row>
    <row r="41" spans="2:7" x14ac:dyDescent="0.3">
      <c r="B41" s="18" t="s">
        <v>16</v>
      </c>
      <c r="C41" s="18">
        <f>$C15</f>
        <v>41</v>
      </c>
      <c r="D41" s="18">
        <f t="shared" si="1"/>
        <v>11.647727272727273</v>
      </c>
      <c r="E41" s="18">
        <f t="shared" si="2"/>
        <v>41</v>
      </c>
      <c r="F41" s="18">
        <f t="shared" si="3"/>
        <v>39.837336109750169</v>
      </c>
      <c r="G41" s="20">
        <f t="shared" si="4"/>
        <v>2.8357655859751987E-2</v>
      </c>
    </row>
    <row r="42" spans="2:7" x14ac:dyDescent="0.3">
      <c r="B42" s="9" t="s">
        <v>15</v>
      </c>
      <c r="C42" s="9">
        <f>$C17</f>
        <v>48</v>
      </c>
      <c r="D42" s="9">
        <f t="shared" si="1"/>
        <v>3.828125</v>
      </c>
      <c r="E42" s="9">
        <f t="shared" si="2"/>
        <v>19.600000000000001</v>
      </c>
      <c r="F42" s="9">
        <f t="shared" si="3"/>
        <v>19.610796378856197</v>
      </c>
      <c r="G42" s="20">
        <f t="shared" si="4"/>
        <v>-5.5083565592833319E-4</v>
      </c>
    </row>
    <row r="43" spans="2:7" x14ac:dyDescent="0.3">
      <c r="B43" s="18" t="s">
        <v>16</v>
      </c>
      <c r="C43" s="18">
        <f>$C17</f>
        <v>48</v>
      </c>
      <c r="D43" s="18">
        <f t="shared" si="1"/>
        <v>14.723926380368098</v>
      </c>
      <c r="E43" s="18">
        <f t="shared" si="2"/>
        <v>48</v>
      </c>
      <c r="F43" s="18">
        <f t="shared" si="3"/>
        <v>49.653039784276785</v>
      </c>
      <c r="G43" s="20">
        <f t="shared" si="4"/>
        <v>-3.4438328839099697E-2</v>
      </c>
    </row>
    <row r="45" spans="2:7" x14ac:dyDescent="0.3">
      <c r="B45" t="s">
        <v>19</v>
      </c>
      <c r="C45" t="s">
        <v>20</v>
      </c>
      <c r="D45" t="s">
        <v>21</v>
      </c>
    </row>
    <row r="46" spans="2:7" x14ac:dyDescent="0.3">
      <c r="B46" cm="1">
        <f t="array" ref="B46:D46">LINEST(E28:E43,C28:D43)</f>
        <v>2.7572311899471917</v>
      </c>
      <c r="C46">
        <v>0.19055879263594372</v>
      </c>
      <c r="D46">
        <v>-9.1051316685696548E-2</v>
      </c>
    </row>
    <row r="47" spans="2:7" x14ac:dyDescent="0.3">
      <c r="B47" s="35">
        <v>2.7572311899471917</v>
      </c>
      <c r="C47" s="67">
        <v>0.19055879263594372</v>
      </c>
      <c r="D47" s="66">
        <v>-9.1051316685696548E-2</v>
      </c>
    </row>
    <row r="49" spans="2:7" x14ac:dyDescent="0.3">
      <c r="B49" s="2" t="s">
        <v>416</v>
      </c>
      <c r="C49" s="57">
        <v>0.4</v>
      </c>
    </row>
    <row r="50" spans="2:7" x14ac:dyDescent="0.3">
      <c r="B50" s="2" t="s">
        <v>415</v>
      </c>
      <c r="C50" s="57">
        <v>1</v>
      </c>
    </row>
    <row r="52" spans="2:7" x14ac:dyDescent="0.3">
      <c r="B52" t="s">
        <v>417</v>
      </c>
    </row>
    <row r="54" spans="2:7" x14ac:dyDescent="0.3">
      <c r="B54" s="2" t="s">
        <v>378</v>
      </c>
      <c r="C54" s="2" t="s">
        <v>379</v>
      </c>
      <c r="F54" s="2" t="s">
        <v>380</v>
      </c>
      <c r="G54" s="2" t="s">
        <v>381</v>
      </c>
    </row>
    <row r="55" spans="2:7" x14ac:dyDescent="0.3">
      <c r="B55">
        <f>C49</f>
        <v>0.4</v>
      </c>
      <c r="C55" s="67">
        <f>B47*C49+C47</f>
        <v>1.2934512686148205</v>
      </c>
      <c r="D55" s="67"/>
      <c r="F55">
        <f>C50</f>
        <v>1</v>
      </c>
      <c r="G55" s="67">
        <f>B47*C50+C47</f>
        <v>2.9477899825831355</v>
      </c>
    </row>
  </sheetData>
  <hyperlinks>
    <hyperlink ref="C21" r:id="rId1" xr:uid="{C8F02A8A-1C72-40DE-9377-1CF34E4D2CFC}"/>
    <hyperlink ref="C22" r:id="rId2" xr:uid="{921719A3-5EA8-483C-9B60-46222715BB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8BDD-FD2C-4725-A3CE-71DDD1C5D3BC}">
  <sheetPr>
    <tabColor rgb="FF7030A0"/>
  </sheetPr>
  <dimension ref="A1:K55"/>
  <sheetViews>
    <sheetView topLeftCell="A31" workbookViewId="0">
      <selection activeCell="G47" sqref="G47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11" x14ac:dyDescent="0.3">
      <c r="B2" s="17" t="s">
        <v>199</v>
      </c>
      <c r="C2" s="7">
        <v>2.9</v>
      </c>
      <c r="D2" s="9">
        <v>5.76</v>
      </c>
      <c r="E2" s="6" t="s">
        <v>184</v>
      </c>
      <c r="F2" s="9">
        <f t="shared" ref="F2:F17" si="0">$C2/$D2</f>
        <v>0.50347222222222221</v>
      </c>
      <c r="G2" s="9" t="s">
        <v>15</v>
      </c>
      <c r="H2" s="2" t="s">
        <v>396</v>
      </c>
      <c r="I2" s="2" t="s">
        <v>411</v>
      </c>
      <c r="J2" s="2" t="s">
        <v>397</v>
      </c>
      <c r="K2" s="2" t="s">
        <v>410</v>
      </c>
    </row>
    <row r="3" spans="2:11" x14ac:dyDescent="0.3">
      <c r="B3" s="16" t="s">
        <v>200</v>
      </c>
      <c r="C3" s="26">
        <v>6.5</v>
      </c>
      <c r="D3" s="18">
        <v>2.66</v>
      </c>
      <c r="E3" s="19" t="s">
        <v>227</v>
      </c>
      <c r="F3" s="18">
        <f t="shared" si="0"/>
        <v>2.4436090225563909</v>
      </c>
      <c r="G3" s="18" t="s">
        <v>16</v>
      </c>
      <c r="H3" s="34">
        <f>I3/D2</f>
        <v>0.30518162393162396</v>
      </c>
      <c r="I3" s="18">
        <f>K3*C2/C3</f>
        <v>1.7578461538461538</v>
      </c>
      <c r="J3" s="18">
        <f>K3/D3</f>
        <v>1.481203007518797</v>
      </c>
      <c r="K3" s="18">
        <v>3.94</v>
      </c>
    </row>
    <row r="4" spans="2:11" x14ac:dyDescent="0.3">
      <c r="B4" s="17" t="s">
        <v>199</v>
      </c>
      <c r="C4" s="7">
        <v>4.8</v>
      </c>
      <c r="D4" s="9">
        <v>5.72</v>
      </c>
      <c r="E4" s="6" t="s">
        <v>184</v>
      </c>
      <c r="F4" s="9">
        <f t="shared" si="0"/>
        <v>0.83916083916083917</v>
      </c>
      <c r="G4" s="9" t="s">
        <v>15</v>
      </c>
      <c r="H4" s="2" t="s">
        <v>396</v>
      </c>
      <c r="I4" s="2" t="s">
        <v>411</v>
      </c>
      <c r="J4" s="2" t="s">
        <v>397</v>
      </c>
      <c r="K4" s="2" t="s">
        <v>410</v>
      </c>
    </row>
    <row r="5" spans="2:11" x14ac:dyDescent="0.3">
      <c r="B5" s="16" t="s">
        <v>200</v>
      </c>
      <c r="C5" s="26">
        <v>11.2</v>
      </c>
      <c r="D5" s="18">
        <v>2.8</v>
      </c>
      <c r="E5" s="19" t="s">
        <v>227</v>
      </c>
      <c r="F5" s="18">
        <f t="shared" si="0"/>
        <v>4</v>
      </c>
      <c r="G5" s="18" t="s">
        <v>16</v>
      </c>
      <c r="H5" s="34">
        <f>I5/D4</f>
        <v>0.59565434565434561</v>
      </c>
      <c r="I5" s="18">
        <f>K5*C4/C5</f>
        <v>3.407142857142857</v>
      </c>
      <c r="J5" s="18">
        <f>K5/D5</f>
        <v>2.8392857142857144</v>
      </c>
      <c r="K5" s="18">
        <v>7.95</v>
      </c>
    </row>
    <row r="6" spans="2:11" x14ac:dyDescent="0.3">
      <c r="B6" s="17" t="s">
        <v>199</v>
      </c>
      <c r="C6" s="7">
        <v>7.5</v>
      </c>
      <c r="D6" s="9">
        <v>6.05</v>
      </c>
      <c r="E6" s="6" t="s">
        <v>184</v>
      </c>
      <c r="F6" s="9">
        <f t="shared" si="0"/>
        <v>1.2396694214876034</v>
      </c>
      <c r="G6" s="9" t="s">
        <v>15</v>
      </c>
      <c r="H6" s="2" t="s">
        <v>396</v>
      </c>
      <c r="I6" s="2" t="s">
        <v>411</v>
      </c>
      <c r="J6" s="2" t="s">
        <v>397</v>
      </c>
      <c r="K6" s="2" t="s">
        <v>410</v>
      </c>
    </row>
    <row r="7" spans="2:11" x14ac:dyDescent="0.3">
      <c r="B7" s="16" t="s">
        <v>200</v>
      </c>
      <c r="C7" s="26">
        <v>16.7</v>
      </c>
      <c r="D7" s="18">
        <v>2.82</v>
      </c>
      <c r="E7" s="19" t="s">
        <v>227</v>
      </c>
      <c r="F7" s="18">
        <f t="shared" si="0"/>
        <v>5.9219858156028371</v>
      </c>
      <c r="G7" s="18" t="s">
        <v>16</v>
      </c>
      <c r="H7" s="18">
        <f>I7/D6</f>
        <v>1.2062651556391351</v>
      </c>
      <c r="I7" s="18">
        <f>K7*C6/C7</f>
        <v>7.2979041916167668</v>
      </c>
      <c r="J7" s="18">
        <f>K7/D7</f>
        <v>5.7624113475177312</v>
      </c>
      <c r="K7" s="18">
        <v>16.25</v>
      </c>
    </row>
    <row r="8" spans="2:11" x14ac:dyDescent="0.3">
      <c r="B8" s="17" t="s">
        <v>199</v>
      </c>
      <c r="C8" s="7">
        <v>10.7</v>
      </c>
      <c r="D8" s="9">
        <v>6.57</v>
      </c>
      <c r="E8" s="6" t="s">
        <v>184</v>
      </c>
      <c r="F8" s="9">
        <f t="shared" si="0"/>
        <v>1.628614916286149</v>
      </c>
      <c r="G8" s="9" t="s">
        <v>15</v>
      </c>
    </row>
    <row r="9" spans="2:11" x14ac:dyDescent="0.3">
      <c r="B9" s="16" t="s">
        <v>200</v>
      </c>
      <c r="C9" s="26">
        <v>23</v>
      </c>
      <c r="D9" s="18">
        <v>2.83</v>
      </c>
      <c r="E9" s="19" t="s">
        <v>227</v>
      </c>
      <c r="F9" s="18">
        <f t="shared" si="0"/>
        <v>8.1272084805653702</v>
      </c>
      <c r="G9" s="18" t="s">
        <v>16</v>
      </c>
    </row>
    <row r="10" spans="2:11" x14ac:dyDescent="0.3">
      <c r="B10" s="17" t="s">
        <v>199</v>
      </c>
      <c r="C10" s="7">
        <v>11.1</v>
      </c>
      <c r="D10" s="9">
        <v>6.36</v>
      </c>
      <c r="E10" s="6" t="s">
        <v>184</v>
      </c>
      <c r="F10" s="9">
        <f t="shared" si="0"/>
        <v>1.7452830188679245</v>
      </c>
      <c r="G10" s="9" t="s">
        <v>15</v>
      </c>
    </row>
    <row r="11" spans="2:11" x14ac:dyDescent="0.3">
      <c r="B11" s="16" t="s">
        <v>200</v>
      </c>
      <c r="C11" s="26">
        <v>27.8</v>
      </c>
      <c r="D11" s="18">
        <v>2.94</v>
      </c>
      <c r="E11" s="19" t="s">
        <v>227</v>
      </c>
      <c r="F11" s="18">
        <f t="shared" si="0"/>
        <v>9.4557823129251712</v>
      </c>
      <c r="G11" s="18" t="s">
        <v>16</v>
      </c>
    </row>
    <row r="12" spans="2:11" x14ac:dyDescent="0.3">
      <c r="B12" s="17" t="s">
        <v>199</v>
      </c>
      <c r="C12" s="7">
        <v>13.8</v>
      </c>
      <c r="D12" s="9">
        <v>6.34</v>
      </c>
      <c r="E12" s="6" t="s">
        <v>184</v>
      </c>
      <c r="F12" s="9">
        <f t="shared" si="0"/>
        <v>2.1766561514195586</v>
      </c>
      <c r="G12" s="9" t="s">
        <v>15</v>
      </c>
      <c r="H12" s="2" t="s">
        <v>396</v>
      </c>
      <c r="I12" s="2" t="s">
        <v>411</v>
      </c>
      <c r="J12" s="2" t="s">
        <v>397</v>
      </c>
      <c r="K12" s="2" t="s">
        <v>410</v>
      </c>
    </row>
    <row r="13" spans="2:11" x14ac:dyDescent="0.3">
      <c r="B13" s="16" t="s">
        <v>200</v>
      </c>
      <c r="C13" s="26">
        <v>32.200000000000003</v>
      </c>
      <c r="D13" s="18">
        <v>2.76</v>
      </c>
      <c r="E13" s="19" t="s">
        <v>227</v>
      </c>
      <c r="F13" s="18">
        <f t="shared" si="0"/>
        <v>11.666666666666668</v>
      </c>
      <c r="G13" s="18" t="s">
        <v>16</v>
      </c>
      <c r="H13" s="18">
        <f>I13/D12</f>
        <v>1.558810274898603</v>
      </c>
      <c r="I13" s="18">
        <f>K13*C12/C13</f>
        <v>9.8828571428571426</v>
      </c>
      <c r="J13" s="18">
        <f>K13/D13</f>
        <v>8.3550724637681153</v>
      </c>
      <c r="K13" s="18">
        <v>23.06</v>
      </c>
    </row>
    <row r="14" spans="2:11" x14ac:dyDescent="0.3">
      <c r="B14" s="17" t="s">
        <v>199</v>
      </c>
      <c r="C14" s="7">
        <v>14.8</v>
      </c>
      <c r="D14" s="9">
        <v>6.19</v>
      </c>
      <c r="E14" s="6" t="s">
        <v>184</v>
      </c>
      <c r="F14" s="9">
        <f t="shared" si="0"/>
        <v>2.3909531502423262</v>
      </c>
      <c r="G14" s="9" t="s">
        <v>15</v>
      </c>
      <c r="H14" s="2" t="s">
        <v>396</v>
      </c>
      <c r="I14" s="2" t="s">
        <v>411</v>
      </c>
      <c r="J14" s="2" t="s">
        <v>397</v>
      </c>
      <c r="K14" s="2" t="s">
        <v>410</v>
      </c>
    </row>
    <row r="15" spans="2:11" x14ac:dyDescent="0.3">
      <c r="B15" s="16" t="s">
        <v>200</v>
      </c>
      <c r="C15" s="26">
        <v>37.4</v>
      </c>
      <c r="D15" s="18">
        <v>2.77</v>
      </c>
      <c r="E15" s="19" t="s">
        <v>227</v>
      </c>
      <c r="F15" s="18">
        <f t="shared" si="0"/>
        <v>13.501805054151625</v>
      </c>
      <c r="G15" s="18" t="s">
        <v>16</v>
      </c>
      <c r="H15" s="18">
        <f>I15/D14</f>
        <v>2.0892071911743111</v>
      </c>
      <c r="I15" s="18">
        <f>K15*C14/C15</f>
        <v>12.932192513368985</v>
      </c>
      <c r="J15" s="18">
        <f>K15/D15</f>
        <v>11.797833935018051</v>
      </c>
      <c r="K15" s="18">
        <v>32.68</v>
      </c>
    </row>
    <row r="16" spans="2:11" x14ac:dyDescent="0.3">
      <c r="B16" s="17" t="s">
        <v>199</v>
      </c>
      <c r="C16" s="7">
        <v>20.2</v>
      </c>
      <c r="D16" s="9">
        <v>6.56</v>
      </c>
      <c r="E16" s="6" t="s">
        <v>184</v>
      </c>
      <c r="F16" s="9">
        <f t="shared" si="0"/>
        <v>3.0792682926829271</v>
      </c>
      <c r="G16" s="9" t="s">
        <v>15</v>
      </c>
      <c r="H16" s="2" t="s">
        <v>396</v>
      </c>
      <c r="I16" s="2" t="s">
        <v>411</v>
      </c>
      <c r="J16" s="2" t="s">
        <v>397</v>
      </c>
      <c r="K16" s="2" t="s">
        <v>410</v>
      </c>
    </row>
    <row r="17" spans="1:11" x14ac:dyDescent="0.3">
      <c r="B17" s="16" t="s">
        <v>200</v>
      </c>
      <c r="C17" s="26">
        <v>51.8</v>
      </c>
      <c r="D17" s="18">
        <v>2.96</v>
      </c>
      <c r="E17" s="19" t="s">
        <v>227</v>
      </c>
      <c r="F17" s="18">
        <f t="shared" si="0"/>
        <v>17.5</v>
      </c>
      <c r="G17" s="18" t="s">
        <v>16</v>
      </c>
      <c r="H17" s="18">
        <f>I17/D16</f>
        <v>3.4056231754402488</v>
      </c>
      <c r="I17" s="18">
        <f>K17*C16/C17</f>
        <v>22.340888030888031</v>
      </c>
      <c r="J17" s="18">
        <f>K17/D17</f>
        <v>19.35472972972973</v>
      </c>
      <c r="K17" s="18">
        <v>57.29</v>
      </c>
    </row>
    <row r="20" spans="1:11" x14ac:dyDescent="0.3">
      <c r="B20" t="s">
        <v>1</v>
      </c>
      <c r="C20" t="s">
        <v>4</v>
      </c>
    </row>
    <row r="21" spans="1:11" x14ac:dyDescent="0.3">
      <c r="A21" t="s">
        <v>184</v>
      </c>
      <c r="B21" t="s">
        <v>183</v>
      </c>
      <c r="C21" s="4" t="s">
        <v>182</v>
      </c>
      <c r="D21" s="4"/>
      <c r="G21" t="s">
        <v>389</v>
      </c>
    </row>
    <row r="22" spans="1:11" x14ac:dyDescent="0.3">
      <c r="A22" t="s">
        <v>224</v>
      </c>
      <c r="B22" t="s">
        <v>226</v>
      </c>
      <c r="C22" s="4" t="s">
        <v>225</v>
      </c>
      <c r="D22" s="4"/>
    </row>
    <row r="23" spans="1:11" x14ac:dyDescent="0.3">
      <c r="C23" s="4"/>
    </row>
    <row r="24" spans="1:11" x14ac:dyDescent="0.3">
      <c r="C24" s="4"/>
    </row>
    <row r="25" spans="1:11" x14ac:dyDescent="0.3">
      <c r="B25" s="14"/>
      <c r="C25" s="4"/>
    </row>
    <row r="26" spans="1:11" x14ac:dyDescent="0.3">
      <c r="E26" s="10" t="s">
        <v>18</v>
      </c>
      <c r="F26" s="10" t="s">
        <v>18</v>
      </c>
      <c r="G26" s="10" t="s">
        <v>18</v>
      </c>
    </row>
    <row r="27" spans="1:11" x14ac:dyDescent="0.3">
      <c r="B27" s="2" t="s">
        <v>13</v>
      </c>
      <c r="C27" s="2" t="s">
        <v>12</v>
      </c>
      <c r="D27" s="2" t="s">
        <v>25</v>
      </c>
      <c r="E27" s="2" t="s">
        <v>17</v>
      </c>
      <c r="F27" s="2" t="s">
        <v>22</v>
      </c>
      <c r="G27" s="2" t="s">
        <v>23</v>
      </c>
    </row>
    <row r="28" spans="1:11" x14ac:dyDescent="0.3">
      <c r="B28" s="9" t="s">
        <v>15</v>
      </c>
      <c r="C28" s="9">
        <f>$C3</f>
        <v>6.5</v>
      </c>
      <c r="D28" s="9">
        <f t="shared" ref="D28:D43" si="1">$F2</f>
        <v>0.50347222222222221</v>
      </c>
      <c r="E28" s="9">
        <f t="shared" ref="E28:E43" si="2">$D28*$D2</f>
        <v>2.9</v>
      </c>
      <c r="F28" s="9">
        <f t="shared" ref="F28:F43" si="3">$B$46*$D28+$C$46*$C28+$D$46</f>
        <v>2.7728106723825143</v>
      </c>
      <c r="G28" s="20">
        <f t="shared" ref="G28:G43" si="4">($E28-$F28)/$E28</f>
        <v>4.3858388833615716E-2</v>
      </c>
    </row>
    <row r="29" spans="1:11" x14ac:dyDescent="0.3">
      <c r="B29" s="18" t="s">
        <v>16</v>
      </c>
      <c r="C29" s="18">
        <f>$C3</f>
        <v>6.5</v>
      </c>
      <c r="D29" s="18">
        <f t="shared" si="1"/>
        <v>2.4436090225563909</v>
      </c>
      <c r="E29" s="18">
        <f t="shared" si="2"/>
        <v>6.5</v>
      </c>
      <c r="F29" s="18">
        <f t="shared" si="3"/>
        <v>6.7968818607451835</v>
      </c>
      <c r="G29" s="20">
        <f t="shared" si="4"/>
        <v>-4.5674132422335929E-2</v>
      </c>
    </row>
    <row r="30" spans="1:11" x14ac:dyDescent="0.3">
      <c r="B30" s="9" t="s">
        <v>15</v>
      </c>
      <c r="C30" s="9">
        <f>$C5</f>
        <v>11.2</v>
      </c>
      <c r="D30" s="9">
        <f t="shared" si="1"/>
        <v>0.83916083916083917</v>
      </c>
      <c r="E30" s="9">
        <f t="shared" si="2"/>
        <v>4.8</v>
      </c>
      <c r="F30" s="9">
        <f t="shared" si="3"/>
        <v>4.7749830813506877</v>
      </c>
      <c r="G30" s="20">
        <f t="shared" si="4"/>
        <v>5.2118580519400215E-3</v>
      </c>
    </row>
    <row r="31" spans="1:11" x14ac:dyDescent="0.3">
      <c r="B31" s="18" t="s">
        <v>16</v>
      </c>
      <c r="C31" s="18">
        <f>$C5</f>
        <v>11.2</v>
      </c>
      <c r="D31" s="18">
        <f t="shared" si="1"/>
        <v>4</v>
      </c>
      <c r="E31" s="18">
        <f t="shared" si="2"/>
        <v>11.2</v>
      </c>
      <c r="F31" s="18">
        <f t="shared" si="3"/>
        <v>11.330934082326758</v>
      </c>
      <c r="G31" s="20">
        <f t="shared" si="4"/>
        <v>-1.1690543064889165E-2</v>
      </c>
    </row>
    <row r="32" spans="1:11" x14ac:dyDescent="0.3">
      <c r="B32" s="9" t="s">
        <v>15</v>
      </c>
      <c r="C32" s="9">
        <f>$C7</f>
        <v>16.7</v>
      </c>
      <c r="D32" s="9">
        <f t="shared" si="1"/>
        <v>1.2396694214876034</v>
      </c>
      <c r="E32" s="9">
        <f t="shared" si="2"/>
        <v>7.5</v>
      </c>
      <c r="F32" s="9">
        <f t="shared" si="3"/>
        <v>7.1338830786853249</v>
      </c>
      <c r="G32" s="20">
        <f t="shared" si="4"/>
        <v>4.8815589508623344E-2</v>
      </c>
    </row>
    <row r="33" spans="2:7" x14ac:dyDescent="0.3">
      <c r="B33" s="18" t="s">
        <v>16</v>
      </c>
      <c r="C33" s="18">
        <f>$C7</f>
        <v>16.7</v>
      </c>
      <c r="D33" s="18">
        <f t="shared" si="1"/>
        <v>5.9219858156028371</v>
      </c>
      <c r="E33" s="18">
        <f t="shared" si="2"/>
        <v>16.7</v>
      </c>
      <c r="F33" s="18">
        <f t="shared" si="3"/>
        <v>16.845556241687007</v>
      </c>
      <c r="G33" s="20">
        <f t="shared" si="4"/>
        <v>-8.7159426159884625E-3</v>
      </c>
    </row>
    <row r="34" spans="2:7" x14ac:dyDescent="0.3">
      <c r="B34" s="9" t="s">
        <v>15</v>
      </c>
      <c r="C34" s="9">
        <f>$C9</f>
        <v>23</v>
      </c>
      <c r="D34" s="9">
        <f t="shared" si="1"/>
        <v>1.628614916286149</v>
      </c>
      <c r="E34" s="9">
        <f t="shared" si="2"/>
        <v>10.7</v>
      </c>
      <c r="F34" s="9">
        <f t="shared" si="3"/>
        <v>9.6910832573772971</v>
      </c>
      <c r="G34" s="20">
        <f t="shared" si="4"/>
        <v>9.429128435726189E-2</v>
      </c>
    </row>
    <row r="35" spans="2:7" x14ac:dyDescent="0.3">
      <c r="B35" s="18" t="s">
        <v>16</v>
      </c>
      <c r="C35" s="18">
        <f>$C9</f>
        <v>23</v>
      </c>
      <c r="D35" s="18">
        <f t="shared" si="1"/>
        <v>8.1272084805653702</v>
      </c>
      <c r="E35" s="18">
        <f t="shared" si="2"/>
        <v>22.999999999999996</v>
      </c>
      <c r="F35" s="18">
        <f t="shared" si="3"/>
        <v>23.169928214284909</v>
      </c>
      <c r="G35" s="20">
        <f t="shared" si="4"/>
        <v>-7.3881832297787884E-3</v>
      </c>
    </row>
    <row r="36" spans="2:7" x14ac:dyDescent="0.3">
      <c r="B36" s="9" t="s">
        <v>15</v>
      </c>
      <c r="C36" s="9">
        <f>$C11</f>
        <v>27.8</v>
      </c>
      <c r="D36" s="9">
        <f t="shared" si="1"/>
        <v>1.7452830188679245</v>
      </c>
      <c r="E36" s="9">
        <f t="shared" si="2"/>
        <v>11.1</v>
      </c>
      <c r="F36" s="9">
        <f t="shared" si="3"/>
        <v>11.266766863855189</v>
      </c>
      <c r="G36" s="20">
        <f t="shared" si="4"/>
        <v>-1.5024041788755778E-2</v>
      </c>
    </row>
    <row r="37" spans="2:7" x14ac:dyDescent="0.3">
      <c r="B37" s="18" t="s">
        <v>16</v>
      </c>
      <c r="C37" s="18">
        <f>$C11</f>
        <v>27.8</v>
      </c>
      <c r="D37" s="18">
        <f t="shared" si="1"/>
        <v>9.4557823129251712</v>
      </c>
      <c r="E37" s="18">
        <f t="shared" si="2"/>
        <v>27.800000000000004</v>
      </c>
      <c r="F37" s="18">
        <f t="shared" si="3"/>
        <v>27.259246389918651</v>
      </c>
      <c r="G37" s="20">
        <f t="shared" si="4"/>
        <v>1.9451568707962337E-2</v>
      </c>
    </row>
    <row r="38" spans="2:7" x14ac:dyDescent="0.3">
      <c r="B38" s="9" t="s">
        <v>15</v>
      </c>
      <c r="C38" s="9">
        <f>$C13</f>
        <v>32.200000000000003</v>
      </c>
      <c r="D38" s="9">
        <f t="shared" si="1"/>
        <v>2.1766561514195586</v>
      </c>
      <c r="E38" s="9">
        <f t="shared" si="2"/>
        <v>13.8</v>
      </c>
      <c r="F38" s="9">
        <f t="shared" si="3"/>
        <v>13.384043908685456</v>
      </c>
      <c r="G38" s="20">
        <f t="shared" si="4"/>
        <v>3.0141745747430781E-2</v>
      </c>
    </row>
    <row r="39" spans="2:7" x14ac:dyDescent="0.3">
      <c r="B39" s="18" t="s">
        <v>16</v>
      </c>
      <c r="C39" s="18">
        <f>$C13</f>
        <v>32.200000000000003</v>
      </c>
      <c r="D39" s="18">
        <f t="shared" si="1"/>
        <v>11.666666666666668</v>
      </c>
      <c r="E39" s="18">
        <f t="shared" si="2"/>
        <v>32.200000000000003</v>
      </c>
      <c r="F39" s="18">
        <f t="shared" si="3"/>
        <v>33.067438339989003</v>
      </c>
      <c r="G39" s="20">
        <f t="shared" si="4"/>
        <v>-2.6939078881645973E-2</v>
      </c>
    </row>
    <row r="40" spans="2:7" x14ac:dyDescent="0.3">
      <c r="B40" s="9" t="s">
        <v>15</v>
      </c>
      <c r="C40" s="9">
        <f>$C15</f>
        <v>37.4</v>
      </c>
      <c r="D40" s="9">
        <f t="shared" si="1"/>
        <v>2.3909531502423262</v>
      </c>
      <c r="E40" s="9">
        <f t="shared" si="2"/>
        <v>14.8</v>
      </c>
      <c r="F40" s="9">
        <f t="shared" si="3"/>
        <v>15.27336298240348</v>
      </c>
      <c r="G40" s="20">
        <f t="shared" si="4"/>
        <v>-3.198398529753238E-2</v>
      </c>
    </row>
    <row r="41" spans="2:7" x14ac:dyDescent="0.3">
      <c r="B41" s="18" t="s">
        <v>16</v>
      </c>
      <c r="C41" s="18">
        <f>$C15</f>
        <v>37.4</v>
      </c>
      <c r="D41" s="18">
        <f t="shared" si="1"/>
        <v>13.501805054151625</v>
      </c>
      <c r="E41" s="18">
        <f t="shared" si="2"/>
        <v>37.4</v>
      </c>
      <c r="F41" s="18">
        <f t="shared" si="3"/>
        <v>38.318572483602019</v>
      </c>
      <c r="G41" s="20">
        <f t="shared" si="4"/>
        <v>-2.4560761593636897E-2</v>
      </c>
    </row>
    <row r="42" spans="2:7" x14ac:dyDescent="0.3">
      <c r="B42" s="9" t="s">
        <v>15</v>
      </c>
      <c r="C42" s="9">
        <f>$C17</f>
        <v>51.8</v>
      </c>
      <c r="D42" s="9">
        <f t="shared" si="1"/>
        <v>3.0792682926829271</v>
      </c>
      <c r="E42" s="9">
        <f t="shared" si="2"/>
        <v>20.2</v>
      </c>
      <c r="F42" s="9">
        <f t="shared" si="3"/>
        <v>20.702110137051093</v>
      </c>
      <c r="G42" s="20">
        <f t="shared" si="4"/>
        <v>-2.4856937477776935E-2</v>
      </c>
    </row>
    <row r="43" spans="2:7" x14ac:dyDescent="0.3">
      <c r="B43" s="18" t="s">
        <v>16</v>
      </c>
      <c r="C43" s="18">
        <f>$C17</f>
        <v>51.8</v>
      </c>
      <c r="D43" s="18">
        <f t="shared" si="1"/>
        <v>17.5</v>
      </c>
      <c r="E43" s="18">
        <f t="shared" si="2"/>
        <v>51.8</v>
      </c>
      <c r="F43" s="18">
        <f t="shared" si="3"/>
        <v>50.612398405655419</v>
      </c>
      <c r="G43" s="20">
        <f t="shared" si="4"/>
        <v>2.2926671705493784E-2</v>
      </c>
    </row>
    <row r="45" spans="2:7" x14ac:dyDescent="0.3">
      <c r="B45" t="s">
        <v>19</v>
      </c>
      <c r="C45" t="s">
        <v>20</v>
      </c>
      <c r="D45" t="s">
        <v>21</v>
      </c>
    </row>
    <row r="46" spans="2:7" x14ac:dyDescent="0.3">
      <c r="B46" cm="1">
        <f t="array" ref="B46:D46">LINEST(E28:E43,C28:D43)</f>
        <v>2.0741172414592435</v>
      </c>
      <c r="C46">
        <v>0.27785422570514484</v>
      </c>
      <c r="D46">
        <v>-7.7502211407837862E-2</v>
      </c>
    </row>
    <row r="47" spans="2:7" x14ac:dyDescent="0.3">
      <c r="B47" s="35">
        <v>2.0741172414592435</v>
      </c>
      <c r="C47" s="67">
        <v>0.27785422570514484</v>
      </c>
      <c r="D47" s="66">
        <v>-7.7502211407837862E-2</v>
      </c>
    </row>
    <row r="49" spans="2:7" x14ac:dyDescent="0.3">
      <c r="B49" s="2" t="s">
        <v>416</v>
      </c>
      <c r="C49" s="57">
        <v>0.4</v>
      </c>
    </row>
    <row r="50" spans="2:7" x14ac:dyDescent="0.3">
      <c r="B50" s="2" t="s">
        <v>415</v>
      </c>
      <c r="C50" s="57">
        <v>1</v>
      </c>
    </row>
    <row r="52" spans="2:7" x14ac:dyDescent="0.3">
      <c r="B52" t="s">
        <v>417</v>
      </c>
    </row>
    <row r="54" spans="2:7" x14ac:dyDescent="0.3">
      <c r="B54" s="2" t="s">
        <v>378</v>
      </c>
      <c r="C54" s="2" t="s">
        <v>379</v>
      </c>
      <c r="F54" s="2" t="s">
        <v>380</v>
      </c>
      <c r="G54" s="2" t="s">
        <v>381</v>
      </c>
    </row>
    <row r="55" spans="2:7" x14ac:dyDescent="0.3">
      <c r="B55">
        <f>C49</f>
        <v>0.4</v>
      </c>
      <c r="C55" s="35">
        <f>B47*C49+C47</f>
        <v>1.1075011222888422</v>
      </c>
      <c r="D55" s="67"/>
      <c r="F55">
        <f>C50</f>
        <v>1</v>
      </c>
      <c r="G55" s="35">
        <f>B47*C50+C47</f>
        <v>2.3519714671643883</v>
      </c>
    </row>
  </sheetData>
  <hyperlinks>
    <hyperlink ref="C21" r:id="rId1" xr:uid="{7F836A8B-C9B3-406B-934D-71CB8E3953B4}"/>
    <hyperlink ref="C22" r:id="rId2" xr:uid="{7E093C04-8B3E-4850-AAD2-0FABEBC8D5A3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AEB4-931D-44EE-897E-8ED6B66DE0B4}">
  <sheetPr>
    <tabColor theme="9" tint="0.59999389629810485"/>
  </sheetPr>
  <dimension ref="B2:G60"/>
  <sheetViews>
    <sheetView topLeftCell="A7" workbookViewId="0">
      <selection activeCell="D68" sqref="D68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2" spans="2:7" x14ac:dyDescent="0.3">
      <c r="B2" t="s">
        <v>278</v>
      </c>
    </row>
    <row r="4" spans="2:7" x14ac:dyDescent="0.3">
      <c r="B4" s="10" t="s">
        <v>279</v>
      </c>
      <c r="C4" s="2" t="s">
        <v>284</v>
      </c>
      <c r="D4" s="2" t="s">
        <v>285</v>
      </c>
      <c r="E4" s="2" t="s">
        <v>286</v>
      </c>
      <c r="F4" s="2" t="s">
        <v>287</v>
      </c>
      <c r="G4" s="2" t="s">
        <v>288</v>
      </c>
    </row>
    <row r="5" spans="2:7" x14ac:dyDescent="0.3">
      <c r="B5" s="2" t="s">
        <v>280</v>
      </c>
      <c r="C5">
        <v>23</v>
      </c>
      <c r="D5">
        <v>20</v>
      </c>
      <c r="E5">
        <v>25</v>
      </c>
      <c r="F5" s="8">
        <f>$C5/$D5</f>
        <v>1.1499999999999999</v>
      </c>
    </row>
    <row r="6" spans="2:7" x14ac:dyDescent="0.3">
      <c r="B6" s="2" t="s">
        <v>281</v>
      </c>
      <c r="C6">
        <v>48</v>
      </c>
      <c r="D6">
        <v>45</v>
      </c>
      <c r="E6">
        <v>50</v>
      </c>
      <c r="F6" s="8">
        <f t="shared" ref="F6:F8" si="0">$C6/$D6</f>
        <v>1.0666666666666667</v>
      </c>
    </row>
    <row r="7" spans="2:7" x14ac:dyDescent="0.3">
      <c r="B7" s="2" t="s">
        <v>282</v>
      </c>
      <c r="C7">
        <v>73</v>
      </c>
      <c r="D7">
        <v>70</v>
      </c>
      <c r="E7">
        <v>75</v>
      </c>
      <c r="F7" s="8">
        <f t="shared" si="0"/>
        <v>1.0428571428571429</v>
      </c>
    </row>
    <row r="8" spans="2:7" x14ac:dyDescent="0.3">
      <c r="B8" s="2" t="s">
        <v>283</v>
      </c>
      <c r="C8">
        <v>100</v>
      </c>
      <c r="D8">
        <v>100</v>
      </c>
      <c r="E8">
        <v>100</v>
      </c>
      <c r="F8" s="8">
        <f t="shared" si="0"/>
        <v>1</v>
      </c>
    </row>
    <row r="10" spans="2:7" x14ac:dyDescent="0.3">
      <c r="B10" t="s">
        <v>289</v>
      </c>
    </row>
    <row r="12" spans="2:7" x14ac:dyDescent="0.3">
      <c r="B12" s="10" t="s">
        <v>291</v>
      </c>
      <c r="C12" s="2" t="s">
        <v>284</v>
      </c>
      <c r="D12" s="2" t="s">
        <v>285</v>
      </c>
      <c r="E12" s="2" t="s">
        <v>287</v>
      </c>
      <c r="F12" s="2" t="s">
        <v>288</v>
      </c>
      <c r="G12" s="2" t="s">
        <v>292</v>
      </c>
    </row>
    <row r="13" spans="2:7" x14ac:dyDescent="0.3">
      <c r="B13" s="2" t="s">
        <v>280</v>
      </c>
      <c r="C13">
        <v>23</v>
      </c>
      <c r="D13">
        <v>20</v>
      </c>
      <c r="E13" s="8">
        <f>$C13/$D13</f>
        <v>1.1499999999999999</v>
      </c>
      <c r="F13" s="8"/>
    </row>
    <row r="14" spans="2:7" x14ac:dyDescent="0.3">
      <c r="B14" s="2" t="s">
        <v>281</v>
      </c>
      <c r="C14">
        <v>48</v>
      </c>
      <c r="D14">
        <v>45</v>
      </c>
      <c r="E14" s="8">
        <f t="shared" ref="E14:E16" si="1">$C14/$D14</f>
        <v>1.0666666666666667</v>
      </c>
      <c r="F14" s="8">
        <f t="shared" ref="F14:F15" si="2">$F$16*$E14</f>
        <v>3.6693333333333333</v>
      </c>
      <c r="G14">
        <v>3.94</v>
      </c>
    </row>
    <row r="15" spans="2:7" x14ac:dyDescent="0.3">
      <c r="B15" s="2" t="s">
        <v>282</v>
      </c>
      <c r="C15">
        <v>73</v>
      </c>
      <c r="D15">
        <v>70</v>
      </c>
      <c r="E15" s="8">
        <f t="shared" si="1"/>
        <v>1.0428571428571429</v>
      </c>
      <c r="F15" s="8">
        <f t="shared" si="2"/>
        <v>3.5874285714285716</v>
      </c>
      <c r="G15" s="6" t="s">
        <v>293</v>
      </c>
    </row>
    <row r="16" spans="2:7" x14ac:dyDescent="0.3">
      <c r="B16" s="2" t="s">
        <v>283</v>
      </c>
      <c r="C16">
        <v>100</v>
      </c>
      <c r="D16">
        <v>100</v>
      </c>
      <c r="E16" s="8">
        <f t="shared" si="1"/>
        <v>1</v>
      </c>
      <c r="F16" s="8">
        <v>3.44</v>
      </c>
      <c r="G16">
        <v>3.44</v>
      </c>
    </row>
    <row r="18" spans="2:5" x14ac:dyDescent="0.3">
      <c r="B18" t="s">
        <v>296</v>
      </c>
    </row>
    <row r="20" spans="2:5" x14ac:dyDescent="0.3">
      <c r="B20" s="10" t="s">
        <v>291</v>
      </c>
    </row>
    <row r="21" spans="2:5" x14ac:dyDescent="0.3">
      <c r="B21" s="2" t="s">
        <v>286</v>
      </c>
      <c r="C21" s="2" t="s">
        <v>288</v>
      </c>
      <c r="D21" s="2" t="s">
        <v>294</v>
      </c>
      <c r="E21" s="2" t="s">
        <v>295</v>
      </c>
    </row>
    <row r="22" spans="2:5" x14ac:dyDescent="0.3">
      <c r="B22" s="61" t="s">
        <v>297</v>
      </c>
      <c r="C22" s="62">
        <v>3.94</v>
      </c>
      <c r="D22">
        <v>6.9</v>
      </c>
      <c r="E22" s="9">
        <f>$D22/$C22</f>
        <v>1.751269035532995</v>
      </c>
    </row>
    <row r="23" spans="2:5" x14ac:dyDescent="0.3">
      <c r="B23" s="57">
        <v>0.73</v>
      </c>
      <c r="C23" s="62">
        <v>3.5870000000000002</v>
      </c>
      <c r="D23">
        <f>$B23*$D24</f>
        <v>10.219999999999999</v>
      </c>
      <c r="E23" s="9">
        <f t="shared" ref="E23:E24" si="3">$D23/$C23</f>
        <v>2.8491775857262334</v>
      </c>
    </row>
    <row r="24" spans="2:5" x14ac:dyDescent="0.3">
      <c r="B24" s="57">
        <v>1</v>
      </c>
      <c r="C24" s="62">
        <v>3.44</v>
      </c>
      <c r="D24">
        <v>14</v>
      </c>
      <c r="E24" s="9">
        <f t="shared" si="3"/>
        <v>4.0697674418604652</v>
      </c>
    </row>
    <row r="38" spans="2:5" x14ac:dyDescent="0.3">
      <c r="B38" s="10" t="s">
        <v>290</v>
      </c>
    </row>
    <row r="39" spans="2:5" x14ac:dyDescent="0.3">
      <c r="B39" s="2" t="s">
        <v>286</v>
      </c>
      <c r="C39" s="2" t="s">
        <v>288</v>
      </c>
      <c r="D39" s="2" t="s">
        <v>294</v>
      </c>
      <c r="E39" s="2" t="s">
        <v>295</v>
      </c>
    </row>
    <row r="40" spans="2:5" x14ac:dyDescent="0.3">
      <c r="B40" s="63">
        <v>0.4</v>
      </c>
      <c r="C40" s="62">
        <v>4.82</v>
      </c>
      <c r="D40">
        <v>10.4</v>
      </c>
      <c r="E40" s="9">
        <f>$D40/$C40</f>
        <v>2.1576763485477177</v>
      </c>
    </row>
    <row r="41" spans="2:5" x14ac:dyDescent="0.3">
      <c r="B41" s="57">
        <v>0.73</v>
      </c>
      <c r="C41" s="62">
        <f>$C42*1.043</f>
        <v>3.7443699999999995</v>
      </c>
      <c r="D41">
        <f>$B41*$D42</f>
        <v>18.98</v>
      </c>
      <c r="E41" s="9">
        <f t="shared" ref="E41:E42" si="4">$D41/$C41</f>
        <v>5.0689435071854554</v>
      </c>
    </row>
    <row r="42" spans="2:5" x14ac:dyDescent="0.3">
      <c r="B42" s="57">
        <v>1</v>
      </c>
      <c r="C42" s="62">
        <v>3.59</v>
      </c>
      <c r="D42">
        <v>26</v>
      </c>
      <c r="E42" s="9">
        <f t="shared" si="4"/>
        <v>7.2423398328690807</v>
      </c>
    </row>
    <row r="56" spans="2:5" x14ac:dyDescent="0.3">
      <c r="B56" s="10" t="s">
        <v>298</v>
      </c>
    </row>
    <row r="57" spans="2:5" x14ac:dyDescent="0.3">
      <c r="B57" s="2" t="s">
        <v>286</v>
      </c>
      <c r="C57" s="2" t="s">
        <v>288</v>
      </c>
      <c r="D57" s="2" t="s">
        <v>294</v>
      </c>
      <c r="E57" s="2" t="s">
        <v>295</v>
      </c>
    </row>
    <row r="58" spans="2:5" x14ac:dyDescent="0.3">
      <c r="B58" s="63" t="s">
        <v>297</v>
      </c>
      <c r="C58" s="62">
        <v>4.0199999999999996</v>
      </c>
      <c r="D58">
        <v>2.9</v>
      </c>
      <c r="E58" s="9">
        <f>$D58/$C58</f>
        <v>0.72139303482587069</v>
      </c>
    </row>
    <row r="59" spans="2:5" x14ac:dyDescent="0.3">
      <c r="B59" s="57">
        <v>0.73</v>
      </c>
      <c r="C59" s="62">
        <f>$C60*1.043</f>
        <v>3.4940499999999997</v>
      </c>
      <c r="D59">
        <f>$B59*$D60</f>
        <v>4.38</v>
      </c>
      <c r="E59" s="9">
        <f t="shared" ref="E59:E60" si="5">$D59/$C59</f>
        <v>1.25355962278731</v>
      </c>
    </row>
    <row r="60" spans="2:5" x14ac:dyDescent="0.3">
      <c r="B60" s="57">
        <v>1</v>
      </c>
      <c r="C60" s="62">
        <v>3.35</v>
      </c>
      <c r="D60">
        <v>6</v>
      </c>
      <c r="E60" s="9">
        <f t="shared" si="5"/>
        <v>1.791044776119403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88C8-C35B-4BC7-9643-5AE3973A6128}">
  <sheetPr codeName="Sheet47">
    <tabColor rgb="FF00B050"/>
  </sheetPr>
  <dimension ref="A1:K63"/>
  <sheetViews>
    <sheetView topLeftCell="A37" workbookViewId="0">
      <selection activeCell="B57" sqref="B57:G63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198</v>
      </c>
      <c r="C1" s="3" t="s">
        <v>0</v>
      </c>
      <c r="D1" s="2" t="s">
        <v>32</v>
      </c>
      <c r="E1" s="5" t="s">
        <v>11</v>
      </c>
      <c r="F1" s="2" t="s">
        <v>31</v>
      </c>
    </row>
    <row r="2" spans="2:11" x14ac:dyDescent="0.3">
      <c r="B2" s="17" t="s">
        <v>199</v>
      </c>
      <c r="C2" s="7">
        <v>8.1</v>
      </c>
      <c r="D2" s="9">
        <v>3.91</v>
      </c>
      <c r="E2" s="6" t="s">
        <v>184</v>
      </c>
      <c r="F2" s="9">
        <f t="shared" ref="F2:F19" si="0">$C2/$D2</f>
        <v>2.0716112531969308</v>
      </c>
      <c r="G2" s="9" t="s">
        <v>15</v>
      </c>
    </row>
    <row r="3" spans="2:11" x14ac:dyDescent="0.3">
      <c r="B3" s="16" t="s">
        <v>200</v>
      </c>
      <c r="C3" s="26">
        <v>52</v>
      </c>
      <c r="D3" s="18">
        <v>3.06</v>
      </c>
      <c r="E3" s="19" t="s">
        <v>210</v>
      </c>
      <c r="F3" s="18">
        <f t="shared" si="0"/>
        <v>16.993464052287582</v>
      </c>
      <c r="G3" s="18" t="s">
        <v>16</v>
      </c>
    </row>
    <row r="4" spans="2:11" x14ac:dyDescent="0.3">
      <c r="B4" s="17" t="s">
        <v>199</v>
      </c>
      <c r="C4" s="7">
        <v>8.1999999999999993</v>
      </c>
      <c r="D4" s="9">
        <v>4.1399999999999997</v>
      </c>
      <c r="E4" s="6" t="s">
        <v>184</v>
      </c>
      <c r="F4" s="9">
        <f t="shared" si="0"/>
        <v>1.9806763285024154</v>
      </c>
      <c r="G4" s="9" t="s">
        <v>15</v>
      </c>
    </row>
    <row r="5" spans="2:11" x14ac:dyDescent="0.3">
      <c r="B5" s="16" t="s">
        <v>200</v>
      </c>
      <c r="C5" s="26">
        <v>53</v>
      </c>
      <c r="D5" s="18">
        <v>3.08</v>
      </c>
      <c r="E5" s="19" t="s">
        <v>210</v>
      </c>
      <c r="F5" s="18">
        <f t="shared" si="0"/>
        <v>17.207792207792206</v>
      </c>
      <c r="G5" s="18" t="s">
        <v>16</v>
      </c>
    </row>
    <row r="6" spans="2:11" x14ac:dyDescent="0.3">
      <c r="B6" s="17" t="s">
        <v>199</v>
      </c>
      <c r="C6" s="7">
        <v>8.9</v>
      </c>
      <c r="D6" s="9">
        <v>3.93</v>
      </c>
      <c r="E6" s="6" t="s">
        <v>184</v>
      </c>
      <c r="F6" s="9">
        <f t="shared" si="0"/>
        <v>2.2646310432569976</v>
      </c>
      <c r="G6" s="9" t="s">
        <v>15</v>
      </c>
      <c r="H6" s="2" t="s">
        <v>396</v>
      </c>
      <c r="I6" s="2" t="s">
        <v>379</v>
      </c>
      <c r="J6" s="2" t="s">
        <v>397</v>
      </c>
      <c r="K6" s="2" t="s">
        <v>381</v>
      </c>
    </row>
    <row r="7" spans="2:11" x14ac:dyDescent="0.3">
      <c r="B7" s="16" t="s">
        <v>200</v>
      </c>
      <c r="C7" s="26">
        <v>58</v>
      </c>
      <c r="D7" s="18">
        <v>3.1</v>
      </c>
      <c r="E7" s="19" t="s">
        <v>210</v>
      </c>
      <c r="F7" s="18">
        <f t="shared" si="0"/>
        <v>18.70967741935484</v>
      </c>
      <c r="G7" s="18" t="s">
        <v>16</v>
      </c>
      <c r="H7" s="18">
        <f>I7/D6</f>
        <v>2.3427217688865491</v>
      </c>
      <c r="I7" s="26">
        <f>K7*C6/C7</f>
        <v>9.2068965517241388</v>
      </c>
      <c r="J7" s="26">
        <f>K7/D7</f>
        <v>19.35483870967742</v>
      </c>
      <c r="K7" s="26">
        <v>60</v>
      </c>
    </row>
    <row r="8" spans="2:11" x14ac:dyDescent="0.3">
      <c r="B8" s="17" t="s">
        <v>199</v>
      </c>
      <c r="C8" s="7">
        <v>10.5</v>
      </c>
      <c r="D8" s="9">
        <v>4.72</v>
      </c>
      <c r="E8" s="6" t="s">
        <v>184</v>
      </c>
      <c r="F8" s="9">
        <f t="shared" si="0"/>
        <v>2.2245762711864407</v>
      </c>
      <c r="G8" s="9" t="s">
        <v>15</v>
      </c>
    </row>
    <row r="9" spans="2:11" x14ac:dyDescent="0.3">
      <c r="B9" s="16" t="s">
        <v>200</v>
      </c>
      <c r="C9" s="26">
        <v>68</v>
      </c>
      <c r="D9" s="18">
        <v>3.14</v>
      </c>
      <c r="E9" s="19" t="s">
        <v>210</v>
      </c>
      <c r="F9" s="18">
        <f t="shared" si="0"/>
        <v>21.656050955414013</v>
      </c>
      <c r="G9" s="18" t="s">
        <v>16</v>
      </c>
    </row>
    <row r="10" spans="2:11" x14ac:dyDescent="0.3">
      <c r="B10" s="17" t="s">
        <v>199</v>
      </c>
      <c r="C10" s="7">
        <v>12.5</v>
      </c>
      <c r="D10" s="9">
        <v>5</v>
      </c>
      <c r="E10" s="6" t="s">
        <v>184</v>
      </c>
      <c r="F10" s="9">
        <f t="shared" si="0"/>
        <v>2.5</v>
      </c>
      <c r="G10" s="9" t="s">
        <v>15</v>
      </c>
      <c r="H10" s="2" t="s">
        <v>396</v>
      </c>
      <c r="I10" s="2" t="s">
        <v>379</v>
      </c>
      <c r="J10" s="2" t="s">
        <v>397</v>
      </c>
      <c r="K10" s="2" t="s">
        <v>381</v>
      </c>
    </row>
    <row r="11" spans="2:11" x14ac:dyDescent="0.3">
      <c r="B11" s="16" t="s">
        <v>200</v>
      </c>
      <c r="C11" s="26">
        <v>81</v>
      </c>
      <c r="D11" s="18">
        <v>3.02</v>
      </c>
      <c r="E11" s="19" t="s">
        <v>210</v>
      </c>
      <c r="F11" s="18">
        <f t="shared" si="0"/>
        <v>26.821192052980134</v>
      </c>
      <c r="G11" s="18" t="s">
        <v>16</v>
      </c>
      <c r="H11" s="18">
        <f>I11/D10</f>
        <v>2.4691358024691357</v>
      </c>
      <c r="I11" s="26">
        <f>K11*C10/C11</f>
        <v>12.345679012345679</v>
      </c>
      <c r="J11" s="26">
        <f>K11/D11</f>
        <v>26.490066225165563</v>
      </c>
      <c r="K11" s="26">
        <v>80</v>
      </c>
    </row>
    <row r="12" spans="2:11" x14ac:dyDescent="0.3">
      <c r="B12" s="17" t="s">
        <v>199</v>
      </c>
      <c r="C12" s="7">
        <v>12.9</v>
      </c>
      <c r="D12" s="9">
        <v>4.49</v>
      </c>
      <c r="E12" s="6" t="s">
        <v>184</v>
      </c>
      <c r="F12" s="9">
        <f t="shared" ref="F12:F17" si="1">$C12/$D12</f>
        <v>2.8730512249443207</v>
      </c>
      <c r="G12" s="9" t="s">
        <v>15</v>
      </c>
    </row>
    <row r="13" spans="2:11" x14ac:dyDescent="0.3">
      <c r="B13" s="16" t="s">
        <v>200</v>
      </c>
      <c r="C13" s="26">
        <v>84</v>
      </c>
      <c r="D13" s="18">
        <v>3.11</v>
      </c>
      <c r="E13" s="19" t="s">
        <v>210</v>
      </c>
      <c r="F13" s="18">
        <f t="shared" si="1"/>
        <v>27.009646302250804</v>
      </c>
      <c r="G13" s="18" t="s">
        <v>16</v>
      </c>
    </row>
    <row r="14" spans="2:11" x14ac:dyDescent="0.3">
      <c r="B14" s="17" t="s">
        <v>199</v>
      </c>
      <c r="C14" s="7">
        <v>13.3</v>
      </c>
      <c r="D14" s="9">
        <v>4.42</v>
      </c>
      <c r="E14" s="6" t="s">
        <v>184</v>
      </c>
      <c r="F14" s="9">
        <f t="shared" si="1"/>
        <v>3.0090497737556565</v>
      </c>
      <c r="G14" s="9" t="s">
        <v>15</v>
      </c>
    </row>
    <row r="15" spans="2:11" x14ac:dyDescent="0.3">
      <c r="B15" s="16" t="s">
        <v>200</v>
      </c>
      <c r="C15" s="26">
        <v>87</v>
      </c>
      <c r="D15" s="18">
        <v>3.09</v>
      </c>
      <c r="E15" s="19" t="s">
        <v>210</v>
      </c>
      <c r="F15" s="18">
        <f t="shared" si="1"/>
        <v>28.155339805825243</v>
      </c>
      <c r="G15" s="18" t="s">
        <v>16</v>
      </c>
    </row>
    <row r="16" spans="2:11" x14ac:dyDescent="0.3">
      <c r="B16" s="17" t="s">
        <v>199</v>
      </c>
      <c r="C16" s="7">
        <v>16.399999999999999</v>
      </c>
      <c r="D16" s="9">
        <v>4.5999999999999996</v>
      </c>
      <c r="E16" s="6" t="s">
        <v>184</v>
      </c>
      <c r="F16" s="9">
        <f t="shared" si="1"/>
        <v>3.5652173913043477</v>
      </c>
      <c r="G16" s="9" t="s">
        <v>15</v>
      </c>
      <c r="H16" s="2" t="s">
        <v>396</v>
      </c>
      <c r="I16" s="2" t="s">
        <v>379</v>
      </c>
      <c r="J16" s="2" t="s">
        <v>397</v>
      </c>
      <c r="K16" s="2" t="s">
        <v>381</v>
      </c>
    </row>
    <row r="17" spans="1:11" x14ac:dyDescent="0.3">
      <c r="B17" s="16" t="s">
        <v>200</v>
      </c>
      <c r="C17" s="26">
        <v>106</v>
      </c>
      <c r="D17" s="18">
        <v>2.95</v>
      </c>
      <c r="E17" s="19" t="s">
        <v>210</v>
      </c>
      <c r="F17" s="18">
        <f t="shared" si="1"/>
        <v>35.932203389830505</v>
      </c>
      <c r="G17" s="18" t="s">
        <v>16</v>
      </c>
      <c r="H17" s="18">
        <f>I17/D16</f>
        <v>3.3634126333059884</v>
      </c>
      <c r="I17" s="26">
        <f>K17*C16/C17</f>
        <v>15.471698113207545</v>
      </c>
      <c r="J17" s="26">
        <f>K17/D17</f>
        <v>33.898305084745758</v>
      </c>
      <c r="K17" s="26">
        <v>100</v>
      </c>
    </row>
    <row r="18" spans="1:11" x14ac:dyDescent="0.3">
      <c r="B18" s="17" t="s">
        <v>199</v>
      </c>
      <c r="C18" s="7">
        <v>16.8</v>
      </c>
      <c r="D18" s="9">
        <v>4.6399999999999997</v>
      </c>
      <c r="E18" s="6" t="s">
        <v>184</v>
      </c>
      <c r="F18" s="9">
        <f t="shared" si="0"/>
        <v>3.6206896551724141</v>
      </c>
      <c r="G18" s="9" t="s">
        <v>15</v>
      </c>
    </row>
    <row r="19" spans="1:11" x14ac:dyDescent="0.3">
      <c r="B19" s="16" t="s">
        <v>200</v>
      </c>
      <c r="C19" s="26">
        <v>109</v>
      </c>
      <c r="D19" s="18">
        <v>3.01</v>
      </c>
      <c r="E19" s="19" t="s">
        <v>210</v>
      </c>
      <c r="F19" s="18">
        <f t="shared" si="0"/>
        <v>36.212624584717609</v>
      </c>
      <c r="G19" s="18" t="s">
        <v>16</v>
      </c>
    </row>
    <row r="20" spans="1:11" x14ac:dyDescent="0.3">
      <c r="B20" s="17" t="s">
        <v>199</v>
      </c>
      <c r="C20" s="7">
        <v>18.5</v>
      </c>
      <c r="D20" s="9">
        <v>4.63</v>
      </c>
      <c r="E20" s="6" t="s">
        <v>184</v>
      </c>
      <c r="F20" s="9">
        <f>$C20/$D20</f>
        <v>3.9956803455723544</v>
      </c>
      <c r="G20" s="9" t="s">
        <v>15</v>
      </c>
    </row>
    <row r="21" spans="1:11" x14ac:dyDescent="0.3">
      <c r="B21" s="16" t="s">
        <v>200</v>
      </c>
      <c r="C21" s="26">
        <v>120</v>
      </c>
      <c r="D21" s="18">
        <v>3.01</v>
      </c>
      <c r="E21" s="19" t="s">
        <v>210</v>
      </c>
      <c r="F21" s="18">
        <f>$C21/$D21</f>
        <v>39.867109634551497</v>
      </c>
      <c r="G21" s="18" t="s">
        <v>16</v>
      </c>
    </row>
    <row r="24" spans="1:11" x14ac:dyDescent="0.3">
      <c r="B24" t="s">
        <v>1</v>
      </c>
      <c r="C24" t="s">
        <v>4</v>
      </c>
    </row>
    <row r="25" spans="1:11" x14ac:dyDescent="0.3">
      <c r="A25" t="s">
        <v>184</v>
      </c>
      <c r="B25" t="s">
        <v>183</v>
      </c>
      <c r="C25" s="4" t="s">
        <v>182</v>
      </c>
      <c r="D25" s="4"/>
      <c r="G25" t="s">
        <v>205</v>
      </c>
    </row>
    <row r="26" spans="1:11" x14ac:dyDescent="0.3">
      <c r="A26" t="s">
        <v>207</v>
      </c>
      <c r="B26" t="s">
        <v>208</v>
      </c>
      <c r="C26" s="4" t="s">
        <v>209</v>
      </c>
      <c r="D26" s="4"/>
    </row>
    <row r="27" spans="1:11" x14ac:dyDescent="0.3">
      <c r="C27" s="4"/>
    </row>
    <row r="28" spans="1:11" x14ac:dyDescent="0.3">
      <c r="C28" s="4"/>
    </row>
    <row r="29" spans="1:11" x14ac:dyDescent="0.3">
      <c r="B29" s="14"/>
      <c r="C29" s="4"/>
    </row>
    <row r="30" spans="1:11" x14ac:dyDescent="0.3">
      <c r="E30" s="10" t="s">
        <v>18</v>
      </c>
      <c r="F30" s="10" t="s">
        <v>18</v>
      </c>
      <c r="G30" s="10" t="s">
        <v>18</v>
      </c>
    </row>
    <row r="31" spans="1:11" x14ac:dyDescent="0.3">
      <c r="B31" s="2" t="s">
        <v>13</v>
      </c>
      <c r="C31" s="2" t="s">
        <v>12</v>
      </c>
      <c r="D31" s="2" t="s">
        <v>25</v>
      </c>
      <c r="E31" s="2" t="s">
        <v>17</v>
      </c>
      <c r="F31" s="2" t="s">
        <v>22</v>
      </c>
      <c r="G31" s="2" t="s">
        <v>23</v>
      </c>
    </row>
    <row r="32" spans="1:11" x14ac:dyDescent="0.3">
      <c r="B32" s="9" t="s">
        <v>15</v>
      </c>
      <c r="C32" s="9">
        <f t="shared" ref="C32" si="2">$C3</f>
        <v>52</v>
      </c>
      <c r="D32" s="9">
        <f t="shared" ref="D32:D51" si="3">$F2</f>
        <v>2.0716112531969308</v>
      </c>
      <c r="E32" s="9">
        <f t="shared" ref="E32:E51" si="4">$D32*$D2</f>
        <v>8.1</v>
      </c>
      <c r="F32" s="9">
        <f t="shared" ref="F32:F51" si="5">$B$54*$D32+$C$54*$C32+$D$54</f>
        <v>9.3721946092921264</v>
      </c>
      <c r="G32" s="20">
        <f t="shared" ref="G32:G51" si="6">($E32-$F32)/$E32</f>
        <v>-0.15706106287557123</v>
      </c>
    </row>
    <row r="33" spans="2:7" x14ac:dyDescent="0.3">
      <c r="B33" s="18" t="s">
        <v>16</v>
      </c>
      <c r="C33" s="18">
        <f t="shared" ref="C33" si="7">$C3</f>
        <v>52</v>
      </c>
      <c r="D33" s="18">
        <f t="shared" si="3"/>
        <v>16.993464052287582</v>
      </c>
      <c r="E33" s="18">
        <f t="shared" si="4"/>
        <v>52</v>
      </c>
      <c r="F33" s="18">
        <f t="shared" si="5"/>
        <v>52.057882600648796</v>
      </c>
      <c r="G33" s="20">
        <f t="shared" si="6"/>
        <v>-1.1131269355537654E-3</v>
      </c>
    </row>
    <row r="34" spans="2:7" x14ac:dyDescent="0.3">
      <c r="B34" s="9" t="s">
        <v>15</v>
      </c>
      <c r="C34" s="9">
        <f t="shared" ref="C34" si="8">$C5</f>
        <v>53</v>
      </c>
      <c r="D34" s="9">
        <f t="shared" si="3"/>
        <v>1.9806763285024154</v>
      </c>
      <c r="E34" s="9">
        <f t="shared" si="4"/>
        <v>8.1999999999999993</v>
      </c>
      <c r="F34" s="9">
        <f t="shared" si="5"/>
        <v>9.1565581535856264</v>
      </c>
      <c r="G34" s="20">
        <f t="shared" si="6"/>
        <v>-0.11665343336410088</v>
      </c>
    </row>
    <row r="35" spans="2:7" x14ac:dyDescent="0.3">
      <c r="B35" s="18" t="s">
        <v>16</v>
      </c>
      <c r="C35" s="18">
        <f t="shared" ref="C35" si="9">$C5</f>
        <v>53</v>
      </c>
      <c r="D35" s="18">
        <f t="shared" si="3"/>
        <v>17.207792207792206</v>
      </c>
      <c r="E35" s="18">
        <f t="shared" si="4"/>
        <v>52.999999999999993</v>
      </c>
      <c r="F35" s="18">
        <f t="shared" si="5"/>
        <v>52.71548653754656</v>
      </c>
      <c r="G35" s="20">
        <f t="shared" si="6"/>
        <v>5.368178536857217E-3</v>
      </c>
    </row>
    <row r="36" spans="2:7" x14ac:dyDescent="0.3">
      <c r="B36" s="9" t="s">
        <v>15</v>
      </c>
      <c r="C36" s="9">
        <f t="shared" ref="C36" si="10">$C7</f>
        <v>58</v>
      </c>
      <c r="D36" s="9">
        <f t="shared" si="3"/>
        <v>2.2646310432569976</v>
      </c>
      <c r="E36" s="9">
        <f t="shared" si="4"/>
        <v>8.9</v>
      </c>
      <c r="F36" s="9">
        <f t="shared" si="5"/>
        <v>10.191310635724953</v>
      </c>
      <c r="G36" s="20">
        <f t="shared" si="6"/>
        <v>-0.14509108266572504</v>
      </c>
    </row>
    <row r="37" spans="2:7" x14ac:dyDescent="0.3">
      <c r="B37" s="18" t="s">
        <v>16</v>
      </c>
      <c r="C37" s="18">
        <f t="shared" ref="C37" si="11">$C7</f>
        <v>58</v>
      </c>
      <c r="D37" s="18">
        <f t="shared" si="3"/>
        <v>18.70967741935484</v>
      </c>
      <c r="E37" s="18">
        <f t="shared" si="4"/>
        <v>58.000000000000007</v>
      </c>
      <c r="F37" s="18">
        <f t="shared" si="5"/>
        <v>57.234270251053793</v>
      </c>
      <c r="G37" s="20">
        <f t="shared" si="6"/>
        <v>1.3202237050796789E-2</v>
      </c>
    </row>
    <row r="38" spans="2:7" x14ac:dyDescent="0.3">
      <c r="B38" s="9" t="s">
        <v>15</v>
      </c>
      <c r="C38" s="9">
        <f t="shared" ref="C38" si="12">$C9</f>
        <v>68</v>
      </c>
      <c r="D38" s="9">
        <f t="shared" si="3"/>
        <v>2.2245762711864407</v>
      </c>
      <c r="E38" s="9">
        <f t="shared" si="4"/>
        <v>10.5</v>
      </c>
      <c r="F38" s="9">
        <f t="shared" si="5"/>
        <v>10.521663594689105</v>
      </c>
      <c r="G38" s="20">
        <f t="shared" si="6"/>
        <v>-2.0631994942005029E-3</v>
      </c>
    </row>
    <row r="39" spans="2:7" x14ac:dyDescent="0.3">
      <c r="B39" s="18" t="s">
        <v>16</v>
      </c>
      <c r="C39" s="18">
        <f t="shared" ref="C39" si="13">$C9</f>
        <v>68</v>
      </c>
      <c r="D39" s="18">
        <f t="shared" si="3"/>
        <v>21.656050955414013</v>
      </c>
      <c r="E39" s="18">
        <f t="shared" si="4"/>
        <v>68</v>
      </c>
      <c r="F39" s="18">
        <f t="shared" si="5"/>
        <v>66.107647235636904</v>
      </c>
      <c r="G39" s="20">
        <f t="shared" si="6"/>
        <v>2.7828717122986707E-2</v>
      </c>
    </row>
    <row r="40" spans="2:7" x14ac:dyDescent="0.3">
      <c r="B40" s="9" t="s">
        <v>15</v>
      </c>
      <c r="C40" s="9">
        <f t="shared" ref="C40" si="14">$C11</f>
        <v>81</v>
      </c>
      <c r="D40" s="9">
        <f t="shared" si="3"/>
        <v>2.5</v>
      </c>
      <c r="E40" s="9">
        <f t="shared" si="4"/>
        <v>12.5</v>
      </c>
      <c r="F40" s="9">
        <f t="shared" si="5"/>
        <v>11.887959622079393</v>
      </c>
      <c r="G40" s="20">
        <f t="shared" si="6"/>
        <v>4.8963230233648576E-2</v>
      </c>
    </row>
    <row r="41" spans="2:7" x14ac:dyDescent="0.3">
      <c r="B41" s="18" t="s">
        <v>16</v>
      </c>
      <c r="C41" s="18">
        <f t="shared" ref="C41" si="15">$C11</f>
        <v>81</v>
      </c>
      <c r="D41" s="18">
        <f t="shared" si="3"/>
        <v>26.821192052980134</v>
      </c>
      <c r="E41" s="18">
        <f t="shared" si="4"/>
        <v>81</v>
      </c>
      <c r="F41" s="18">
        <f t="shared" si="5"/>
        <v>81.461546061334445</v>
      </c>
      <c r="G41" s="20">
        <f t="shared" si="6"/>
        <v>-5.6980995226474729E-3</v>
      </c>
    </row>
    <row r="42" spans="2:7" x14ac:dyDescent="0.3">
      <c r="B42" s="9" t="s">
        <v>15</v>
      </c>
      <c r="C42" s="9">
        <f t="shared" ref="C42" si="16">$C13</f>
        <v>84</v>
      </c>
      <c r="D42" s="9">
        <f t="shared" si="3"/>
        <v>2.8730512249443207</v>
      </c>
      <c r="E42" s="9">
        <f t="shared" si="4"/>
        <v>12.9</v>
      </c>
      <c r="F42" s="9">
        <f t="shared" si="5"/>
        <v>13.088596135021755</v>
      </c>
      <c r="G42" s="20">
        <f t="shared" si="6"/>
        <v>-1.4619855428042961E-2</v>
      </c>
    </row>
    <row r="43" spans="2:7" x14ac:dyDescent="0.3">
      <c r="B43" s="18" t="s">
        <v>16</v>
      </c>
      <c r="C43" s="18">
        <f t="shared" ref="C43" si="17">$C13</f>
        <v>84</v>
      </c>
      <c r="D43" s="18">
        <f t="shared" si="3"/>
        <v>27.009646302250804</v>
      </c>
      <c r="E43" s="18">
        <f t="shared" si="4"/>
        <v>84</v>
      </c>
      <c r="F43" s="18">
        <f t="shared" si="5"/>
        <v>82.13412154768406</v>
      </c>
      <c r="G43" s="20">
        <f t="shared" si="6"/>
        <v>2.2212838718046902E-2</v>
      </c>
    </row>
    <row r="44" spans="2:7" x14ac:dyDescent="0.3">
      <c r="B44" s="9" t="s">
        <v>15</v>
      </c>
      <c r="C44" s="9">
        <f t="shared" ref="C44" si="18">$C15</f>
        <v>87</v>
      </c>
      <c r="D44" s="9">
        <f t="shared" si="3"/>
        <v>3.0090497737556565</v>
      </c>
      <c r="E44" s="9">
        <f t="shared" si="4"/>
        <v>13.300000000000002</v>
      </c>
      <c r="F44" s="9">
        <f t="shared" si="5"/>
        <v>13.611116015454154</v>
      </c>
      <c r="G44" s="20">
        <f t="shared" si="6"/>
        <v>-2.3392181613094126E-2</v>
      </c>
    </row>
    <row r="45" spans="2:7" x14ac:dyDescent="0.3">
      <c r="B45" s="18" t="s">
        <v>16</v>
      </c>
      <c r="C45" s="18">
        <f t="shared" ref="C45" si="19">$C15</f>
        <v>87</v>
      </c>
      <c r="D45" s="18">
        <f t="shared" si="3"/>
        <v>28.155339805825243</v>
      </c>
      <c r="E45" s="18">
        <f t="shared" si="4"/>
        <v>87</v>
      </c>
      <c r="F45" s="18">
        <f t="shared" si="5"/>
        <v>85.544990776267895</v>
      </c>
      <c r="G45" s="20">
        <f t="shared" si="6"/>
        <v>1.672424395094374E-2</v>
      </c>
    </row>
    <row r="46" spans="2:7" x14ac:dyDescent="0.3">
      <c r="B46" s="9" t="s">
        <v>15</v>
      </c>
      <c r="C46" s="9">
        <f t="shared" ref="C46" si="20">$C17</f>
        <v>106</v>
      </c>
      <c r="D46" s="9">
        <f t="shared" si="3"/>
        <v>3.5652173913043477</v>
      </c>
      <c r="E46" s="9">
        <f t="shared" si="4"/>
        <v>16.399999999999999</v>
      </c>
      <c r="F46" s="9">
        <f t="shared" si="5"/>
        <v>16.047473012628739</v>
      </c>
      <c r="G46" s="20">
        <f t="shared" si="6"/>
        <v>2.1495548010442657E-2</v>
      </c>
    </row>
    <row r="47" spans="2:7" x14ac:dyDescent="0.3">
      <c r="B47" s="18" t="s">
        <v>16</v>
      </c>
      <c r="C47" s="18">
        <f t="shared" ref="C47" si="21">$C17</f>
        <v>106</v>
      </c>
      <c r="D47" s="18">
        <f t="shared" si="3"/>
        <v>35.932203389830505</v>
      </c>
      <c r="E47" s="18">
        <f t="shared" si="4"/>
        <v>106</v>
      </c>
      <c r="F47" s="18">
        <f t="shared" si="5"/>
        <v>108.63698479483139</v>
      </c>
      <c r="G47" s="20">
        <f t="shared" si="6"/>
        <v>-2.4877215045579167E-2</v>
      </c>
    </row>
    <row r="48" spans="2:7" x14ac:dyDescent="0.3">
      <c r="B48" s="9" t="s">
        <v>15</v>
      </c>
      <c r="C48" s="9">
        <f t="shared" ref="C48" si="22">$C19</f>
        <v>109</v>
      </c>
      <c r="D48" s="9">
        <f t="shared" si="3"/>
        <v>3.6206896551724141</v>
      </c>
      <c r="E48" s="9">
        <f t="shared" si="4"/>
        <v>16.8</v>
      </c>
      <c r="F48" s="9">
        <f t="shared" si="5"/>
        <v>16.339638129448879</v>
      </c>
      <c r="G48" s="20">
        <f t="shared" si="6"/>
        <v>2.7402492294709622E-2</v>
      </c>
    </row>
    <row r="49" spans="2:7" x14ac:dyDescent="0.3">
      <c r="B49" s="18" t="s">
        <v>16</v>
      </c>
      <c r="C49" s="18">
        <f t="shared" ref="C49" si="23">$C19</f>
        <v>109</v>
      </c>
      <c r="D49" s="18">
        <f t="shared" si="3"/>
        <v>36.212624584717609</v>
      </c>
      <c r="E49" s="18">
        <f t="shared" si="4"/>
        <v>109</v>
      </c>
      <c r="F49" s="18">
        <f t="shared" si="5"/>
        <v>109.57264237956093</v>
      </c>
      <c r="G49" s="20">
        <f t="shared" si="6"/>
        <v>-5.2535998124856155E-3</v>
      </c>
    </row>
    <row r="50" spans="2:7" x14ac:dyDescent="0.3">
      <c r="B50" s="9" t="s">
        <v>15</v>
      </c>
      <c r="C50" s="9">
        <f t="shared" ref="C50" si="24">$C21</f>
        <v>120</v>
      </c>
      <c r="D50" s="9">
        <f t="shared" si="3"/>
        <v>3.9956803455723544</v>
      </c>
      <c r="E50" s="9">
        <f t="shared" si="4"/>
        <v>18.5</v>
      </c>
      <c r="F50" s="9">
        <f t="shared" si="5"/>
        <v>17.901770126417055</v>
      </c>
      <c r="G50" s="20">
        <f t="shared" si="6"/>
        <v>3.2336749923402408E-2</v>
      </c>
    </row>
    <row r="51" spans="2:7" x14ac:dyDescent="0.3">
      <c r="B51" s="18" t="s">
        <v>16</v>
      </c>
      <c r="C51" s="18">
        <f t="shared" ref="C51" si="25">$C21</f>
        <v>120</v>
      </c>
      <c r="D51" s="18">
        <f t="shared" si="3"/>
        <v>39.867109634551497</v>
      </c>
      <c r="E51" s="18">
        <f t="shared" si="4"/>
        <v>120</v>
      </c>
      <c r="F51" s="18">
        <f t="shared" si="5"/>
        <v>120.51614778109337</v>
      </c>
      <c r="G51" s="20">
        <f t="shared" si="6"/>
        <v>-4.3012315091113841E-3</v>
      </c>
    </row>
    <row r="53" spans="2:7" x14ac:dyDescent="0.3">
      <c r="B53" t="s">
        <v>19</v>
      </c>
      <c r="C53" t="s">
        <v>20</v>
      </c>
      <c r="D53" t="s">
        <v>21</v>
      </c>
    </row>
    <row r="54" spans="2:7" x14ac:dyDescent="0.3">
      <c r="B54" cm="1">
        <f t="array" ref="B54:D54">LINEST(E32:E51,C32:D51)</f>
        <v>2.8606158073049728</v>
      </c>
      <c r="C54">
        <v>4.4493427310718571E-2</v>
      </c>
      <c r="D54">
        <v>1.1324524916487562</v>
      </c>
    </row>
    <row r="55" spans="2:7" x14ac:dyDescent="0.3">
      <c r="B55" s="35">
        <v>2.8606158073049728</v>
      </c>
      <c r="C55" s="66">
        <v>4.4493427310718571E-2</v>
      </c>
      <c r="D55" s="35">
        <v>1.1324524916487562</v>
      </c>
    </row>
    <row r="57" spans="2:7" x14ac:dyDescent="0.3">
      <c r="B57" s="2" t="s">
        <v>416</v>
      </c>
      <c r="C57" s="57">
        <v>0.15</v>
      </c>
    </row>
    <row r="58" spans="2:7" x14ac:dyDescent="0.3">
      <c r="B58" s="2" t="s">
        <v>415</v>
      </c>
      <c r="C58" s="57">
        <v>1</v>
      </c>
    </row>
    <row r="60" spans="2:7" x14ac:dyDescent="0.3">
      <c r="B60" t="s">
        <v>417</v>
      </c>
    </row>
    <row r="62" spans="2:7" x14ac:dyDescent="0.3">
      <c r="B62" s="2" t="s">
        <v>378</v>
      </c>
      <c r="C62" s="2" t="s">
        <v>379</v>
      </c>
      <c r="F62" s="2" t="s">
        <v>380</v>
      </c>
      <c r="G62" s="2" t="s">
        <v>381</v>
      </c>
    </row>
    <row r="63" spans="2:7" x14ac:dyDescent="0.3">
      <c r="B63">
        <f>C57</f>
        <v>0.15</v>
      </c>
      <c r="C63" s="67">
        <f>B55*C57+C55</f>
        <v>0.47358579840646448</v>
      </c>
      <c r="D63" s="67"/>
      <c r="F63">
        <f>C58</f>
        <v>1</v>
      </c>
      <c r="G63" s="67">
        <f>B55*C58+C55</f>
        <v>2.9051092346156913</v>
      </c>
    </row>
  </sheetData>
  <hyperlinks>
    <hyperlink ref="C25" r:id="rId1" xr:uid="{ECB6E985-7549-44F6-835E-487F4744AB4B}"/>
    <hyperlink ref="C26" r:id="rId2" xr:uid="{5526F235-0B3D-4E86-9294-323D220FABF8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5E2F-D220-4DE5-87F6-B2C40C636755}">
  <sheetPr>
    <tabColor rgb="FF7030A0"/>
  </sheetPr>
  <dimension ref="A1:K63"/>
  <sheetViews>
    <sheetView topLeftCell="A43" workbookViewId="0">
      <selection activeCell="G63" sqref="G63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11" x14ac:dyDescent="0.3">
      <c r="B2" s="17" t="s">
        <v>199</v>
      </c>
      <c r="C2" s="7">
        <v>11.5</v>
      </c>
      <c r="D2" s="9">
        <v>4.88</v>
      </c>
      <c r="E2" s="6" t="s">
        <v>184</v>
      </c>
      <c r="F2" s="9">
        <f t="shared" ref="F2:F21" si="0">$C2/$D2</f>
        <v>2.3565573770491803</v>
      </c>
      <c r="G2" s="9" t="s">
        <v>15</v>
      </c>
    </row>
    <row r="3" spans="2:11" x14ac:dyDescent="0.3">
      <c r="B3" s="16" t="s">
        <v>200</v>
      </c>
      <c r="C3" s="26">
        <v>54.9</v>
      </c>
      <c r="D3" s="18">
        <v>3.04</v>
      </c>
      <c r="E3" s="19" t="s">
        <v>210</v>
      </c>
      <c r="F3" s="18">
        <f t="shared" si="0"/>
        <v>18.059210526315788</v>
      </c>
      <c r="G3" s="18" t="s">
        <v>16</v>
      </c>
    </row>
    <row r="4" spans="2:11" x14ac:dyDescent="0.3">
      <c r="B4" s="17" t="s">
        <v>199</v>
      </c>
      <c r="C4" s="7">
        <v>12.9</v>
      </c>
      <c r="D4" s="9">
        <v>5.1100000000000003</v>
      </c>
      <c r="E4" s="6" t="s">
        <v>184</v>
      </c>
      <c r="F4" s="9">
        <f t="shared" si="0"/>
        <v>2.5244618395303324</v>
      </c>
      <c r="G4" s="9" t="s">
        <v>15</v>
      </c>
    </row>
    <row r="5" spans="2:11" x14ac:dyDescent="0.3">
      <c r="B5" s="16" t="s">
        <v>200</v>
      </c>
      <c r="C5" s="26">
        <v>61.4</v>
      </c>
      <c r="D5" s="18">
        <v>2.96</v>
      </c>
      <c r="E5" s="19" t="s">
        <v>210</v>
      </c>
      <c r="F5" s="18">
        <f t="shared" si="0"/>
        <v>20.743243243243242</v>
      </c>
      <c r="G5" s="18" t="s">
        <v>16</v>
      </c>
    </row>
    <row r="6" spans="2:11" x14ac:dyDescent="0.3">
      <c r="B6" s="17" t="s">
        <v>199</v>
      </c>
      <c r="C6" s="7">
        <v>14.3</v>
      </c>
      <c r="D6" s="9">
        <v>4.75</v>
      </c>
      <c r="E6" s="6" t="s">
        <v>184</v>
      </c>
      <c r="F6" s="9">
        <f t="shared" si="0"/>
        <v>3.0105263157894737</v>
      </c>
      <c r="G6" s="9" t="s">
        <v>15</v>
      </c>
    </row>
    <row r="7" spans="2:11" x14ac:dyDescent="0.3">
      <c r="B7" s="16" t="s">
        <v>200</v>
      </c>
      <c r="C7" s="26">
        <v>67.7</v>
      </c>
      <c r="D7" s="18">
        <v>2.84</v>
      </c>
      <c r="E7" s="19" t="s">
        <v>210</v>
      </c>
      <c r="F7" s="18">
        <f t="shared" si="0"/>
        <v>23.838028169014088</v>
      </c>
      <c r="G7" s="18" t="s">
        <v>16</v>
      </c>
    </row>
    <row r="8" spans="2:11" x14ac:dyDescent="0.3">
      <c r="B8" s="17" t="s">
        <v>199</v>
      </c>
      <c r="C8" s="7">
        <v>15.7</v>
      </c>
      <c r="D8" s="9">
        <v>4.6500000000000004</v>
      </c>
      <c r="E8" s="6" t="s">
        <v>184</v>
      </c>
      <c r="F8" s="9">
        <f t="shared" si="0"/>
        <v>3.376344086021505</v>
      </c>
      <c r="G8" s="9" t="s">
        <v>15</v>
      </c>
    </row>
    <row r="9" spans="2:11" x14ac:dyDescent="0.3">
      <c r="B9" s="16" t="s">
        <v>200</v>
      </c>
      <c r="C9" s="26">
        <v>74.5</v>
      </c>
      <c r="D9" s="18">
        <v>2.81</v>
      </c>
      <c r="E9" s="19" t="s">
        <v>210</v>
      </c>
      <c r="F9" s="18">
        <f t="shared" si="0"/>
        <v>26.512455516014235</v>
      </c>
      <c r="G9" s="18" t="s">
        <v>16</v>
      </c>
    </row>
    <row r="10" spans="2:11" x14ac:dyDescent="0.3">
      <c r="B10" s="17" t="s">
        <v>199</v>
      </c>
      <c r="C10" s="7">
        <v>18.8</v>
      </c>
      <c r="D10" s="9">
        <v>6.09</v>
      </c>
      <c r="E10" s="6" t="s">
        <v>184</v>
      </c>
      <c r="F10" s="9">
        <f t="shared" si="0"/>
        <v>3.0870279146141217</v>
      </c>
      <c r="G10" s="9" t="s">
        <v>15</v>
      </c>
      <c r="H10" s="2" t="s">
        <v>396</v>
      </c>
      <c r="I10" s="2" t="s">
        <v>411</v>
      </c>
      <c r="J10" s="2" t="s">
        <v>397</v>
      </c>
      <c r="K10" s="2" t="s">
        <v>410</v>
      </c>
    </row>
    <row r="11" spans="2:11" x14ac:dyDescent="0.3">
      <c r="B11" s="16" t="s">
        <v>200</v>
      </c>
      <c r="C11" s="26">
        <v>89.2</v>
      </c>
      <c r="D11" s="18">
        <v>2.92</v>
      </c>
      <c r="E11" s="19" t="s">
        <v>210</v>
      </c>
      <c r="F11" s="18">
        <f t="shared" si="0"/>
        <v>30.547945205479454</v>
      </c>
      <c r="G11" s="18" t="s">
        <v>16</v>
      </c>
      <c r="H11" s="18">
        <f>I11/D10</f>
        <v>2.6769238699036131</v>
      </c>
      <c r="I11" s="18">
        <f>K11*C10/C11</f>
        <v>16.302466367713002</v>
      </c>
      <c r="J11" s="18">
        <f>K11/D11</f>
        <v>26.489726027397261</v>
      </c>
      <c r="K11" s="18">
        <v>77.349999999999994</v>
      </c>
    </row>
    <row r="12" spans="2:11" x14ac:dyDescent="0.3">
      <c r="B12" s="17" t="s">
        <v>199</v>
      </c>
      <c r="C12" s="7">
        <v>19.399999999999999</v>
      </c>
      <c r="D12" s="9">
        <v>6.07</v>
      </c>
      <c r="E12" s="6" t="s">
        <v>184</v>
      </c>
      <c r="F12" s="9">
        <f t="shared" si="0"/>
        <v>3.1960461285008233</v>
      </c>
      <c r="G12" s="9" t="s">
        <v>15</v>
      </c>
    </row>
    <row r="13" spans="2:11" x14ac:dyDescent="0.3">
      <c r="B13" s="16" t="s">
        <v>200</v>
      </c>
      <c r="C13" s="68">
        <v>92.1</v>
      </c>
      <c r="D13" s="68">
        <v>2.88</v>
      </c>
      <c r="E13" s="19" t="s">
        <v>210</v>
      </c>
      <c r="F13" s="18">
        <f t="shared" si="0"/>
        <v>31.979166666666664</v>
      </c>
      <c r="G13" s="18" t="s">
        <v>16</v>
      </c>
    </row>
    <row r="14" spans="2:11" x14ac:dyDescent="0.3">
      <c r="B14" s="17" t="s">
        <v>199</v>
      </c>
      <c r="C14" s="7">
        <v>21.5</v>
      </c>
      <c r="D14" s="9">
        <v>5.67</v>
      </c>
      <c r="E14" s="6" t="s">
        <v>184</v>
      </c>
      <c r="F14" s="9">
        <f t="shared" si="0"/>
        <v>3.7918871252204585</v>
      </c>
      <c r="G14" s="9" t="s">
        <v>15</v>
      </c>
    </row>
    <row r="15" spans="2:11" x14ac:dyDescent="0.3">
      <c r="B15" s="16" t="s">
        <v>200</v>
      </c>
      <c r="C15" s="26">
        <v>102.1</v>
      </c>
      <c r="D15" s="18">
        <v>2.98</v>
      </c>
      <c r="E15" s="19" t="s">
        <v>210</v>
      </c>
      <c r="F15" s="18">
        <f t="shared" si="0"/>
        <v>34.261744966442954</v>
      </c>
      <c r="G15" s="18" t="s">
        <v>16</v>
      </c>
    </row>
    <row r="16" spans="2:11" x14ac:dyDescent="0.3">
      <c r="B16" s="17" t="s">
        <v>199</v>
      </c>
      <c r="C16" s="7">
        <v>22.8</v>
      </c>
      <c r="D16" s="9">
        <v>5.47</v>
      </c>
      <c r="E16" s="6" t="s">
        <v>184</v>
      </c>
      <c r="F16" s="9">
        <f t="shared" si="0"/>
        <v>4.1681901279707496</v>
      </c>
      <c r="G16" s="9" t="s">
        <v>15</v>
      </c>
    </row>
    <row r="17" spans="1:11" x14ac:dyDescent="0.3">
      <c r="B17" s="16" t="s">
        <v>200</v>
      </c>
      <c r="C17" s="26">
        <v>108.3</v>
      </c>
      <c r="D17" s="18">
        <v>3.04</v>
      </c>
      <c r="E17" s="19" t="s">
        <v>210</v>
      </c>
      <c r="F17" s="18">
        <f t="shared" si="0"/>
        <v>35.625</v>
      </c>
      <c r="G17" s="18" t="s">
        <v>16</v>
      </c>
    </row>
    <row r="18" spans="1:11" x14ac:dyDescent="0.3">
      <c r="B18" s="17" t="s">
        <v>199</v>
      </c>
      <c r="C18" s="7">
        <v>23.4</v>
      </c>
      <c r="D18" s="9">
        <v>5.43</v>
      </c>
      <c r="E18" s="6" t="s">
        <v>184</v>
      </c>
      <c r="F18" s="9">
        <f t="shared" si="0"/>
        <v>4.3093922651933703</v>
      </c>
      <c r="G18" s="9" t="s">
        <v>15</v>
      </c>
      <c r="H18" s="2" t="s">
        <v>396</v>
      </c>
      <c r="I18" s="2" t="s">
        <v>411</v>
      </c>
      <c r="J18" s="2" t="s">
        <v>397</v>
      </c>
      <c r="K18" s="2" t="s">
        <v>410</v>
      </c>
    </row>
    <row r="19" spans="1:11" x14ac:dyDescent="0.3">
      <c r="B19" s="16" t="s">
        <v>200</v>
      </c>
      <c r="C19" s="26">
        <v>111</v>
      </c>
      <c r="D19" s="18">
        <v>2.85</v>
      </c>
      <c r="E19" s="19" t="s">
        <v>210</v>
      </c>
      <c r="F19" s="18">
        <f t="shared" si="0"/>
        <v>38.94736842105263</v>
      </c>
      <c r="G19" s="18" t="s">
        <v>16</v>
      </c>
      <c r="H19" s="18">
        <f>I19/D18</f>
        <v>3.7507242048678515</v>
      </c>
      <c r="I19" s="18">
        <f>K19*C18/C19</f>
        <v>20.366432432432433</v>
      </c>
      <c r="J19" s="18">
        <f>K19/D19</f>
        <v>33.898245614035083</v>
      </c>
      <c r="K19" s="18">
        <v>96.61</v>
      </c>
    </row>
    <row r="20" spans="1:11" x14ac:dyDescent="0.3">
      <c r="B20" s="17" t="s">
        <v>199</v>
      </c>
      <c r="C20" s="7">
        <v>25.5</v>
      </c>
      <c r="D20" s="9">
        <v>5.58</v>
      </c>
      <c r="E20" s="6" t="s">
        <v>184</v>
      </c>
      <c r="F20" s="9">
        <f t="shared" si="0"/>
        <v>4.56989247311828</v>
      </c>
      <c r="G20" s="9" t="s">
        <v>15</v>
      </c>
    </row>
    <row r="21" spans="1:11" x14ac:dyDescent="0.3">
      <c r="B21" s="16" t="s">
        <v>200</v>
      </c>
      <c r="C21" s="26">
        <v>121.2</v>
      </c>
      <c r="D21" s="18">
        <v>2.92</v>
      </c>
      <c r="E21" s="19" t="s">
        <v>210</v>
      </c>
      <c r="F21" s="18">
        <f t="shared" si="0"/>
        <v>41.506849315068493</v>
      </c>
      <c r="G21" s="18" t="s">
        <v>16</v>
      </c>
    </row>
    <row r="24" spans="1:11" x14ac:dyDescent="0.3">
      <c r="B24" t="s">
        <v>1</v>
      </c>
      <c r="C24" t="s">
        <v>4</v>
      </c>
    </row>
    <row r="25" spans="1:11" x14ac:dyDescent="0.3">
      <c r="A25" t="s">
        <v>184</v>
      </c>
      <c r="B25" t="s">
        <v>183</v>
      </c>
      <c r="C25" s="4" t="s">
        <v>182</v>
      </c>
      <c r="D25" s="4"/>
      <c r="G25" t="s">
        <v>205</v>
      </c>
    </row>
    <row r="26" spans="1:11" x14ac:dyDescent="0.3">
      <c r="A26" t="s">
        <v>207</v>
      </c>
      <c r="B26" t="s">
        <v>208</v>
      </c>
      <c r="C26" s="4" t="s">
        <v>209</v>
      </c>
      <c r="D26" s="4"/>
    </row>
    <row r="27" spans="1:11" x14ac:dyDescent="0.3">
      <c r="C27" s="4"/>
    </row>
    <row r="28" spans="1:11" x14ac:dyDescent="0.3">
      <c r="C28" s="4"/>
    </row>
    <row r="29" spans="1:11" x14ac:dyDescent="0.3">
      <c r="B29" s="14"/>
      <c r="C29" s="4"/>
    </row>
    <row r="30" spans="1:11" x14ac:dyDescent="0.3">
      <c r="E30" s="10" t="s">
        <v>18</v>
      </c>
      <c r="F30" s="10" t="s">
        <v>18</v>
      </c>
      <c r="G30" s="10" t="s">
        <v>18</v>
      </c>
    </row>
    <row r="31" spans="1:11" x14ac:dyDescent="0.3">
      <c r="B31" s="2" t="s">
        <v>13</v>
      </c>
      <c r="C31" s="2" t="s">
        <v>12</v>
      </c>
      <c r="D31" s="2" t="s">
        <v>25</v>
      </c>
      <c r="E31" s="2" t="s">
        <v>17</v>
      </c>
      <c r="F31" s="2" t="s">
        <v>22</v>
      </c>
      <c r="G31" s="2" t="s">
        <v>23</v>
      </c>
    </row>
    <row r="32" spans="1:11" x14ac:dyDescent="0.3">
      <c r="B32" s="9" t="s">
        <v>15</v>
      </c>
      <c r="C32" s="9">
        <f>$C3</f>
        <v>54.9</v>
      </c>
      <c r="D32" s="9">
        <f t="shared" ref="D32:D51" si="1">$F2</f>
        <v>2.3565573770491803</v>
      </c>
      <c r="E32" s="9">
        <f t="shared" ref="E32:E51" si="2">$D32*$D2</f>
        <v>11.5</v>
      </c>
      <c r="F32" s="9">
        <f t="shared" ref="F32:F51" si="3">$B$54*$D32+$C$54*$C32+$D$54</f>
        <v>11.268646816714568</v>
      </c>
      <c r="G32" s="20">
        <f t="shared" ref="G32:G51" si="4">($E32-$F32)/$E32</f>
        <v>2.0117668111776666E-2</v>
      </c>
    </row>
    <row r="33" spans="2:7" x14ac:dyDescent="0.3">
      <c r="B33" s="18" t="s">
        <v>16</v>
      </c>
      <c r="C33" s="18">
        <f>$C3</f>
        <v>54.9</v>
      </c>
      <c r="D33" s="18">
        <f t="shared" si="1"/>
        <v>18.059210526315788</v>
      </c>
      <c r="E33" s="18">
        <f t="shared" si="2"/>
        <v>54.899999999999991</v>
      </c>
      <c r="F33" s="18">
        <f t="shared" si="3"/>
        <v>52.317474877115778</v>
      </c>
      <c r="G33" s="20">
        <f t="shared" si="4"/>
        <v>4.7040530471479304E-2</v>
      </c>
    </row>
    <row r="34" spans="2:7" x14ac:dyDescent="0.3">
      <c r="B34" s="9" t="s">
        <v>15</v>
      </c>
      <c r="C34" s="9">
        <f>$C5</f>
        <v>61.4</v>
      </c>
      <c r="D34" s="9">
        <f t="shared" si="1"/>
        <v>2.5244618395303324</v>
      </c>
      <c r="E34" s="9">
        <f t="shared" si="2"/>
        <v>12.9</v>
      </c>
      <c r="F34" s="9">
        <f t="shared" si="3"/>
        <v>12.623623880248946</v>
      </c>
      <c r="G34" s="20">
        <f t="shared" si="4"/>
        <v>2.1424505407058477E-2</v>
      </c>
    </row>
    <row r="35" spans="2:7" x14ac:dyDescent="0.3">
      <c r="B35" s="18" t="s">
        <v>16</v>
      </c>
      <c r="C35" s="18">
        <f>$C5</f>
        <v>61.4</v>
      </c>
      <c r="D35" s="18">
        <f t="shared" si="1"/>
        <v>20.743243243243242</v>
      </c>
      <c r="E35" s="18">
        <f t="shared" si="2"/>
        <v>61.4</v>
      </c>
      <c r="F35" s="18">
        <f t="shared" si="3"/>
        <v>60.249946527894956</v>
      </c>
      <c r="G35" s="20">
        <f t="shared" si="4"/>
        <v>1.8730512575000698E-2</v>
      </c>
    </row>
    <row r="36" spans="2:7" x14ac:dyDescent="0.3">
      <c r="B36" s="9" t="s">
        <v>15</v>
      </c>
      <c r="C36" s="9">
        <f>$C7</f>
        <v>67.7</v>
      </c>
      <c r="D36" s="9">
        <f t="shared" si="1"/>
        <v>3.0105263157894737</v>
      </c>
      <c r="E36" s="9">
        <f t="shared" si="2"/>
        <v>14.3</v>
      </c>
      <c r="F36" s="9">
        <f t="shared" si="3"/>
        <v>14.782127393349086</v>
      </c>
      <c r="G36" s="20">
        <f t="shared" si="4"/>
        <v>-3.3715202332103851E-2</v>
      </c>
    </row>
    <row r="37" spans="2:7" x14ac:dyDescent="0.3">
      <c r="B37" s="18" t="s">
        <v>16</v>
      </c>
      <c r="C37" s="18">
        <f>$C7</f>
        <v>67.7</v>
      </c>
      <c r="D37" s="18">
        <f t="shared" si="1"/>
        <v>23.838028169014088</v>
      </c>
      <c r="E37" s="18">
        <f t="shared" si="2"/>
        <v>67.7</v>
      </c>
      <c r="F37" s="18">
        <f t="shared" si="3"/>
        <v>69.227992966112822</v>
      </c>
      <c r="G37" s="20">
        <f t="shared" si="4"/>
        <v>-2.2570058583645778E-2</v>
      </c>
    </row>
    <row r="38" spans="2:7" x14ac:dyDescent="0.3">
      <c r="B38" s="9" t="s">
        <v>15</v>
      </c>
      <c r="C38" s="9">
        <f>$C9</f>
        <v>74.5</v>
      </c>
      <c r="D38" s="9">
        <f t="shared" si="1"/>
        <v>3.376344086021505</v>
      </c>
      <c r="E38" s="9">
        <f t="shared" si="2"/>
        <v>15.7</v>
      </c>
      <c r="F38" s="9">
        <f t="shared" si="3"/>
        <v>16.696755562235278</v>
      </c>
      <c r="G38" s="20">
        <f t="shared" si="4"/>
        <v>-6.3487615428998667E-2</v>
      </c>
    </row>
    <row r="39" spans="2:7" x14ac:dyDescent="0.3">
      <c r="B39" s="18" t="s">
        <v>16</v>
      </c>
      <c r="C39" s="18">
        <f>$C9</f>
        <v>74.5</v>
      </c>
      <c r="D39" s="18">
        <f t="shared" si="1"/>
        <v>26.512455516014235</v>
      </c>
      <c r="E39" s="18">
        <f t="shared" si="2"/>
        <v>74.5</v>
      </c>
      <c r="F39" s="18">
        <f t="shared" si="3"/>
        <v>77.17763424230796</v>
      </c>
      <c r="G39" s="20">
        <f t="shared" si="4"/>
        <v>-3.5941399225610196E-2</v>
      </c>
    </row>
    <row r="40" spans="2:7" x14ac:dyDescent="0.3">
      <c r="B40" s="9" t="s">
        <v>15</v>
      </c>
      <c r="C40" s="9">
        <f>$C11</f>
        <v>89.2</v>
      </c>
      <c r="D40" s="9">
        <f t="shared" si="1"/>
        <v>3.0870279146141217</v>
      </c>
      <c r="E40" s="9">
        <f t="shared" si="2"/>
        <v>18.8</v>
      </c>
      <c r="F40" s="9">
        <f t="shared" si="3"/>
        <v>18.012132316587341</v>
      </c>
      <c r="G40" s="20">
        <f t="shared" si="4"/>
        <v>4.1907855500673406E-2</v>
      </c>
    </row>
    <row r="41" spans="2:7" x14ac:dyDescent="0.3">
      <c r="B41" s="18" t="s">
        <v>16</v>
      </c>
      <c r="C41" s="18">
        <f>$C11</f>
        <v>89.2</v>
      </c>
      <c r="D41" s="18">
        <f t="shared" si="1"/>
        <v>30.547945205479454</v>
      </c>
      <c r="E41" s="18">
        <f t="shared" si="2"/>
        <v>89.2</v>
      </c>
      <c r="F41" s="18">
        <f t="shared" si="3"/>
        <v>89.798629893672086</v>
      </c>
      <c r="G41" s="20">
        <f t="shared" si="4"/>
        <v>-6.7110974626915119E-3</v>
      </c>
    </row>
    <row r="42" spans="2:7" x14ac:dyDescent="0.3">
      <c r="B42" s="9" t="s">
        <v>15</v>
      </c>
      <c r="C42" s="9">
        <f>$C13</f>
        <v>92.1</v>
      </c>
      <c r="D42" s="9">
        <f t="shared" si="1"/>
        <v>3.1960461285008233</v>
      </c>
      <c r="E42" s="9">
        <f t="shared" si="2"/>
        <v>19.399999999999999</v>
      </c>
      <c r="F42" s="9">
        <f t="shared" si="3"/>
        <v>18.705820767967278</v>
      </c>
      <c r="G42" s="20">
        <f t="shared" si="4"/>
        <v>3.5782434640861872E-2</v>
      </c>
    </row>
    <row r="43" spans="2:7" x14ac:dyDescent="0.3">
      <c r="B43" s="18" t="s">
        <v>16</v>
      </c>
      <c r="C43" s="18">
        <f>$C13</f>
        <v>92.1</v>
      </c>
      <c r="D43" s="18">
        <f t="shared" si="1"/>
        <v>31.979166666666664</v>
      </c>
      <c r="E43" s="18">
        <f t="shared" si="2"/>
        <v>92.1</v>
      </c>
      <c r="F43" s="18">
        <f t="shared" si="3"/>
        <v>93.948733846522714</v>
      </c>
      <c r="G43" s="20">
        <f t="shared" si="4"/>
        <v>-2.0073114511647339E-2</v>
      </c>
    </row>
    <row r="44" spans="2:7" x14ac:dyDescent="0.3">
      <c r="B44" s="9" t="s">
        <v>15</v>
      </c>
      <c r="C44" s="9">
        <f>$C15</f>
        <v>102.1</v>
      </c>
      <c r="D44" s="9">
        <f t="shared" si="1"/>
        <v>3.7918871252204585</v>
      </c>
      <c r="E44" s="9">
        <f t="shared" si="2"/>
        <v>21.5</v>
      </c>
      <c r="F44" s="9">
        <f t="shared" si="3"/>
        <v>21.672739960320168</v>
      </c>
      <c r="G44" s="20">
        <f t="shared" si="4"/>
        <v>-8.0344167590775933E-3</v>
      </c>
    </row>
    <row r="45" spans="2:7" x14ac:dyDescent="0.3">
      <c r="B45" s="18" t="s">
        <v>16</v>
      </c>
      <c r="C45" s="18">
        <f>$C15</f>
        <v>102.1</v>
      </c>
      <c r="D45" s="18">
        <f t="shared" si="1"/>
        <v>34.261744966442954</v>
      </c>
      <c r="E45" s="18">
        <f t="shared" si="2"/>
        <v>102.10000000000001</v>
      </c>
      <c r="F45" s="18">
        <f t="shared" si="3"/>
        <v>101.32500914437369</v>
      </c>
      <c r="G45" s="20">
        <f t="shared" si="4"/>
        <v>7.5905078905613476E-3</v>
      </c>
    </row>
    <row r="46" spans="2:7" x14ac:dyDescent="0.3">
      <c r="B46" s="9" t="s">
        <v>15</v>
      </c>
      <c r="C46" s="9">
        <f>$C17</f>
        <v>108.3</v>
      </c>
      <c r="D46" s="9">
        <f t="shared" si="1"/>
        <v>4.1681901279707496</v>
      </c>
      <c r="E46" s="9">
        <f t="shared" si="2"/>
        <v>22.8</v>
      </c>
      <c r="F46" s="9">
        <f t="shared" si="3"/>
        <v>23.530219239329064</v>
      </c>
      <c r="G46" s="20">
        <f t="shared" si="4"/>
        <v>-3.2027159619695753E-2</v>
      </c>
    </row>
    <row r="47" spans="2:7" x14ac:dyDescent="0.3">
      <c r="B47" s="18" t="s">
        <v>16</v>
      </c>
      <c r="C47" s="18">
        <f>$C17</f>
        <v>108.3</v>
      </c>
      <c r="D47" s="18">
        <f t="shared" si="1"/>
        <v>35.625</v>
      </c>
      <c r="E47" s="18">
        <f t="shared" si="2"/>
        <v>108.3</v>
      </c>
      <c r="F47" s="18">
        <f t="shared" si="3"/>
        <v>105.76251256524824</v>
      </c>
      <c r="G47" s="20">
        <f t="shared" si="4"/>
        <v>2.3430170219314435E-2</v>
      </c>
    </row>
    <row r="48" spans="2:7" x14ac:dyDescent="0.3">
      <c r="B48" s="9" t="s">
        <v>15</v>
      </c>
      <c r="C48" s="9">
        <f>$C19</f>
        <v>111</v>
      </c>
      <c r="D48" s="9">
        <f t="shared" si="1"/>
        <v>4.3093922651933703</v>
      </c>
      <c r="E48" s="9">
        <f t="shared" si="2"/>
        <v>23.4</v>
      </c>
      <c r="F48" s="9">
        <f t="shared" si="3"/>
        <v>24.279854527176667</v>
      </c>
      <c r="G48" s="20">
        <f t="shared" si="4"/>
        <v>-3.7600620819515748E-2</v>
      </c>
    </row>
    <row r="49" spans="2:7" x14ac:dyDescent="0.3">
      <c r="B49" s="18" t="s">
        <v>16</v>
      </c>
      <c r="C49" s="18">
        <f>$C19</f>
        <v>111</v>
      </c>
      <c r="D49" s="18">
        <f t="shared" si="1"/>
        <v>38.94736842105263</v>
      </c>
      <c r="E49" s="18">
        <f t="shared" si="2"/>
        <v>111</v>
      </c>
      <c r="F49" s="18">
        <f t="shared" si="3"/>
        <v>114.82814048027694</v>
      </c>
      <c r="G49" s="20">
        <f t="shared" si="4"/>
        <v>-3.448775207456705E-2</v>
      </c>
    </row>
    <row r="50" spans="2:7" x14ac:dyDescent="0.3">
      <c r="B50" s="9" t="s">
        <v>15</v>
      </c>
      <c r="C50" s="9">
        <f>$C21</f>
        <v>121.2</v>
      </c>
      <c r="D50" s="9">
        <f t="shared" si="1"/>
        <v>4.56989247311828</v>
      </c>
      <c r="E50" s="9">
        <f t="shared" si="2"/>
        <v>25.500000000000004</v>
      </c>
      <c r="F50" s="9">
        <f t="shared" si="3"/>
        <v>26.398334434349174</v>
      </c>
      <c r="G50" s="20">
        <f t="shared" si="4"/>
        <v>-3.5228801347026273E-2</v>
      </c>
    </row>
    <row r="51" spans="2:7" x14ac:dyDescent="0.3">
      <c r="B51" s="18" t="s">
        <v>16</v>
      </c>
      <c r="C51" s="18">
        <f>$C21</f>
        <v>121.2</v>
      </c>
      <c r="D51" s="18">
        <f t="shared" si="1"/>
        <v>41.506849315068493</v>
      </c>
      <c r="E51" s="18">
        <f t="shared" si="2"/>
        <v>121.2</v>
      </c>
      <c r="F51" s="18">
        <f t="shared" si="3"/>
        <v>122.95646229126419</v>
      </c>
      <c r="G51" s="20">
        <f t="shared" si="4"/>
        <v>-1.4492263129242452E-2</v>
      </c>
    </row>
    <row r="53" spans="2:7" x14ac:dyDescent="0.3">
      <c r="B53" t="s">
        <v>19</v>
      </c>
      <c r="C53" t="s">
        <v>20</v>
      </c>
      <c r="D53" t="s">
        <v>21</v>
      </c>
    </row>
    <row r="54" spans="2:7" x14ac:dyDescent="0.3">
      <c r="B54" cm="1">
        <f t="array" ref="B54:D54">LINEST(E32:E47,C32:D47)</f>
        <v>2.6141332722692403</v>
      </c>
      <c r="C54">
        <v>0.14093114178460234</v>
      </c>
      <c r="D54">
        <v>-2.6288279146158899</v>
      </c>
    </row>
    <row r="55" spans="2:7" x14ac:dyDescent="0.3">
      <c r="B55" s="35">
        <v>2.6141332722692403</v>
      </c>
      <c r="C55" s="67">
        <v>0.14093114178460234</v>
      </c>
      <c r="D55" s="35">
        <v>-2.6288279146158899</v>
      </c>
    </row>
    <row r="57" spans="2:7" x14ac:dyDescent="0.3">
      <c r="B57" s="2" t="s">
        <v>416</v>
      </c>
      <c r="C57" s="57">
        <v>0.15</v>
      </c>
    </row>
    <row r="58" spans="2:7" x14ac:dyDescent="0.3">
      <c r="B58" s="2" t="s">
        <v>415</v>
      </c>
      <c r="C58" s="57">
        <v>1</v>
      </c>
    </row>
    <row r="60" spans="2:7" x14ac:dyDescent="0.3">
      <c r="B60" t="s">
        <v>417</v>
      </c>
    </row>
    <row r="62" spans="2:7" x14ac:dyDescent="0.3">
      <c r="B62" s="2" t="s">
        <v>378</v>
      </c>
      <c r="C62" s="2" t="s">
        <v>379</v>
      </c>
      <c r="F62" s="2" t="s">
        <v>380</v>
      </c>
      <c r="G62" s="2" t="s">
        <v>381</v>
      </c>
    </row>
    <row r="63" spans="2:7" x14ac:dyDescent="0.3">
      <c r="B63">
        <f>C57</f>
        <v>0.15</v>
      </c>
      <c r="C63" s="67">
        <f>B55*C57+C55</f>
        <v>0.53305113262498838</v>
      </c>
      <c r="D63" s="67"/>
      <c r="F63">
        <f>C58</f>
        <v>1</v>
      </c>
      <c r="G63" s="35">
        <f>B55*C58+C55</f>
        <v>2.7550644140538427</v>
      </c>
    </row>
  </sheetData>
  <hyperlinks>
    <hyperlink ref="C25" r:id="rId1" xr:uid="{0AF5086D-4066-47F2-90DB-AFE952F6E3B8}"/>
    <hyperlink ref="C26" r:id="rId2" xr:uid="{F57B1E64-B03F-482B-9C85-9810A9E440EB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D86C-6C9E-4C41-AB50-35FDD21FE8FE}">
  <sheetPr>
    <tabColor theme="9" tint="0.59999389629810485"/>
  </sheetPr>
  <dimension ref="B2:G55"/>
  <sheetViews>
    <sheetView workbookViewId="0">
      <selection activeCell="D52" sqref="D52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2" spans="2:7" x14ac:dyDescent="0.3">
      <c r="B2" t="s">
        <v>278</v>
      </c>
    </row>
    <row r="4" spans="2:7" x14ac:dyDescent="0.3">
      <c r="B4" s="10" t="s">
        <v>279</v>
      </c>
      <c r="C4" s="2" t="s">
        <v>284</v>
      </c>
      <c r="D4" s="2" t="s">
        <v>285</v>
      </c>
      <c r="E4" s="2" t="s">
        <v>286</v>
      </c>
      <c r="F4" s="2" t="s">
        <v>287</v>
      </c>
      <c r="G4" s="2" t="s">
        <v>288</v>
      </c>
    </row>
    <row r="5" spans="2:7" x14ac:dyDescent="0.3">
      <c r="B5" s="2" t="s">
        <v>280</v>
      </c>
      <c r="C5">
        <v>23</v>
      </c>
      <c r="D5">
        <v>20</v>
      </c>
      <c r="E5">
        <v>25</v>
      </c>
      <c r="F5" s="8">
        <f>$C5/$D5</f>
        <v>1.1499999999999999</v>
      </c>
    </row>
    <row r="6" spans="2:7" x14ac:dyDescent="0.3">
      <c r="B6" s="2" t="s">
        <v>281</v>
      </c>
      <c r="C6">
        <v>48</v>
      </c>
      <c r="D6">
        <v>45</v>
      </c>
      <c r="E6">
        <v>50</v>
      </c>
      <c r="F6" s="8">
        <f t="shared" ref="F6:F8" si="0">$C6/$D6</f>
        <v>1.0666666666666667</v>
      </c>
    </row>
    <row r="7" spans="2:7" x14ac:dyDescent="0.3">
      <c r="B7" s="2" t="s">
        <v>282</v>
      </c>
      <c r="C7">
        <v>73</v>
      </c>
      <c r="D7">
        <v>70</v>
      </c>
      <c r="E7">
        <v>75</v>
      </c>
      <c r="F7" s="8">
        <f t="shared" si="0"/>
        <v>1.0428571428571429</v>
      </c>
    </row>
    <row r="8" spans="2:7" x14ac:dyDescent="0.3">
      <c r="B8" s="2" t="s">
        <v>283</v>
      </c>
      <c r="C8">
        <v>100</v>
      </c>
      <c r="D8">
        <v>100</v>
      </c>
      <c r="E8">
        <v>100</v>
      </c>
      <c r="F8" s="8">
        <f t="shared" si="0"/>
        <v>1</v>
      </c>
    </row>
    <row r="12" spans="2:7" x14ac:dyDescent="0.3">
      <c r="B12" t="s">
        <v>301</v>
      </c>
    </row>
    <row r="13" spans="2:7" x14ac:dyDescent="0.3">
      <c r="B13" s="10" t="s">
        <v>312</v>
      </c>
    </row>
    <row r="14" spans="2:7" x14ac:dyDescent="0.3">
      <c r="B14" s="2" t="s">
        <v>286</v>
      </c>
      <c r="C14" s="2" t="s">
        <v>288</v>
      </c>
      <c r="D14" s="2" t="s">
        <v>294</v>
      </c>
      <c r="E14" s="2" t="s">
        <v>295</v>
      </c>
    </row>
    <row r="15" spans="2:7" x14ac:dyDescent="0.3">
      <c r="B15" s="61"/>
      <c r="C15" s="62">
        <v>3.91</v>
      </c>
      <c r="D15">
        <v>10.4</v>
      </c>
      <c r="E15" s="9">
        <f>$D15/$C15</f>
        <v>2.659846547314578</v>
      </c>
    </row>
    <row r="16" spans="2:7" x14ac:dyDescent="0.3">
      <c r="B16" s="57">
        <v>0.48</v>
      </c>
      <c r="C16" s="62">
        <f>$F$6*$C17</f>
        <v>3.4038857142857144</v>
      </c>
      <c r="D16" s="9">
        <f>$B16*$D18</f>
        <v>14.399999999999999</v>
      </c>
      <c r="E16" s="9">
        <f t="shared" ref="E16:E18" si="1">$D16/$C16</f>
        <v>4.2304593070104746</v>
      </c>
    </row>
    <row r="17" spans="2:5" x14ac:dyDescent="0.3">
      <c r="B17" s="57">
        <v>0.73</v>
      </c>
      <c r="C17" s="62">
        <f>$F$7*$C18</f>
        <v>3.1911428571428573</v>
      </c>
      <c r="D17">
        <f>$B17*$D18</f>
        <v>21.9</v>
      </c>
      <c r="E17" s="9">
        <f t="shared" si="1"/>
        <v>6.8627450980392153</v>
      </c>
    </row>
    <row r="18" spans="2:5" x14ac:dyDescent="0.3">
      <c r="B18" s="57">
        <v>1</v>
      </c>
      <c r="C18" s="62">
        <v>3.06</v>
      </c>
      <c r="D18">
        <v>30</v>
      </c>
      <c r="E18" s="9">
        <f t="shared" si="1"/>
        <v>9.8039215686274517</v>
      </c>
    </row>
    <row r="31" spans="2:5" x14ac:dyDescent="0.3">
      <c r="B31" t="s">
        <v>306</v>
      </c>
    </row>
    <row r="32" spans="2:5" x14ac:dyDescent="0.3">
      <c r="B32" s="10" t="s">
        <v>299</v>
      </c>
    </row>
    <row r="33" spans="2:5" x14ac:dyDescent="0.3">
      <c r="B33" s="2" t="s">
        <v>286</v>
      </c>
      <c r="C33" s="2" t="s">
        <v>288</v>
      </c>
      <c r="D33" s="2" t="s">
        <v>294</v>
      </c>
      <c r="E33" s="2" t="s">
        <v>295</v>
      </c>
    </row>
    <row r="34" spans="2:5" x14ac:dyDescent="0.3">
      <c r="B34" s="63"/>
      <c r="C34" s="62">
        <v>4.57</v>
      </c>
      <c r="D34" s="9">
        <v>23.7</v>
      </c>
      <c r="E34" s="9">
        <f>$D34/$C34</f>
        <v>5.185995623632385</v>
      </c>
    </row>
    <row r="35" spans="2:5" x14ac:dyDescent="0.3">
      <c r="B35" s="57">
        <v>0.48</v>
      </c>
      <c r="C35" s="62">
        <f>$C36*1.043</f>
        <v>3.4158458599999997</v>
      </c>
      <c r="D35" s="9">
        <f>$B35*$D37</f>
        <v>32.64</v>
      </c>
      <c r="E35" s="9">
        <f>$D35/$C35</f>
        <v>9.5554662996415196</v>
      </c>
    </row>
    <row r="36" spans="2:5" x14ac:dyDescent="0.3">
      <c r="B36" s="57">
        <v>0.73</v>
      </c>
      <c r="C36" s="62">
        <f>$C37*1.043</f>
        <v>3.27502</v>
      </c>
      <c r="D36">
        <f>$B36*$D37</f>
        <v>49.64</v>
      </c>
      <c r="E36" s="9">
        <f>$D36/$C36</f>
        <v>15.157159345591783</v>
      </c>
    </row>
    <row r="37" spans="2:5" x14ac:dyDescent="0.3">
      <c r="B37" s="57">
        <v>1</v>
      </c>
      <c r="C37" s="62">
        <v>3.14</v>
      </c>
      <c r="D37">
        <v>68</v>
      </c>
      <c r="E37" s="9">
        <f>$D37/$C37</f>
        <v>21.656050955414013</v>
      </c>
    </row>
    <row r="49" spans="2:5" x14ac:dyDescent="0.3">
      <c r="B49" t="s">
        <v>307</v>
      </c>
    </row>
    <row r="50" spans="2:5" x14ac:dyDescent="0.3">
      <c r="B50" s="10" t="s">
        <v>300</v>
      </c>
    </row>
    <row r="51" spans="2:5" x14ac:dyDescent="0.3">
      <c r="B51" s="2" t="s">
        <v>286</v>
      </c>
      <c r="C51" s="2" t="s">
        <v>288</v>
      </c>
      <c r="D51" s="2" t="s">
        <v>294</v>
      </c>
      <c r="E51" s="2" t="s">
        <v>295</v>
      </c>
    </row>
    <row r="52" spans="2:5" x14ac:dyDescent="0.3">
      <c r="B52" s="63"/>
      <c r="C52" s="62">
        <v>4.4800000000000004</v>
      </c>
      <c r="D52">
        <v>41.6</v>
      </c>
      <c r="E52" s="9">
        <f>$D52/$C52</f>
        <v>9.2857142857142847</v>
      </c>
    </row>
    <row r="53" spans="2:5" x14ac:dyDescent="0.3">
      <c r="B53" s="57">
        <v>0.48</v>
      </c>
      <c r="C53" s="62">
        <f>$C54*1.043</f>
        <v>3.2744254899999992</v>
      </c>
      <c r="D53" s="9">
        <f>$B53*$D55</f>
        <v>57.599999999999994</v>
      </c>
      <c r="E53" s="9">
        <f>$D53/$C53</f>
        <v>17.590872101352964</v>
      </c>
    </row>
    <row r="54" spans="2:5" x14ac:dyDescent="0.3">
      <c r="B54" s="57">
        <v>0.73</v>
      </c>
      <c r="C54" s="62">
        <f>$C55*1.043</f>
        <v>3.1394299999999995</v>
      </c>
      <c r="D54">
        <f>$B54*$D55</f>
        <v>87.6</v>
      </c>
      <c r="E54" s="9">
        <f>$D54/$C54</f>
        <v>27.903154394269027</v>
      </c>
    </row>
    <row r="55" spans="2:5" x14ac:dyDescent="0.3">
      <c r="B55" s="57">
        <v>1</v>
      </c>
      <c r="C55" s="62">
        <v>3.01</v>
      </c>
      <c r="D55">
        <v>120</v>
      </c>
      <c r="E55" s="9">
        <f>$D55/$C55</f>
        <v>39.867109634551497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1978-EA6E-4BFD-81C5-7C3D05612891}">
  <sheetPr>
    <tabColor theme="9" tint="0.59999389629810485"/>
  </sheetPr>
  <dimension ref="B6:E48"/>
  <sheetViews>
    <sheetView workbookViewId="0">
      <selection activeCell="C46" sqref="C46:E48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6" spans="2:5" x14ac:dyDescent="0.3">
      <c r="B6" s="10" t="s">
        <v>312</v>
      </c>
    </row>
    <row r="7" spans="2:5" x14ac:dyDescent="0.3">
      <c r="B7" s="2" t="s">
        <v>286</v>
      </c>
      <c r="C7" s="2" t="s">
        <v>288</v>
      </c>
      <c r="D7" s="2" t="s">
        <v>294</v>
      </c>
      <c r="E7" s="2" t="s">
        <v>295</v>
      </c>
    </row>
    <row r="8" spans="2:5" x14ac:dyDescent="0.3">
      <c r="B8" s="61"/>
      <c r="C8" s="64">
        <v>3.06</v>
      </c>
      <c r="D8" s="9">
        <v>52</v>
      </c>
      <c r="E8" s="9">
        <f>$D8/$C8</f>
        <v>16.993464052287582</v>
      </c>
    </row>
    <row r="9" spans="2:5" x14ac:dyDescent="0.3">
      <c r="B9" s="57"/>
      <c r="C9" s="64">
        <v>3.31</v>
      </c>
      <c r="D9" s="9">
        <v>28.2</v>
      </c>
      <c r="E9" s="9">
        <f>$D9/$C9</f>
        <v>8.5196374622356483</v>
      </c>
    </row>
    <row r="10" spans="2:5" x14ac:dyDescent="0.3">
      <c r="B10" s="57"/>
      <c r="C10" s="64">
        <v>4.1100000000000003</v>
      </c>
      <c r="D10" s="9">
        <v>18.100000000000001</v>
      </c>
      <c r="E10" s="9">
        <f>$D10/$C10</f>
        <v>4.4038929440389296</v>
      </c>
    </row>
    <row r="11" spans="2:5" x14ac:dyDescent="0.3">
      <c r="B11" s="57"/>
      <c r="C11" s="9">
        <v>3.91</v>
      </c>
      <c r="D11" s="9">
        <v>8.1</v>
      </c>
      <c r="E11" s="9">
        <f>$D11/$C11</f>
        <v>2.0716112531969308</v>
      </c>
    </row>
    <row r="25" spans="2:5" x14ac:dyDescent="0.3">
      <c r="B25" s="10" t="s">
        <v>299</v>
      </c>
    </row>
    <row r="26" spans="2:5" x14ac:dyDescent="0.3">
      <c r="B26" s="2" t="s">
        <v>286</v>
      </c>
      <c r="C26" s="2" t="s">
        <v>288</v>
      </c>
      <c r="D26" s="2" t="s">
        <v>294</v>
      </c>
      <c r="E26" s="2" t="s">
        <v>295</v>
      </c>
    </row>
    <row r="27" spans="2:5" x14ac:dyDescent="0.3">
      <c r="B27" s="63"/>
      <c r="C27" s="64">
        <v>3.14</v>
      </c>
      <c r="D27" s="9">
        <v>68</v>
      </c>
      <c r="E27" s="9">
        <f>$D27/$C27</f>
        <v>21.656050955414013</v>
      </c>
    </row>
    <row r="28" spans="2:5" x14ac:dyDescent="0.3">
      <c r="B28" s="57"/>
      <c r="C28" s="64">
        <v>3.46</v>
      </c>
      <c r="D28" s="9">
        <v>36.799999999999997</v>
      </c>
      <c r="E28" s="9">
        <f>$D28/$C28</f>
        <v>10.635838150289016</v>
      </c>
    </row>
    <row r="29" spans="2:5" x14ac:dyDescent="0.3">
      <c r="B29" s="57"/>
      <c r="C29" s="64">
        <v>4.57</v>
      </c>
      <c r="D29" s="9">
        <v>23.7</v>
      </c>
      <c r="E29" s="9">
        <f>$D29/$C29</f>
        <v>5.185995623632385</v>
      </c>
    </row>
    <row r="30" spans="2:5" x14ac:dyDescent="0.3">
      <c r="B30" s="57"/>
      <c r="C30" s="9">
        <v>4.72</v>
      </c>
      <c r="D30" s="9">
        <v>10.5</v>
      </c>
      <c r="E30" s="9">
        <f>$D30/$C30</f>
        <v>2.2245762711864407</v>
      </c>
    </row>
    <row r="43" spans="2:5" x14ac:dyDescent="0.3">
      <c r="B43" s="10" t="s">
        <v>300</v>
      </c>
    </row>
    <row r="44" spans="2:5" x14ac:dyDescent="0.3">
      <c r="B44" s="2" t="s">
        <v>286</v>
      </c>
      <c r="C44" s="2" t="s">
        <v>288</v>
      </c>
      <c r="D44" s="2" t="s">
        <v>294</v>
      </c>
      <c r="E44" s="2" t="s">
        <v>295</v>
      </c>
    </row>
    <row r="45" spans="2:5" x14ac:dyDescent="0.3">
      <c r="B45" s="63"/>
      <c r="C45" s="9">
        <v>3.01</v>
      </c>
      <c r="D45">
        <v>120</v>
      </c>
      <c r="E45" s="9">
        <f>$D45/$C45</f>
        <v>39.867109634551497</v>
      </c>
    </row>
    <row r="46" spans="2:5" x14ac:dyDescent="0.3">
      <c r="B46" s="57"/>
      <c r="C46" s="9">
        <v>3.37</v>
      </c>
      <c r="D46">
        <v>64.7</v>
      </c>
      <c r="E46" s="9">
        <f>$D46/$C46</f>
        <v>19.198813056379823</v>
      </c>
    </row>
    <row r="47" spans="2:5" x14ac:dyDescent="0.3">
      <c r="B47" s="57"/>
      <c r="C47" s="9">
        <v>4.4800000000000004</v>
      </c>
      <c r="D47">
        <v>41.6</v>
      </c>
      <c r="E47" s="9">
        <f>$D47/$C47</f>
        <v>9.2857142857142847</v>
      </c>
    </row>
    <row r="48" spans="2:5" x14ac:dyDescent="0.3">
      <c r="B48" s="57"/>
      <c r="C48" s="9">
        <v>4.63</v>
      </c>
      <c r="D48">
        <v>18.5</v>
      </c>
      <c r="E48" s="9">
        <f>$D48/$C48</f>
        <v>3.9956803455723544</v>
      </c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78A9-2605-40CC-96A6-D18708F90E1A}">
  <sheetPr codeName="Sheet48">
    <tabColor rgb="FF00B050"/>
  </sheetPr>
  <dimension ref="A1:K59"/>
  <sheetViews>
    <sheetView topLeftCell="A34" workbookViewId="0">
      <selection activeCell="B53" sqref="B53:G59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7" x14ac:dyDescent="0.3">
      <c r="B1" s="10" t="s">
        <v>198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7" x14ac:dyDescent="0.3">
      <c r="B2" s="17" t="s">
        <v>199</v>
      </c>
      <c r="C2" s="7">
        <v>19.100000000000001</v>
      </c>
      <c r="D2" s="9">
        <v>4.54</v>
      </c>
      <c r="E2" s="6" t="s">
        <v>184</v>
      </c>
      <c r="F2" s="9">
        <f t="shared" ref="F2:F13" si="0">$C2/$D2</f>
        <v>4.2070484581497798</v>
      </c>
      <c r="G2" s="9" t="s">
        <v>15</v>
      </c>
    </row>
    <row r="3" spans="2:7" x14ac:dyDescent="0.3">
      <c r="B3" s="16" t="s">
        <v>200</v>
      </c>
      <c r="C3" s="26">
        <v>124</v>
      </c>
      <c r="D3" s="18">
        <v>3.08</v>
      </c>
      <c r="E3" s="19" t="s">
        <v>204</v>
      </c>
      <c r="F3" s="18">
        <f t="shared" si="0"/>
        <v>40.259740259740262</v>
      </c>
      <c r="G3" s="18" t="s">
        <v>16</v>
      </c>
    </row>
    <row r="4" spans="2:7" x14ac:dyDescent="0.3">
      <c r="B4" s="17" t="s">
        <v>199</v>
      </c>
      <c r="C4" s="7">
        <v>24.1</v>
      </c>
      <c r="D4" s="9">
        <v>4.9400000000000004</v>
      </c>
      <c r="E4" s="6" t="s">
        <v>184</v>
      </c>
      <c r="F4" s="9">
        <f t="shared" si="0"/>
        <v>4.8785425101214575</v>
      </c>
      <c r="G4" s="9" t="s">
        <v>15</v>
      </c>
    </row>
    <row r="5" spans="2:7" x14ac:dyDescent="0.3">
      <c r="B5" s="16" t="s">
        <v>200</v>
      </c>
      <c r="C5" s="26">
        <v>157</v>
      </c>
      <c r="D5" s="18">
        <v>3.12</v>
      </c>
      <c r="E5" s="19" t="s">
        <v>204</v>
      </c>
      <c r="F5" s="18">
        <f t="shared" si="0"/>
        <v>50.320512820512818</v>
      </c>
      <c r="G5" s="18" t="s">
        <v>16</v>
      </c>
    </row>
    <row r="6" spans="2:7" x14ac:dyDescent="0.3">
      <c r="B6" s="17" t="s">
        <v>199</v>
      </c>
      <c r="C6" s="7">
        <v>26.2</v>
      </c>
      <c r="D6" s="9">
        <v>4.76</v>
      </c>
      <c r="E6" s="6" t="s">
        <v>184</v>
      </c>
      <c r="F6" s="9">
        <f t="shared" si="0"/>
        <v>5.5042016806722689</v>
      </c>
      <c r="G6" s="9" t="s">
        <v>15</v>
      </c>
    </row>
    <row r="7" spans="2:7" x14ac:dyDescent="0.3">
      <c r="B7" s="16" t="s">
        <v>200</v>
      </c>
      <c r="C7" s="26">
        <v>170</v>
      </c>
      <c r="D7" s="18">
        <v>3.1</v>
      </c>
      <c r="E7" s="19" t="s">
        <v>204</v>
      </c>
      <c r="F7" s="18">
        <f t="shared" si="0"/>
        <v>54.838709677419352</v>
      </c>
      <c r="G7" s="18" t="s">
        <v>16</v>
      </c>
    </row>
    <row r="8" spans="2:7" x14ac:dyDescent="0.3">
      <c r="B8" s="17" t="s">
        <v>199</v>
      </c>
      <c r="C8" s="7">
        <v>29.6</v>
      </c>
      <c r="D8" s="9">
        <v>4.3499999999999996</v>
      </c>
      <c r="E8" s="6" t="s">
        <v>184</v>
      </c>
      <c r="F8" s="9">
        <f t="shared" si="0"/>
        <v>6.8045977011494259</v>
      </c>
      <c r="G8" s="9" t="s">
        <v>15</v>
      </c>
    </row>
    <row r="9" spans="2:7" x14ac:dyDescent="0.3">
      <c r="B9" s="16" t="s">
        <v>200</v>
      </c>
      <c r="C9" s="26">
        <v>193</v>
      </c>
      <c r="D9" s="18">
        <v>3.31</v>
      </c>
      <c r="E9" s="19" t="s">
        <v>204</v>
      </c>
      <c r="F9" s="18">
        <f t="shared" si="0"/>
        <v>58.308157099697887</v>
      </c>
      <c r="G9" s="18" t="s">
        <v>16</v>
      </c>
    </row>
    <row r="10" spans="2:7" x14ac:dyDescent="0.3">
      <c r="B10" s="17" t="s">
        <v>199</v>
      </c>
      <c r="C10" s="7">
        <v>30.2</v>
      </c>
      <c r="D10" s="9">
        <v>4.76</v>
      </c>
      <c r="E10" s="6" t="s">
        <v>184</v>
      </c>
      <c r="F10" s="9">
        <f t="shared" si="0"/>
        <v>6.344537815126051</v>
      </c>
      <c r="G10" s="9" t="s">
        <v>15</v>
      </c>
    </row>
    <row r="11" spans="2:7" x14ac:dyDescent="0.3">
      <c r="B11" s="16" t="s">
        <v>200</v>
      </c>
      <c r="C11" s="26">
        <v>196</v>
      </c>
      <c r="D11" s="18">
        <v>3.31</v>
      </c>
      <c r="E11" s="19" t="s">
        <v>204</v>
      </c>
      <c r="F11" s="18">
        <f t="shared" si="0"/>
        <v>59.214501510574017</v>
      </c>
      <c r="G11" s="18" t="s">
        <v>16</v>
      </c>
    </row>
    <row r="12" spans="2:7" x14ac:dyDescent="0.3">
      <c r="B12" s="17" t="s">
        <v>199</v>
      </c>
      <c r="C12" s="7">
        <v>34.799999999999997</v>
      </c>
      <c r="D12" s="9">
        <v>4.99</v>
      </c>
      <c r="E12" s="6" t="s">
        <v>184</v>
      </c>
      <c r="F12" s="9">
        <f t="shared" si="0"/>
        <v>6.9739478957915821</v>
      </c>
      <c r="G12" s="9" t="s">
        <v>15</v>
      </c>
    </row>
    <row r="13" spans="2:7" x14ac:dyDescent="0.3">
      <c r="B13" s="16" t="s">
        <v>200</v>
      </c>
      <c r="C13" s="26">
        <v>226</v>
      </c>
      <c r="D13" s="18">
        <v>3.21</v>
      </c>
      <c r="E13" s="19" t="s">
        <v>204</v>
      </c>
      <c r="F13" s="18">
        <f t="shared" si="0"/>
        <v>70.404984423676012</v>
      </c>
      <c r="G13" s="18" t="s">
        <v>16</v>
      </c>
    </row>
    <row r="14" spans="2:7" x14ac:dyDescent="0.3">
      <c r="B14" s="17" t="s">
        <v>199</v>
      </c>
      <c r="C14" s="7">
        <v>37.5</v>
      </c>
      <c r="D14" s="9">
        <v>4.5199999999999996</v>
      </c>
      <c r="E14" s="6" t="s">
        <v>184</v>
      </c>
      <c r="F14" s="9">
        <f t="shared" ref="F14:F17" si="1">$C14/$D14</f>
        <v>8.2964601769911503</v>
      </c>
      <c r="G14" s="9" t="s">
        <v>15</v>
      </c>
    </row>
    <row r="15" spans="2:7" x14ac:dyDescent="0.3">
      <c r="B15" s="16" t="s">
        <v>200</v>
      </c>
      <c r="C15" s="26">
        <v>244</v>
      </c>
      <c r="D15" s="18">
        <v>3.37</v>
      </c>
      <c r="E15" s="19" t="s">
        <v>204</v>
      </c>
      <c r="F15" s="18">
        <f t="shared" si="1"/>
        <v>72.403560830860528</v>
      </c>
      <c r="G15" s="18" t="s">
        <v>16</v>
      </c>
    </row>
    <row r="16" spans="2:7" x14ac:dyDescent="0.3">
      <c r="B16" s="17" t="s">
        <v>199</v>
      </c>
      <c r="C16" s="7">
        <v>40.200000000000003</v>
      </c>
      <c r="D16" s="9">
        <v>4.62</v>
      </c>
      <c r="E16" s="6" t="s">
        <v>184</v>
      </c>
      <c r="F16" s="9">
        <f t="shared" si="1"/>
        <v>8.7012987012987022</v>
      </c>
      <c r="G16" s="9" t="s">
        <v>15</v>
      </c>
    </row>
    <row r="17" spans="1:11" x14ac:dyDescent="0.3">
      <c r="B17" s="16" t="s">
        <v>200</v>
      </c>
      <c r="C17" s="26">
        <v>261</v>
      </c>
      <c r="D17" s="18">
        <v>3.31</v>
      </c>
      <c r="E17" s="19" t="s">
        <v>204</v>
      </c>
      <c r="F17" s="18">
        <f t="shared" si="1"/>
        <v>78.851963746223561</v>
      </c>
      <c r="G17" s="18" t="s">
        <v>16</v>
      </c>
    </row>
    <row r="18" spans="1:11" x14ac:dyDescent="0.3">
      <c r="B18" s="17" t="s">
        <v>199</v>
      </c>
      <c r="C18" s="7">
        <v>44.1</v>
      </c>
      <c r="D18" s="9">
        <v>4.66</v>
      </c>
      <c r="E18" s="6" t="s">
        <v>184</v>
      </c>
      <c r="F18" s="9">
        <f>$C18/$D18</f>
        <v>9.4635193133047206</v>
      </c>
      <c r="G18" s="9" t="s">
        <v>15</v>
      </c>
      <c r="H18" s="2" t="s">
        <v>396</v>
      </c>
      <c r="I18" s="2" t="s">
        <v>379</v>
      </c>
      <c r="J18" s="2" t="s">
        <v>397</v>
      </c>
      <c r="K18" s="2" t="s">
        <v>381</v>
      </c>
    </row>
    <row r="19" spans="1:11" x14ac:dyDescent="0.3">
      <c r="B19" s="16" t="s">
        <v>200</v>
      </c>
      <c r="C19" s="26">
        <v>287</v>
      </c>
      <c r="D19" s="18">
        <v>3.27</v>
      </c>
      <c r="E19" s="19" t="s">
        <v>204</v>
      </c>
      <c r="F19" s="18">
        <f>$C19/$D19</f>
        <v>87.767584097859327</v>
      </c>
      <c r="G19" s="18" t="s">
        <v>16</v>
      </c>
      <c r="H19" s="18">
        <f>I19/D18</f>
        <v>9.8921804668690445</v>
      </c>
      <c r="I19" s="26">
        <f>K19*C18/C19</f>
        <v>46.097560975609753</v>
      </c>
      <c r="J19" s="26">
        <f>K19/D19</f>
        <v>91.743119266055047</v>
      </c>
      <c r="K19" s="26">
        <v>300</v>
      </c>
    </row>
    <row r="22" spans="1:11" x14ac:dyDescent="0.3">
      <c r="B22" t="s">
        <v>1</v>
      </c>
      <c r="C22" t="s">
        <v>4</v>
      </c>
    </row>
    <row r="23" spans="1:11" x14ac:dyDescent="0.3">
      <c r="A23" t="s">
        <v>184</v>
      </c>
      <c r="B23" t="s">
        <v>183</v>
      </c>
      <c r="C23" s="4" t="s">
        <v>182</v>
      </c>
      <c r="D23" s="4"/>
      <c r="G23" t="s">
        <v>390</v>
      </c>
    </row>
    <row r="24" spans="1:11" x14ac:dyDescent="0.3">
      <c r="A24" t="s">
        <v>201</v>
      </c>
      <c r="B24" t="s">
        <v>203</v>
      </c>
      <c r="C24" s="4" t="s">
        <v>202</v>
      </c>
      <c r="D24" s="4"/>
    </row>
    <row r="25" spans="1:11" x14ac:dyDescent="0.3">
      <c r="C25" s="4"/>
    </row>
    <row r="26" spans="1:11" x14ac:dyDescent="0.3">
      <c r="C26" s="4"/>
    </row>
    <row r="27" spans="1:11" x14ac:dyDescent="0.3">
      <c r="B27" s="14"/>
      <c r="C27" s="4"/>
    </row>
    <row r="28" spans="1:11" x14ac:dyDescent="0.3">
      <c r="E28" s="10" t="s">
        <v>18</v>
      </c>
      <c r="F28" s="10" t="s">
        <v>18</v>
      </c>
      <c r="G28" s="10" t="s">
        <v>18</v>
      </c>
    </row>
    <row r="29" spans="1:11" x14ac:dyDescent="0.3">
      <c r="B29" s="2" t="s">
        <v>13</v>
      </c>
      <c r="C29" s="2" t="s">
        <v>12</v>
      </c>
      <c r="D29" s="2" t="s">
        <v>25</v>
      </c>
      <c r="E29" s="2" t="s">
        <v>17</v>
      </c>
      <c r="F29" s="2" t="s">
        <v>22</v>
      </c>
      <c r="G29" s="2" t="s">
        <v>23</v>
      </c>
    </row>
    <row r="30" spans="1:11" x14ac:dyDescent="0.3">
      <c r="B30" s="9" t="s">
        <v>15</v>
      </c>
      <c r="C30" s="9">
        <f>$C3</f>
        <v>124</v>
      </c>
      <c r="D30" s="9">
        <f t="shared" ref="D30:D47" si="2">$F2</f>
        <v>4.2070484581497798</v>
      </c>
      <c r="E30" s="9">
        <f t="shared" ref="E30:E47" si="3">$D30*$D2</f>
        <v>19.100000000000001</v>
      </c>
      <c r="F30" s="9">
        <f t="shared" ref="F30:F47" si="4">$B$50*$D30+$C$50*$C30+$D$50</f>
        <v>16.142278063976086</v>
      </c>
      <c r="G30" s="20">
        <f t="shared" ref="G30:G47" si="5">($E30-$F30)/$E30</f>
        <v>0.15485455162428877</v>
      </c>
    </row>
    <row r="31" spans="1:11" x14ac:dyDescent="0.3">
      <c r="B31" s="18" t="s">
        <v>16</v>
      </c>
      <c r="C31" s="18">
        <f>$C3</f>
        <v>124</v>
      </c>
      <c r="D31" s="18">
        <f t="shared" si="2"/>
        <v>40.259740259740262</v>
      </c>
      <c r="E31" s="18">
        <f t="shared" si="3"/>
        <v>124.00000000000001</v>
      </c>
      <c r="F31" s="18">
        <f t="shared" si="4"/>
        <v>127.43048711987446</v>
      </c>
      <c r="G31" s="20">
        <f t="shared" si="5"/>
        <v>-2.7665218708664854E-2</v>
      </c>
    </row>
    <row r="32" spans="1:11" x14ac:dyDescent="0.3">
      <c r="B32" s="9" t="s">
        <v>15</v>
      </c>
      <c r="C32" s="9">
        <f>$C5</f>
        <v>157</v>
      </c>
      <c r="D32" s="9">
        <f t="shared" si="2"/>
        <v>4.8785425101214575</v>
      </c>
      <c r="E32" s="9">
        <f t="shared" si="3"/>
        <v>24.1</v>
      </c>
      <c r="F32" s="9">
        <f t="shared" si="4"/>
        <v>21.136087773598575</v>
      </c>
      <c r="G32" s="20">
        <f t="shared" si="5"/>
        <v>0.1229839098091878</v>
      </c>
    </row>
    <row r="33" spans="2:7" x14ac:dyDescent="0.3">
      <c r="B33" s="18" t="s">
        <v>16</v>
      </c>
      <c r="C33" s="18">
        <f>$C5</f>
        <v>157</v>
      </c>
      <c r="D33" s="18">
        <f t="shared" si="2"/>
        <v>50.320512820512818</v>
      </c>
      <c r="E33" s="18">
        <f t="shared" si="3"/>
        <v>157</v>
      </c>
      <c r="F33" s="18">
        <f t="shared" si="4"/>
        <v>161.40731965958116</v>
      </c>
      <c r="G33" s="20">
        <f t="shared" si="5"/>
        <v>-2.8072099742555173E-2</v>
      </c>
    </row>
    <row r="34" spans="2:7" x14ac:dyDescent="0.3">
      <c r="B34" s="9" t="s">
        <v>15</v>
      </c>
      <c r="C34" s="9">
        <f>$C7</f>
        <v>170</v>
      </c>
      <c r="D34" s="9">
        <f t="shared" si="2"/>
        <v>5.5042016806722689</v>
      </c>
      <c r="E34" s="9">
        <f t="shared" si="3"/>
        <v>26.2</v>
      </c>
      <c r="F34" s="9">
        <f t="shared" si="4"/>
        <v>24.218093577958946</v>
      </c>
      <c r="G34" s="20">
        <f t="shared" si="5"/>
        <v>7.5645283284009671E-2</v>
      </c>
    </row>
    <row r="35" spans="2:7" x14ac:dyDescent="0.3">
      <c r="B35" s="18" t="s">
        <v>16</v>
      </c>
      <c r="C35" s="18">
        <f>$C7</f>
        <v>170</v>
      </c>
      <c r="D35" s="18">
        <f t="shared" si="2"/>
        <v>54.838709677419352</v>
      </c>
      <c r="E35" s="18">
        <f t="shared" si="3"/>
        <v>170</v>
      </c>
      <c r="F35" s="18">
        <f t="shared" si="4"/>
        <v>176.50489285017505</v>
      </c>
      <c r="G35" s="20">
        <f t="shared" si="5"/>
        <v>-3.826407558926502E-2</v>
      </c>
    </row>
    <row r="36" spans="2:7" x14ac:dyDescent="0.3">
      <c r="B36" s="9" t="s">
        <v>15</v>
      </c>
      <c r="C36" s="9">
        <f>$C9</f>
        <v>193</v>
      </c>
      <c r="D36" s="9">
        <f t="shared" si="2"/>
        <v>6.8045977011494259</v>
      </c>
      <c r="E36" s="9">
        <f t="shared" si="3"/>
        <v>29.6</v>
      </c>
      <c r="F36" s="9">
        <f t="shared" si="4"/>
        <v>30.26805122788825</v>
      </c>
      <c r="G36" s="20">
        <f t="shared" si="5"/>
        <v>-2.2569298239467867E-2</v>
      </c>
    </row>
    <row r="37" spans="2:7" x14ac:dyDescent="0.3">
      <c r="B37" s="18" t="s">
        <v>16</v>
      </c>
      <c r="C37" s="18">
        <f>$C9</f>
        <v>193</v>
      </c>
      <c r="D37" s="18">
        <f t="shared" si="2"/>
        <v>58.308157099697887</v>
      </c>
      <c r="E37" s="18">
        <f t="shared" si="3"/>
        <v>193</v>
      </c>
      <c r="F37" s="18">
        <f t="shared" si="4"/>
        <v>189.25032409151066</v>
      </c>
      <c r="G37" s="20">
        <f t="shared" si="5"/>
        <v>1.9428372582846305E-2</v>
      </c>
    </row>
    <row r="38" spans="2:7" x14ac:dyDescent="0.3">
      <c r="B38" s="9" t="s">
        <v>15</v>
      </c>
      <c r="C38" s="9">
        <f>$C11</f>
        <v>196</v>
      </c>
      <c r="D38" s="9">
        <f t="shared" si="2"/>
        <v>6.344537815126051</v>
      </c>
      <c r="E38" s="9">
        <f t="shared" si="3"/>
        <v>30.200000000000003</v>
      </c>
      <c r="F38" s="9">
        <f t="shared" si="4"/>
        <v>29.113476647557349</v>
      </c>
      <c r="G38" s="20">
        <f t="shared" si="5"/>
        <v>3.5977594451743519E-2</v>
      </c>
    </row>
    <row r="39" spans="2:7" x14ac:dyDescent="0.3">
      <c r="B39" s="18" t="s">
        <v>16</v>
      </c>
      <c r="C39" s="18">
        <f>$C11</f>
        <v>196</v>
      </c>
      <c r="D39" s="18">
        <f t="shared" si="2"/>
        <v>59.214501510574017</v>
      </c>
      <c r="E39" s="18">
        <f t="shared" si="3"/>
        <v>196</v>
      </c>
      <c r="F39" s="18">
        <f t="shared" si="4"/>
        <v>192.31359509910675</v>
      </c>
      <c r="G39" s="20">
        <f t="shared" si="5"/>
        <v>1.8808188269863527E-2</v>
      </c>
    </row>
    <row r="40" spans="2:7" x14ac:dyDescent="0.3">
      <c r="B40" s="9" t="s">
        <v>15</v>
      </c>
      <c r="C40" s="9">
        <f>$C13</f>
        <v>226</v>
      </c>
      <c r="D40" s="9">
        <f t="shared" si="2"/>
        <v>6.9739478957915821</v>
      </c>
      <c r="E40" s="9">
        <f t="shared" si="3"/>
        <v>34.799999999999997</v>
      </c>
      <c r="F40" s="9">
        <f t="shared" si="4"/>
        <v>33.711832693346253</v>
      </c>
      <c r="G40" s="20">
        <f t="shared" si="5"/>
        <v>3.1269175478555879E-2</v>
      </c>
    </row>
    <row r="41" spans="2:7" x14ac:dyDescent="0.3">
      <c r="B41" s="18" t="s">
        <v>16</v>
      </c>
      <c r="C41" s="18">
        <f>$C13</f>
        <v>226</v>
      </c>
      <c r="D41" s="18">
        <f t="shared" si="2"/>
        <v>70.404984423676012</v>
      </c>
      <c r="E41" s="18">
        <f t="shared" si="3"/>
        <v>226</v>
      </c>
      <c r="F41" s="18">
        <f t="shared" si="4"/>
        <v>229.51209339499269</v>
      </c>
      <c r="G41" s="20">
        <f t="shared" si="5"/>
        <v>-1.55402362610296E-2</v>
      </c>
    </row>
    <row r="42" spans="2:7" x14ac:dyDescent="0.3">
      <c r="B42" s="9" t="s">
        <v>15</v>
      </c>
      <c r="C42" s="9">
        <f>$C15</f>
        <v>244</v>
      </c>
      <c r="D42" s="9">
        <f t="shared" si="2"/>
        <v>8.2964601769911503</v>
      </c>
      <c r="E42" s="9">
        <f t="shared" si="3"/>
        <v>37.499999999999993</v>
      </c>
      <c r="F42" s="9">
        <f t="shared" si="4"/>
        <v>39.387479326322236</v>
      </c>
      <c r="G42" s="20">
        <f t="shared" si="5"/>
        <v>-5.0332782035259822E-2</v>
      </c>
    </row>
    <row r="43" spans="2:7" x14ac:dyDescent="0.3">
      <c r="B43" s="18" t="s">
        <v>16</v>
      </c>
      <c r="C43" s="18">
        <f>$C15</f>
        <v>244</v>
      </c>
      <c r="D43" s="18">
        <f t="shared" si="2"/>
        <v>72.403560830860528</v>
      </c>
      <c r="E43" s="18">
        <f t="shared" si="3"/>
        <v>244</v>
      </c>
      <c r="F43" s="18">
        <f t="shared" si="4"/>
        <v>237.27462902371593</v>
      </c>
      <c r="G43" s="20">
        <f t="shared" si="5"/>
        <v>2.7562995804442905E-2</v>
      </c>
    </row>
    <row r="44" spans="2:7" x14ac:dyDescent="0.3">
      <c r="B44" s="9" t="s">
        <v>15</v>
      </c>
      <c r="C44" s="9">
        <f>$C17</f>
        <v>261</v>
      </c>
      <c r="D44" s="9">
        <f t="shared" si="2"/>
        <v>8.7012987012987022</v>
      </c>
      <c r="E44" s="9">
        <f t="shared" si="3"/>
        <v>40.200000000000003</v>
      </c>
      <c r="F44" s="9">
        <f t="shared" si="4"/>
        <v>42.141915270301681</v>
      </c>
      <c r="G44" s="20">
        <f t="shared" si="5"/>
        <v>-4.8306350007504419E-2</v>
      </c>
    </row>
    <row r="45" spans="2:7" x14ac:dyDescent="0.3">
      <c r="B45" s="18" t="s">
        <v>16</v>
      </c>
      <c r="C45" s="18">
        <f>$C17</f>
        <v>261</v>
      </c>
      <c r="D45" s="18">
        <f t="shared" si="2"/>
        <v>78.851963746223561</v>
      </c>
      <c r="E45" s="18">
        <f t="shared" si="3"/>
        <v>261</v>
      </c>
      <c r="F45" s="18">
        <f t="shared" si="4"/>
        <v>258.68446693035531</v>
      </c>
      <c r="G45" s="20">
        <f t="shared" si="5"/>
        <v>8.8717742131980328E-3</v>
      </c>
    </row>
    <row r="46" spans="2:7" x14ac:dyDescent="0.3">
      <c r="B46" s="9" t="s">
        <v>15</v>
      </c>
      <c r="C46" s="9">
        <f>$C19</f>
        <v>287</v>
      </c>
      <c r="D46" s="9">
        <f t="shared" si="2"/>
        <v>9.4635193133047206</v>
      </c>
      <c r="E46" s="9">
        <f t="shared" si="3"/>
        <v>44.1</v>
      </c>
      <c r="F46" s="9">
        <f t="shared" si="4"/>
        <v>46.7961696985071</v>
      </c>
      <c r="G46" s="20">
        <f t="shared" si="5"/>
        <v>-6.1137634886782283E-2</v>
      </c>
    </row>
    <row r="47" spans="2:7" x14ac:dyDescent="0.3">
      <c r="B47" s="18" t="s">
        <v>16</v>
      </c>
      <c r="C47" s="18">
        <f>$C19</f>
        <v>287</v>
      </c>
      <c r="D47" s="18">
        <f t="shared" si="2"/>
        <v>87.767584097859327</v>
      </c>
      <c r="E47" s="18">
        <f t="shared" si="3"/>
        <v>287</v>
      </c>
      <c r="F47" s="18">
        <f t="shared" si="4"/>
        <v>288.50680755123147</v>
      </c>
      <c r="G47" s="20">
        <f t="shared" si="5"/>
        <v>-5.2502005269389369E-3</v>
      </c>
    </row>
    <row r="49" spans="2:7" x14ac:dyDescent="0.3">
      <c r="B49" t="s">
        <v>19</v>
      </c>
      <c r="C49" t="s">
        <v>20</v>
      </c>
      <c r="D49" t="s">
        <v>21</v>
      </c>
    </row>
    <row r="50" spans="2:7" x14ac:dyDescent="0.3">
      <c r="B50" cm="1">
        <f t="array" ref="B50:D50">LINEST(E30:E47,C30:D47)</f>
        <v>3.0868210803330043</v>
      </c>
      <c r="C50">
        <v>8.851599135388151E-2</v>
      </c>
      <c r="D50">
        <v>-7.8201107305044246</v>
      </c>
    </row>
    <row r="51" spans="2:7" x14ac:dyDescent="0.3">
      <c r="B51" s="35">
        <v>3.0868210803330043</v>
      </c>
      <c r="C51" s="66">
        <v>8.851599135388151E-2</v>
      </c>
      <c r="D51" s="35">
        <v>-7.8201107305044246</v>
      </c>
    </row>
    <row r="53" spans="2:7" x14ac:dyDescent="0.3">
      <c r="B53" s="2" t="s">
        <v>416</v>
      </c>
      <c r="C53" s="57">
        <v>0.15</v>
      </c>
    </row>
    <row r="54" spans="2:7" x14ac:dyDescent="0.3">
      <c r="B54" s="2" t="s">
        <v>415</v>
      </c>
      <c r="C54" s="57">
        <v>1</v>
      </c>
    </row>
    <row r="56" spans="2:7" x14ac:dyDescent="0.3">
      <c r="B56" t="s">
        <v>417</v>
      </c>
    </row>
    <row r="58" spans="2:7" x14ac:dyDescent="0.3">
      <c r="B58" s="2" t="s">
        <v>378</v>
      </c>
      <c r="C58" s="2" t="s">
        <v>379</v>
      </c>
      <c r="F58" s="2" t="s">
        <v>380</v>
      </c>
      <c r="G58" s="2" t="s">
        <v>381</v>
      </c>
    </row>
    <row r="59" spans="2:7" x14ac:dyDescent="0.3">
      <c r="B59">
        <f>C53</f>
        <v>0.15</v>
      </c>
      <c r="C59" s="67">
        <f>B51*C53+C51</f>
        <v>0.55153915340383219</v>
      </c>
      <c r="D59" s="67"/>
      <c r="F59">
        <f>C54</f>
        <v>1</v>
      </c>
      <c r="G59" s="67">
        <f>B51*C54+C51</f>
        <v>3.1753370716868856</v>
      </c>
    </row>
  </sheetData>
  <hyperlinks>
    <hyperlink ref="C23" r:id="rId1" xr:uid="{06C9B899-0E86-440C-872A-66D91668DCBA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CA1D-8DE2-4DFF-935D-7B9A77F272A9}">
  <sheetPr>
    <tabColor rgb="FF7030A0"/>
  </sheetPr>
  <dimension ref="A1:K59"/>
  <sheetViews>
    <sheetView topLeftCell="A40" workbookViewId="0">
      <selection activeCell="B53" sqref="B53:D56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7" x14ac:dyDescent="0.3">
      <c r="B1" s="10" t="s">
        <v>198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7" x14ac:dyDescent="0.3">
      <c r="B2" s="17" t="s">
        <v>199</v>
      </c>
      <c r="C2" s="7">
        <v>26.9</v>
      </c>
      <c r="D2" s="9">
        <v>6.19</v>
      </c>
      <c r="E2" s="6" t="s">
        <v>184</v>
      </c>
      <c r="F2" s="9">
        <f t="shared" ref="F2:F17" si="0">$C2/$D2</f>
        <v>4.3457189014539575</v>
      </c>
      <c r="G2" s="9" t="s">
        <v>15</v>
      </c>
    </row>
    <row r="3" spans="2:7" x14ac:dyDescent="0.3">
      <c r="B3" s="16" t="s">
        <v>200</v>
      </c>
      <c r="C3" s="26">
        <v>127.9</v>
      </c>
      <c r="D3" s="18">
        <v>2.97</v>
      </c>
      <c r="E3" s="19" t="s">
        <v>204</v>
      </c>
      <c r="F3" s="18">
        <f t="shared" si="0"/>
        <v>43.063973063973066</v>
      </c>
      <c r="G3" s="18" t="s">
        <v>16</v>
      </c>
    </row>
    <row r="4" spans="2:7" x14ac:dyDescent="0.3">
      <c r="B4" s="17" t="s">
        <v>199</v>
      </c>
      <c r="C4" s="7">
        <v>32.799999999999997</v>
      </c>
      <c r="D4" s="9">
        <v>6.11</v>
      </c>
      <c r="E4" s="6" t="s">
        <v>184</v>
      </c>
      <c r="F4" s="9">
        <f t="shared" si="0"/>
        <v>5.3682487725040913</v>
      </c>
      <c r="G4" s="9" t="s">
        <v>15</v>
      </c>
    </row>
    <row r="5" spans="2:7" x14ac:dyDescent="0.3">
      <c r="B5" s="16" t="s">
        <v>200</v>
      </c>
      <c r="C5" s="26">
        <v>155.69999999999999</v>
      </c>
      <c r="D5" s="18">
        <v>3.09</v>
      </c>
      <c r="E5" s="19" t="s">
        <v>204</v>
      </c>
      <c r="F5" s="18">
        <f t="shared" si="0"/>
        <v>50.388349514563103</v>
      </c>
      <c r="G5" s="18" t="s">
        <v>16</v>
      </c>
    </row>
    <row r="6" spans="2:7" x14ac:dyDescent="0.3">
      <c r="B6" s="17" t="s">
        <v>199</v>
      </c>
      <c r="C6" s="7">
        <v>37.9</v>
      </c>
      <c r="D6" s="9">
        <v>6.27</v>
      </c>
      <c r="E6" s="6" t="s">
        <v>184</v>
      </c>
      <c r="F6" s="9">
        <f t="shared" si="0"/>
        <v>6.0446570972886766</v>
      </c>
      <c r="G6" s="9" t="s">
        <v>15</v>
      </c>
    </row>
    <row r="7" spans="2:7" x14ac:dyDescent="0.3">
      <c r="B7" s="16" t="s">
        <v>200</v>
      </c>
      <c r="C7" s="26">
        <v>180.1</v>
      </c>
      <c r="D7" s="18">
        <v>2.95</v>
      </c>
      <c r="E7" s="19" t="s">
        <v>204</v>
      </c>
      <c r="F7" s="18">
        <f t="shared" si="0"/>
        <v>61.050847457627114</v>
      </c>
      <c r="G7" s="18" t="s">
        <v>16</v>
      </c>
    </row>
    <row r="8" spans="2:7" x14ac:dyDescent="0.3">
      <c r="B8" s="17" t="s">
        <v>199</v>
      </c>
      <c r="C8" s="7">
        <v>42.4</v>
      </c>
      <c r="D8" s="9">
        <v>5.58</v>
      </c>
      <c r="E8" s="6" t="s">
        <v>184</v>
      </c>
      <c r="F8" s="9">
        <f t="shared" si="0"/>
        <v>7.5985663082437274</v>
      </c>
      <c r="G8" s="9" t="s">
        <v>15</v>
      </c>
    </row>
    <row r="9" spans="2:7" x14ac:dyDescent="0.3">
      <c r="B9" s="16" t="s">
        <v>200</v>
      </c>
      <c r="C9" s="26">
        <v>201.1</v>
      </c>
      <c r="D9" s="18">
        <v>2.78</v>
      </c>
      <c r="E9" s="19" t="s">
        <v>204</v>
      </c>
      <c r="F9" s="18">
        <f t="shared" si="0"/>
        <v>72.338129496402885</v>
      </c>
      <c r="G9" s="18" t="s">
        <v>16</v>
      </c>
    </row>
    <row r="10" spans="2:7" x14ac:dyDescent="0.3">
      <c r="B10" s="17" t="s">
        <v>199</v>
      </c>
      <c r="C10" s="7">
        <v>45.8</v>
      </c>
      <c r="D10" s="9">
        <v>6.53</v>
      </c>
      <c r="E10" s="6" t="s">
        <v>184</v>
      </c>
      <c r="F10" s="9">
        <f t="shared" si="0"/>
        <v>7.0137825421133222</v>
      </c>
      <c r="G10" s="9" t="s">
        <v>15</v>
      </c>
    </row>
    <row r="11" spans="2:7" x14ac:dyDescent="0.3">
      <c r="B11" s="16" t="s">
        <v>200</v>
      </c>
      <c r="C11" s="26">
        <v>217.8</v>
      </c>
      <c r="D11" s="18">
        <v>3.16</v>
      </c>
      <c r="E11" s="19" t="s">
        <v>204</v>
      </c>
      <c r="F11" s="18">
        <f t="shared" si="0"/>
        <v>68.924050632911388</v>
      </c>
      <c r="G11" s="18" t="s">
        <v>16</v>
      </c>
    </row>
    <row r="12" spans="2:7" x14ac:dyDescent="0.3">
      <c r="B12" s="17" t="s">
        <v>199</v>
      </c>
      <c r="C12" s="7">
        <v>50.2</v>
      </c>
      <c r="D12" s="9">
        <v>6.01</v>
      </c>
      <c r="E12" s="6" t="s">
        <v>184</v>
      </c>
      <c r="F12" s="9">
        <f t="shared" si="0"/>
        <v>8.3527454242928467</v>
      </c>
      <c r="G12" s="9" t="s">
        <v>15</v>
      </c>
    </row>
    <row r="13" spans="2:7" x14ac:dyDescent="0.3">
      <c r="B13" s="16" t="s">
        <v>200</v>
      </c>
      <c r="C13" s="26">
        <v>238.3</v>
      </c>
      <c r="D13" s="18">
        <v>3.1</v>
      </c>
      <c r="E13" s="19" t="s">
        <v>204</v>
      </c>
      <c r="F13" s="18">
        <f t="shared" si="0"/>
        <v>76.870967741935488</v>
      </c>
      <c r="G13" s="18" t="s">
        <v>16</v>
      </c>
    </row>
    <row r="14" spans="2:7" x14ac:dyDescent="0.3">
      <c r="B14" s="17" t="s">
        <v>199</v>
      </c>
      <c r="C14" s="7">
        <v>55</v>
      </c>
      <c r="D14" s="9">
        <v>6.09</v>
      </c>
      <c r="E14" s="6" t="s">
        <v>184</v>
      </c>
      <c r="F14" s="9">
        <f t="shared" si="0"/>
        <v>9.0311986863711002</v>
      </c>
      <c r="G14" s="9" t="s">
        <v>15</v>
      </c>
    </row>
    <row r="15" spans="2:7" x14ac:dyDescent="0.3">
      <c r="B15" s="16" t="s">
        <v>200</v>
      </c>
      <c r="C15" s="26">
        <v>261.10000000000002</v>
      </c>
      <c r="D15" s="18">
        <v>2.88</v>
      </c>
      <c r="E15" s="19" t="s">
        <v>204</v>
      </c>
      <c r="F15" s="18">
        <f t="shared" si="0"/>
        <v>90.659722222222229</v>
      </c>
      <c r="G15" s="18" t="s">
        <v>16</v>
      </c>
    </row>
    <row r="16" spans="2:7" x14ac:dyDescent="0.3">
      <c r="B16" s="17" t="s">
        <v>199</v>
      </c>
      <c r="C16" s="7">
        <v>55.6</v>
      </c>
      <c r="D16" s="9">
        <v>6.09</v>
      </c>
      <c r="E16" s="6" t="s">
        <v>184</v>
      </c>
      <c r="F16" s="9">
        <f t="shared" si="0"/>
        <v>9.1297208538587853</v>
      </c>
      <c r="G16" s="9" t="s">
        <v>15</v>
      </c>
    </row>
    <row r="17" spans="1:11" x14ac:dyDescent="0.3">
      <c r="B17" s="16" t="s">
        <v>200</v>
      </c>
      <c r="C17" s="26">
        <v>264.5</v>
      </c>
      <c r="D17" s="18">
        <v>3.2</v>
      </c>
      <c r="E17" s="19" t="s">
        <v>204</v>
      </c>
      <c r="F17" s="18">
        <f t="shared" si="0"/>
        <v>82.65625</v>
      </c>
      <c r="G17" s="18" t="s">
        <v>16</v>
      </c>
    </row>
    <row r="18" spans="1:11" x14ac:dyDescent="0.3">
      <c r="B18" s="17" t="s">
        <v>199</v>
      </c>
      <c r="C18" s="7">
        <v>60.8</v>
      </c>
      <c r="D18" s="9">
        <v>6.19</v>
      </c>
      <c r="E18" s="6" t="s">
        <v>184</v>
      </c>
      <c r="F18" s="9">
        <f>$C18/$D18</f>
        <v>9.8222940226171236</v>
      </c>
      <c r="G18" s="9" t="s">
        <v>15</v>
      </c>
      <c r="H18" s="2" t="s">
        <v>396</v>
      </c>
      <c r="I18" s="2" t="s">
        <v>411</v>
      </c>
      <c r="J18" s="2" t="s">
        <v>397</v>
      </c>
      <c r="K18" s="2" t="s">
        <v>410</v>
      </c>
    </row>
    <row r="19" spans="1:11" x14ac:dyDescent="0.3">
      <c r="B19" s="16" t="s">
        <v>200</v>
      </c>
      <c r="C19" s="26">
        <v>288.8</v>
      </c>
      <c r="D19" s="18">
        <v>3.01</v>
      </c>
      <c r="E19" s="19" t="s">
        <v>204</v>
      </c>
      <c r="F19" s="18">
        <f>$C19/$D19</f>
        <v>95.94684385382061</v>
      </c>
      <c r="G19" s="18" t="s">
        <v>16</v>
      </c>
      <c r="H19" s="18">
        <f>I19/D18</f>
        <v>9.3937590340957389</v>
      </c>
      <c r="I19" s="18">
        <f>K19*C18/C19</f>
        <v>58.147368421052626</v>
      </c>
      <c r="J19" s="26">
        <f>K19/D19</f>
        <v>91.760797342192689</v>
      </c>
      <c r="K19" s="26">
        <v>276.2</v>
      </c>
    </row>
    <row r="22" spans="1:11" x14ac:dyDescent="0.3">
      <c r="B22" t="s">
        <v>1</v>
      </c>
      <c r="C22" t="s">
        <v>4</v>
      </c>
    </row>
    <row r="23" spans="1:11" x14ac:dyDescent="0.3">
      <c r="A23" t="s">
        <v>184</v>
      </c>
      <c r="B23" t="s">
        <v>183</v>
      </c>
      <c r="C23" s="4" t="s">
        <v>182</v>
      </c>
      <c r="D23" s="4"/>
      <c r="G23" t="s">
        <v>390</v>
      </c>
    </row>
    <row r="24" spans="1:11" x14ac:dyDescent="0.3">
      <c r="A24" t="s">
        <v>201</v>
      </c>
      <c r="B24" t="s">
        <v>203</v>
      </c>
      <c r="C24" s="4" t="s">
        <v>202</v>
      </c>
      <c r="D24" s="4"/>
    </row>
    <row r="25" spans="1:11" x14ac:dyDescent="0.3">
      <c r="C25" s="4"/>
    </row>
    <row r="26" spans="1:11" x14ac:dyDescent="0.3">
      <c r="C26" s="4"/>
    </row>
    <row r="27" spans="1:11" x14ac:dyDescent="0.3">
      <c r="B27" s="14"/>
      <c r="C27" s="4"/>
    </row>
    <row r="28" spans="1:11" x14ac:dyDescent="0.3">
      <c r="E28" s="10" t="s">
        <v>18</v>
      </c>
      <c r="F28" s="10" t="s">
        <v>18</v>
      </c>
      <c r="G28" s="10" t="s">
        <v>18</v>
      </c>
    </row>
    <row r="29" spans="1:11" x14ac:dyDescent="0.3">
      <c r="B29" s="2" t="s">
        <v>13</v>
      </c>
      <c r="C29" s="2" t="s">
        <v>12</v>
      </c>
      <c r="D29" s="2" t="s">
        <v>25</v>
      </c>
      <c r="E29" s="2" t="s">
        <v>17</v>
      </c>
      <c r="F29" s="2" t="s">
        <v>22</v>
      </c>
      <c r="G29" s="2" t="s">
        <v>23</v>
      </c>
    </row>
    <row r="30" spans="1:11" x14ac:dyDescent="0.3">
      <c r="B30" s="9" t="s">
        <v>15</v>
      </c>
      <c r="C30" s="9">
        <f>$C3</f>
        <v>127.9</v>
      </c>
      <c r="D30" s="9">
        <f t="shared" ref="D30:D47" si="1">$F2</f>
        <v>4.3457189014539575</v>
      </c>
      <c r="E30" s="9">
        <f t="shared" ref="E30:E47" si="2">$D30*$D2</f>
        <v>26.9</v>
      </c>
      <c r="F30" s="9">
        <f t="shared" ref="F30:F47" si="3">$B$50*$D30+$C$50*$C30+$D$50</f>
        <v>25.809499297835629</v>
      </c>
      <c r="G30" s="20">
        <f t="shared" ref="G30:G47" si="4">($E30-$F30)/$E30</f>
        <v>4.0539059560013746E-2</v>
      </c>
    </row>
    <row r="31" spans="1:11" x14ac:dyDescent="0.3">
      <c r="B31" s="18" t="s">
        <v>16</v>
      </c>
      <c r="C31" s="18">
        <f>$C3</f>
        <v>127.9</v>
      </c>
      <c r="D31" s="18">
        <f t="shared" si="1"/>
        <v>43.063973063973066</v>
      </c>
      <c r="E31" s="18">
        <f t="shared" si="2"/>
        <v>127.90000000000002</v>
      </c>
      <c r="F31" s="18">
        <f t="shared" si="3"/>
        <v>128.33385861809478</v>
      </c>
      <c r="G31" s="20">
        <f t="shared" si="4"/>
        <v>-3.3921705871365134E-3</v>
      </c>
    </row>
    <row r="32" spans="1:11" x14ac:dyDescent="0.3">
      <c r="B32" s="9" t="s">
        <v>15</v>
      </c>
      <c r="C32" s="9">
        <f>$C5</f>
        <v>155.69999999999999</v>
      </c>
      <c r="D32" s="9">
        <f t="shared" si="1"/>
        <v>5.3682487725040913</v>
      </c>
      <c r="E32" s="9">
        <f t="shared" si="2"/>
        <v>32.799999999999997</v>
      </c>
      <c r="F32" s="9">
        <f t="shared" si="3"/>
        <v>32.219887090356579</v>
      </c>
      <c r="G32" s="20">
        <f t="shared" si="4"/>
        <v>1.7686369196445676E-2</v>
      </c>
    </row>
    <row r="33" spans="2:7" x14ac:dyDescent="0.3">
      <c r="B33" s="18" t="s">
        <v>16</v>
      </c>
      <c r="C33" s="18">
        <f>$C5</f>
        <v>155.69999999999999</v>
      </c>
      <c r="D33" s="18">
        <f t="shared" si="1"/>
        <v>50.388349514563103</v>
      </c>
      <c r="E33" s="18">
        <f t="shared" si="2"/>
        <v>155.69999999999999</v>
      </c>
      <c r="F33" s="18">
        <f t="shared" si="3"/>
        <v>151.43127936385616</v>
      </c>
      <c r="G33" s="20">
        <f t="shared" si="4"/>
        <v>2.7416317508951998E-2</v>
      </c>
    </row>
    <row r="34" spans="2:7" x14ac:dyDescent="0.3">
      <c r="B34" s="9" t="s">
        <v>15</v>
      </c>
      <c r="C34" s="9">
        <f>$C7</f>
        <v>180.1</v>
      </c>
      <c r="D34" s="9">
        <f t="shared" si="1"/>
        <v>6.0446570972886766</v>
      </c>
      <c r="E34" s="9">
        <f t="shared" si="2"/>
        <v>37.9</v>
      </c>
      <c r="F34" s="9">
        <f t="shared" si="3"/>
        <v>37.260902325565993</v>
      </c>
      <c r="G34" s="20">
        <f t="shared" si="4"/>
        <v>1.6862735473192749E-2</v>
      </c>
    </row>
    <row r="35" spans="2:7" x14ac:dyDescent="0.3">
      <c r="B35" s="18" t="s">
        <v>16</v>
      </c>
      <c r="C35" s="18">
        <f>$C7</f>
        <v>180.1</v>
      </c>
      <c r="D35" s="18">
        <f t="shared" si="1"/>
        <v>61.050847457627114</v>
      </c>
      <c r="E35" s="18">
        <f t="shared" si="2"/>
        <v>180.1</v>
      </c>
      <c r="F35" s="18">
        <f t="shared" si="3"/>
        <v>182.91505299233756</v>
      </c>
      <c r="G35" s="20">
        <f t="shared" si="4"/>
        <v>-1.5630499679831038E-2</v>
      </c>
    </row>
    <row r="36" spans="2:7" x14ac:dyDescent="0.3">
      <c r="B36" s="9" t="s">
        <v>15</v>
      </c>
      <c r="C36" s="9">
        <f>$C9</f>
        <v>201.1</v>
      </c>
      <c r="D36" s="9">
        <f t="shared" si="1"/>
        <v>7.5985663082437274</v>
      </c>
      <c r="E36" s="9">
        <f t="shared" si="2"/>
        <v>42.4</v>
      </c>
      <c r="F36" s="9">
        <f t="shared" si="3"/>
        <v>44.172647344050333</v>
      </c>
      <c r="G36" s="20">
        <f t="shared" si="4"/>
        <v>-4.1807720378545618E-2</v>
      </c>
    </row>
    <row r="37" spans="2:7" x14ac:dyDescent="0.3">
      <c r="B37" s="18" t="s">
        <v>16</v>
      </c>
      <c r="C37" s="18">
        <f>$C9</f>
        <v>201.1</v>
      </c>
      <c r="D37" s="18">
        <f t="shared" si="1"/>
        <v>72.338129496402885</v>
      </c>
      <c r="E37" s="18">
        <f t="shared" si="2"/>
        <v>201.1</v>
      </c>
      <c r="F37" s="18">
        <f t="shared" si="3"/>
        <v>215.60037264073259</v>
      </c>
      <c r="G37" s="20">
        <f t="shared" si="4"/>
        <v>-7.2105284140888085E-2</v>
      </c>
    </row>
    <row r="38" spans="2:7" x14ac:dyDescent="0.3">
      <c r="B38" s="9" t="s">
        <v>15</v>
      </c>
      <c r="C38" s="9">
        <f>$C11</f>
        <v>217.8</v>
      </c>
      <c r="D38" s="9">
        <f t="shared" si="1"/>
        <v>7.0137825421133222</v>
      </c>
      <c r="E38" s="9">
        <f t="shared" si="2"/>
        <v>45.8</v>
      </c>
      <c r="F38" s="9">
        <f t="shared" si="3"/>
        <v>44.848489840021173</v>
      </c>
      <c r="G38" s="20">
        <f t="shared" si="4"/>
        <v>2.0775331003904451E-2</v>
      </c>
    </row>
    <row r="39" spans="2:7" x14ac:dyDescent="0.3">
      <c r="B39" s="18" t="s">
        <v>16</v>
      </c>
      <c r="C39" s="18">
        <f>$C11</f>
        <v>217.8</v>
      </c>
      <c r="D39" s="18">
        <f t="shared" si="1"/>
        <v>68.924050632911388</v>
      </c>
      <c r="E39" s="18">
        <f t="shared" si="2"/>
        <v>217.8</v>
      </c>
      <c r="F39" s="18">
        <f t="shared" si="3"/>
        <v>208.78435700778766</v>
      </c>
      <c r="G39" s="20">
        <f t="shared" si="4"/>
        <v>4.1394136787017213E-2</v>
      </c>
    </row>
    <row r="40" spans="2:7" x14ac:dyDescent="0.3">
      <c r="B40" s="9" t="s">
        <v>15</v>
      </c>
      <c r="C40" s="9">
        <f>$C13</f>
        <v>238.3</v>
      </c>
      <c r="D40" s="9">
        <f t="shared" si="1"/>
        <v>8.3527454242928467</v>
      </c>
      <c r="E40" s="9">
        <f t="shared" si="2"/>
        <v>50.20000000000001</v>
      </c>
      <c r="F40" s="9">
        <f t="shared" si="3"/>
        <v>51.124469149385973</v>
      </c>
      <c r="G40" s="20">
        <f t="shared" si="4"/>
        <v>-1.8415720107290104E-2</v>
      </c>
    </row>
    <row r="41" spans="2:7" x14ac:dyDescent="0.3">
      <c r="B41" s="18" t="s">
        <v>16</v>
      </c>
      <c r="C41" s="18">
        <f>$C13</f>
        <v>238.3</v>
      </c>
      <c r="D41" s="18">
        <f t="shared" si="1"/>
        <v>76.870967741935488</v>
      </c>
      <c r="E41" s="18">
        <f t="shared" si="2"/>
        <v>238.3</v>
      </c>
      <c r="F41" s="18">
        <f t="shared" si="3"/>
        <v>232.55792984709689</v>
      </c>
      <c r="G41" s="20">
        <f t="shared" si="4"/>
        <v>2.4095972106181807E-2</v>
      </c>
    </row>
    <row r="42" spans="2:7" x14ac:dyDescent="0.3">
      <c r="B42" s="9" t="s">
        <v>15</v>
      </c>
      <c r="C42" s="9">
        <f>$C15</f>
        <v>261.10000000000002</v>
      </c>
      <c r="D42" s="9">
        <f t="shared" si="1"/>
        <v>9.0311986863711002</v>
      </c>
      <c r="E42" s="9">
        <f t="shared" si="2"/>
        <v>55</v>
      </c>
      <c r="F42" s="9">
        <f t="shared" si="3"/>
        <v>55.957790209735933</v>
      </c>
      <c r="G42" s="20">
        <f t="shared" si="4"/>
        <v>-1.7414367449744231E-2</v>
      </c>
    </row>
    <row r="43" spans="2:7" x14ac:dyDescent="0.3">
      <c r="B43" s="18" t="s">
        <v>16</v>
      </c>
      <c r="C43" s="18">
        <f>$C15</f>
        <v>261.10000000000002</v>
      </c>
      <c r="D43" s="18">
        <f t="shared" si="1"/>
        <v>90.659722222222229</v>
      </c>
      <c r="E43" s="18">
        <f t="shared" si="2"/>
        <v>261.10000000000002</v>
      </c>
      <c r="F43" s="18">
        <f t="shared" si="3"/>
        <v>272.10679431109565</v>
      </c>
      <c r="G43" s="20">
        <f t="shared" si="4"/>
        <v>-4.215547419033179E-2</v>
      </c>
    </row>
    <row r="44" spans="2:7" x14ac:dyDescent="0.3">
      <c r="B44" s="9" t="s">
        <v>15</v>
      </c>
      <c r="C44" s="9">
        <f>$C17</f>
        <v>264.5</v>
      </c>
      <c r="D44" s="9">
        <f t="shared" si="1"/>
        <v>9.1297208538587853</v>
      </c>
      <c r="E44" s="9">
        <f t="shared" si="2"/>
        <v>55.6</v>
      </c>
      <c r="F44" s="9">
        <f t="shared" si="3"/>
        <v>56.671529701291412</v>
      </c>
      <c r="G44" s="20">
        <f t="shared" si="4"/>
        <v>-1.9272116929701631E-2</v>
      </c>
    </row>
    <row r="45" spans="2:7" x14ac:dyDescent="0.3">
      <c r="B45" s="18" t="s">
        <v>16</v>
      </c>
      <c r="C45" s="18">
        <f>$C17</f>
        <v>264.5</v>
      </c>
      <c r="D45" s="18">
        <f t="shared" si="1"/>
        <v>82.65625</v>
      </c>
      <c r="E45" s="18">
        <f t="shared" si="2"/>
        <v>264.5</v>
      </c>
      <c r="F45" s="18">
        <f t="shared" si="3"/>
        <v>251.3667828009996</v>
      </c>
      <c r="G45" s="20">
        <f t="shared" si="4"/>
        <v>4.9652995081286948E-2</v>
      </c>
    </row>
    <row r="46" spans="2:7" x14ac:dyDescent="0.3">
      <c r="B46" s="9" t="s">
        <v>15</v>
      </c>
      <c r="C46" s="9">
        <f>$C19</f>
        <v>288.8</v>
      </c>
      <c r="D46" s="9">
        <f t="shared" si="1"/>
        <v>9.8222940226171236</v>
      </c>
      <c r="E46" s="9">
        <f t="shared" si="2"/>
        <v>60.8</v>
      </c>
      <c r="F46" s="9">
        <f t="shared" si="3"/>
        <v>61.742029466810962</v>
      </c>
      <c r="G46" s="20">
        <f t="shared" si="4"/>
        <v>-1.5493905704127712E-2</v>
      </c>
    </row>
    <row r="47" spans="2:7" x14ac:dyDescent="0.3">
      <c r="B47" s="18" t="s">
        <v>16</v>
      </c>
      <c r="C47" s="18">
        <f>$C19</f>
        <v>288.8</v>
      </c>
      <c r="D47" s="18">
        <f t="shared" si="1"/>
        <v>95.94684385382061</v>
      </c>
      <c r="E47" s="18">
        <f t="shared" si="2"/>
        <v>288.8</v>
      </c>
      <c r="F47" s="18">
        <f t="shared" si="3"/>
        <v>289.79632799294512</v>
      </c>
      <c r="G47" s="20">
        <f t="shared" si="4"/>
        <v>-3.449889172247617E-3</v>
      </c>
    </row>
    <row r="49" spans="2:7" x14ac:dyDescent="0.3">
      <c r="B49" t="s">
        <v>19</v>
      </c>
      <c r="C49" t="s">
        <v>20</v>
      </c>
      <c r="D49" t="s">
        <v>21</v>
      </c>
    </row>
    <row r="50" spans="2:7" x14ac:dyDescent="0.3">
      <c r="B50" cm="1">
        <f t="array" ref="B50:D50">LINEST(E30:E47,C30:D47)</f>
        <v>2.6479592517243975</v>
      </c>
      <c r="C50">
        <v>0.13319317842838826</v>
      </c>
      <c r="D50">
        <v>-2.7331947936538228</v>
      </c>
    </row>
    <row r="51" spans="2:7" x14ac:dyDescent="0.3">
      <c r="B51" s="35">
        <v>2.6479592517243975</v>
      </c>
      <c r="C51" s="67">
        <v>0.13319317842838826</v>
      </c>
      <c r="D51" s="35">
        <v>-2.7331947936538228</v>
      </c>
    </row>
    <row r="53" spans="2:7" x14ac:dyDescent="0.3">
      <c r="B53" s="2" t="s">
        <v>416</v>
      </c>
      <c r="C53" s="57">
        <v>0.15</v>
      </c>
    </row>
    <row r="54" spans="2:7" x14ac:dyDescent="0.3">
      <c r="B54" s="2" t="s">
        <v>415</v>
      </c>
      <c r="C54" s="57">
        <v>1</v>
      </c>
    </row>
    <row r="56" spans="2:7" x14ac:dyDescent="0.3">
      <c r="B56" t="s">
        <v>417</v>
      </c>
    </row>
    <row r="58" spans="2:7" x14ac:dyDescent="0.3">
      <c r="B58" s="2" t="s">
        <v>378</v>
      </c>
      <c r="C58" s="2" t="s">
        <v>379</v>
      </c>
      <c r="F58" s="2" t="s">
        <v>380</v>
      </c>
      <c r="G58" s="2" t="s">
        <v>381</v>
      </c>
    </row>
    <row r="59" spans="2:7" x14ac:dyDescent="0.3">
      <c r="B59">
        <f>C53</f>
        <v>0.15</v>
      </c>
      <c r="C59" s="67">
        <f>B51*C53+C51</f>
        <v>0.5303870661870479</v>
      </c>
      <c r="D59" s="67"/>
      <c r="F59">
        <f>C54</f>
        <v>1</v>
      </c>
      <c r="G59" s="35">
        <f>B51*C54+C51</f>
        <v>2.7811524301527859</v>
      </c>
    </row>
  </sheetData>
  <hyperlinks>
    <hyperlink ref="C23" r:id="rId1" xr:uid="{983D72FC-5865-427B-8A1E-61033F7175F2}"/>
    <hyperlink ref="C24" r:id="rId2" xr:uid="{31EDAE84-5364-4017-88A6-4F703FDE560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7F54-AE75-46A0-9952-2587AE4F57EA}">
  <sheetPr>
    <tabColor theme="9" tint="0.59999389629810485"/>
  </sheetPr>
  <dimension ref="B2:G55"/>
  <sheetViews>
    <sheetView workbookViewId="0">
      <selection activeCell="F28" sqref="F28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2" spans="2:7" x14ac:dyDescent="0.3">
      <c r="B2" t="s">
        <v>278</v>
      </c>
    </row>
    <row r="4" spans="2:7" x14ac:dyDescent="0.3">
      <c r="B4" s="10" t="s">
        <v>279</v>
      </c>
      <c r="C4" s="2" t="s">
        <v>284</v>
      </c>
      <c r="D4" s="2" t="s">
        <v>285</v>
      </c>
      <c r="E4" s="2" t="s">
        <v>286</v>
      </c>
      <c r="F4" s="2" t="s">
        <v>287</v>
      </c>
      <c r="G4" s="2" t="s">
        <v>288</v>
      </c>
    </row>
    <row r="5" spans="2:7" x14ac:dyDescent="0.3">
      <c r="B5" s="2" t="s">
        <v>280</v>
      </c>
      <c r="C5">
        <v>23</v>
      </c>
      <c r="D5">
        <v>20</v>
      </c>
      <c r="E5">
        <v>25</v>
      </c>
      <c r="F5" s="8">
        <f>$C5/$D5</f>
        <v>1.1499999999999999</v>
      </c>
    </row>
    <row r="6" spans="2:7" x14ac:dyDescent="0.3">
      <c r="B6" s="2" t="s">
        <v>281</v>
      </c>
      <c r="C6">
        <v>48</v>
      </c>
      <c r="D6">
        <v>45</v>
      </c>
      <c r="E6">
        <v>50</v>
      </c>
      <c r="F6" s="8">
        <f t="shared" ref="F6:F8" si="0">$C6/$D6</f>
        <v>1.0666666666666667</v>
      </c>
    </row>
    <row r="7" spans="2:7" x14ac:dyDescent="0.3">
      <c r="B7" s="2" t="s">
        <v>282</v>
      </c>
      <c r="C7">
        <v>73</v>
      </c>
      <c r="D7">
        <v>70</v>
      </c>
      <c r="E7">
        <v>75</v>
      </c>
      <c r="F7" s="8">
        <f t="shared" si="0"/>
        <v>1.0428571428571429</v>
      </c>
    </row>
    <row r="8" spans="2:7" x14ac:dyDescent="0.3">
      <c r="B8" s="2" t="s">
        <v>283</v>
      </c>
      <c r="C8">
        <v>100</v>
      </c>
      <c r="D8">
        <v>100</v>
      </c>
      <c r="E8">
        <v>100</v>
      </c>
      <c r="F8" s="8">
        <f t="shared" si="0"/>
        <v>1</v>
      </c>
    </row>
    <row r="12" spans="2:7" x14ac:dyDescent="0.3">
      <c r="B12" t="s">
        <v>305</v>
      </c>
    </row>
    <row r="13" spans="2:7" x14ac:dyDescent="0.3">
      <c r="B13" s="10" t="s">
        <v>304</v>
      </c>
    </row>
    <row r="14" spans="2:7" x14ac:dyDescent="0.3">
      <c r="B14" s="2" t="s">
        <v>286</v>
      </c>
      <c r="C14" s="2" t="s">
        <v>288</v>
      </c>
      <c r="D14" s="2" t="s">
        <v>294</v>
      </c>
      <c r="E14" s="2" t="s">
        <v>295</v>
      </c>
    </row>
    <row r="15" spans="2:7" x14ac:dyDescent="0.3">
      <c r="B15" s="61" t="s">
        <v>302</v>
      </c>
      <c r="C15" s="62">
        <v>4.55</v>
      </c>
      <c r="D15">
        <v>43</v>
      </c>
      <c r="E15" s="9">
        <f>$D15/$C15</f>
        <v>9.4505494505494507</v>
      </c>
    </row>
    <row r="16" spans="2:7" x14ac:dyDescent="0.3">
      <c r="B16" s="57">
        <v>0.48</v>
      </c>
      <c r="C16" s="62">
        <f>$F$6*$C17</f>
        <v>3.4261333333333335</v>
      </c>
      <c r="D16" s="9">
        <f>$B16*$D18</f>
        <v>59.519999999999996</v>
      </c>
      <c r="E16" s="9">
        <f t="shared" ref="E16:E18" si="1">$D16/$C16</f>
        <v>17.372353673723534</v>
      </c>
    </row>
    <row r="17" spans="2:5" x14ac:dyDescent="0.3">
      <c r="B17" s="57">
        <v>0.73</v>
      </c>
      <c r="C17" s="62">
        <f>$F$7*$C18</f>
        <v>3.2120000000000002</v>
      </c>
      <c r="D17">
        <f>$B17*$D18</f>
        <v>90.52</v>
      </c>
      <c r="E17" s="9">
        <f t="shared" si="1"/>
        <v>28.18181818181818</v>
      </c>
    </row>
    <row r="18" spans="2:5" x14ac:dyDescent="0.3">
      <c r="B18" s="57">
        <v>1</v>
      </c>
      <c r="C18" s="62">
        <v>3.08</v>
      </c>
      <c r="D18">
        <v>124</v>
      </c>
      <c r="E18" s="9">
        <f t="shared" si="1"/>
        <v>40.259740259740262</v>
      </c>
    </row>
    <row r="31" spans="2:5" x14ac:dyDescent="0.3">
      <c r="B31" t="s">
        <v>309</v>
      </c>
    </row>
    <row r="32" spans="2:5" x14ac:dyDescent="0.3">
      <c r="B32" s="10" t="s">
        <v>308</v>
      </c>
    </row>
    <row r="33" spans="2:5" x14ac:dyDescent="0.3">
      <c r="B33" s="2" t="s">
        <v>286</v>
      </c>
      <c r="C33" s="2" t="s">
        <v>288</v>
      </c>
      <c r="D33" s="2" t="s">
        <v>294</v>
      </c>
      <c r="E33" s="2" t="s">
        <v>295</v>
      </c>
    </row>
    <row r="34" spans="2:5" x14ac:dyDescent="0.3">
      <c r="B34" s="63" t="s">
        <v>303</v>
      </c>
      <c r="C34" s="62">
        <v>4.5599999999999996</v>
      </c>
      <c r="D34" s="9">
        <v>90.4</v>
      </c>
      <c r="E34" s="9">
        <f>$D34/$C34</f>
        <v>19.824561403508774</v>
      </c>
    </row>
    <row r="35" spans="2:5" x14ac:dyDescent="0.3">
      <c r="B35" s="57">
        <v>0.48</v>
      </c>
      <c r="C35" s="62">
        <f>$C36*1.043</f>
        <v>3.6007801899999996</v>
      </c>
      <c r="D35" s="9">
        <f>$B35*$D37</f>
        <v>125.28</v>
      </c>
      <c r="E35" s="9">
        <f>$D35/$C35</f>
        <v>34.79245979744185</v>
      </c>
    </row>
    <row r="36" spans="2:5" x14ac:dyDescent="0.3">
      <c r="B36" s="57">
        <v>0.73</v>
      </c>
      <c r="C36" s="62">
        <f>$C37*1.043</f>
        <v>3.4523299999999999</v>
      </c>
      <c r="D36">
        <f>$B36*$D37</f>
        <v>190.53</v>
      </c>
      <c r="E36" s="9">
        <f>$D36/$C36</f>
        <v>55.188814510779679</v>
      </c>
    </row>
    <row r="37" spans="2:5" x14ac:dyDescent="0.3">
      <c r="B37" s="57">
        <v>1</v>
      </c>
      <c r="C37" s="62">
        <v>3.31</v>
      </c>
      <c r="D37">
        <v>261</v>
      </c>
      <c r="E37" s="9">
        <f>$D37/$C37</f>
        <v>78.851963746223561</v>
      </c>
    </row>
    <row r="49" spans="2:5" x14ac:dyDescent="0.3">
      <c r="B49" t="s">
        <v>310</v>
      </c>
    </row>
    <row r="50" spans="2:5" x14ac:dyDescent="0.3">
      <c r="B50" s="10" t="s">
        <v>311</v>
      </c>
    </row>
    <row r="51" spans="2:5" x14ac:dyDescent="0.3">
      <c r="B51" s="2" t="s">
        <v>286</v>
      </c>
      <c r="C51" s="2" t="s">
        <v>288</v>
      </c>
      <c r="D51" s="2" t="s">
        <v>294</v>
      </c>
      <c r="E51" s="2" t="s">
        <v>295</v>
      </c>
    </row>
    <row r="52" spans="2:5" x14ac:dyDescent="0.3">
      <c r="B52" s="63" t="s">
        <v>303</v>
      </c>
      <c r="C52" s="62">
        <v>4.95</v>
      </c>
      <c r="D52">
        <v>191.7</v>
      </c>
      <c r="E52" s="9">
        <f>$D52/$C52</f>
        <v>38.727272727272727</v>
      </c>
    </row>
    <row r="53" spans="2:5" x14ac:dyDescent="0.3">
      <c r="B53" s="57">
        <v>0.48</v>
      </c>
      <c r="C53" s="62">
        <f>$C54*1.043</f>
        <v>3.7639575399999998</v>
      </c>
      <c r="D53" s="9">
        <f>$B53*$D55</f>
        <v>265.92</v>
      </c>
      <c r="E53" s="9">
        <f>$D53/$C53</f>
        <v>70.649043506479089</v>
      </c>
    </row>
    <row r="54" spans="2:5" x14ac:dyDescent="0.3">
      <c r="B54" s="57">
        <v>0.73</v>
      </c>
      <c r="C54" s="62">
        <f>$C55*1.043</f>
        <v>3.6087799999999999</v>
      </c>
      <c r="D54">
        <f>$B54*$D55</f>
        <v>404.42</v>
      </c>
      <c r="E54" s="9">
        <f>$D54/$C54</f>
        <v>112.06557340707941</v>
      </c>
    </row>
    <row r="55" spans="2:5" x14ac:dyDescent="0.3">
      <c r="B55" s="57">
        <v>1</v>
      </c>
      <c r="C55" s="62">
        <v>3.46</v>
      </c>
      <c r="D55">
        <v>554</v>
      </c>
      <c r="E55" s="9">
        <f>$D55/$C55</f>
        <v>160.11560693641619</v>
      </c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4171-F96E-47F8-9D3B-D17B8C114717}">
  <sheetPr>
    <tabColor theme="9" tint="0.59999389629810485"/>
  </sheetPr>
  <dimension ref="B6:E48"/>
  <sheetViews>
    <sheetView topLeftCell="A31" workbookViewId="0">
      <selection activeCell="C46" sqref="C46:E48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6" spans="2:5" x14ac:dyDescent="0.3">
      <c r="B6" s="10" t="s">
        <v>304</v>
      </c>
    </row>
    <row r="7" spans="2:5" x14ac:dyDescent="0.3">
      <c r="B7" s="2" t="s">
        <v>286</v>
      </c>
      <c r="C7" s="2" t="s">
        <v>288</v>
      </c>
      <c r="D7" s="2" t="s">
        <v>294</v>
      </c>
      <c r="E7" s="2" t="s">
        <v>295</v>
      </c>
    </row>
    <row r="8" spans="2:5" x14ac:dyDescent="0.3">
      <c r="B8" s="61"/>
      <c r="C8" s="64">
        <v>3.08</v>
      </c>
      <c r="D8" s="9">
        <v>124</v>
      </c>
      <c r="E8" s="9">
        <f>$D8/$C8</f>
        <v>40.259740259740262</v>
      </c>
    </row>
    <row r="9" spans="2:5" x14ac:dyDescent="0.3">
      <c r="B9" s="57"/>
      <c r="C9" s="64">
        <v>3.41</v>
      </c>
      <c r="D9" s="9">
        <v>66.900000000000006</v>
      </c>
      <c r="E9" s="9">
        <f>$D9/$C9</f>
        <v>19.61876832844575</v>
      </c>
    </row>
    <row r="10" spans="2:5" x14ac:dyDescent="0.3">
      <c r="B10" s="57"/>
      <c r="C10" s="64">
        <v>4.55</v>
      </c>
      <c r="D10" s="9">
        <v>43</v>
      </c>
      <c r="E10" s="9">
        <f>$D10/$C10</f>
        <v>9.4505494505494507</v>
      </c>
    </row>
    <row r="11" spans="2:5" x14ac:dyDescent="0.3">
      <c r="B11" s="57"/>
      <c r="C11" s="9">
        <v>4.54</v>
      </c>
      <c r="D11" s="9">
        <v>19.100000000000001</v>
      </c>
      <c r="E11" s="9">
        <f>$D11/$C11</f>
        <v>4.2070484581497798</v>
      </c>
    </row>
    <row r="25" spans="2:5" x14ac:dyDescent="0.3">
      <c r="B25" s="10" t="s">
        <v>313</v>
      </c>
    </row>
    <row r="26" spans="2:5" x14ac:dyDescent="0.3">
      <c r="B26" s="2" t="s">
        <v>286</v>
      </c>
      <c r="C26" s="2" t="s">
        <v>288</v>
      </c>
      <c r="D26" s="2" t="s">
        <v>294</v>
      </c>
      <c r="E26" s="2" t="s">
        <v>295</v>
      </c>
    </row>
    <row r="27" spans="2:5" x14ac:dyDescent="0.3">
      <c r="B27" s="63"/>
      <c r="C27" s="64">
        <v>3.31</v>
      </c>
      <c r="D27" s="9">
        <v>196</v>
      </c>
      <c r="E27" s="9">
        <f>$D27/$C27</f>
        <v>59.214501510574017</v>
      </c>
    </row>
    <row r="28" spans="2:5" x14ac:dyDescent="0.3">
      <c r="B28" s="57"/>
      <c r="C28" s="64">
        <v>3.57</v>
      </c>
      <c r="D28" s="9">
        <v>105.7</v>
      </c>
      <c r="E28" s="9">
        <f>$D28/$C28</f>
        <v>29.607843137254903</v>
      </c>
    </row>
    <row r="29" spans="2:5" x14ac:dyDescent="0.3">
      <c r="B29" s="57"/>
      <c r="C29" s="64">
        <v>4.71</v>
      </c>
      <c r="D29" s="9">
        <v>67.900000000000006</v>
      </c>
      <c r="E29" s="9">
        <f>$D29/$C29</f>
        <v>14.416135881104035</v>
      </c>
    </row>
    <row r="30" spans="2:5" x14ac:dyDescent="0.3">
      <c r="B30" s="57"/>
      <c r="C30" s="9">
        <v>4.76</v>
      </c>
      <c r="D30" s="9">
        <v>30.2</v>
      </c>
      <c r="E30" s="9">
        <f>$D30/$C30</f>
        <v>6.344537815126051</v>
      </c>
    </row>
    <row r="43" spans="2:5" x14ac:dyDescent="0.3">
      <c r="B43" s="10" t="s">
        <v>314</v>
      </c>
    </row>
    <row r="44" spans="2:5" x14ac:dyDescent="0.3">
      <c r="B44" s="2" t="s">
        <v>286</v>
      </c>
      <c r="C44" s="2" t="s">
        <v>288</v>
      </c>
      <c r="D44" s="2" t="s">
        <v>294</v>
      </c>
      <c r="E44" s="2" t="s">
        <v>295</v>
      </c>
    </row>
    <row r="45" spans="2:5" x14ac:dyDescent="0.3">
      <c r="B45" s="63"/>
      <c r="C45" s="9">
        <v>3.27</v>
      </c>
      <c r="D45">
        <v>287</v>
      </c>
      <c r="E45" s="9">
        <f>$D45/$C45</f>
        <v>87.767584097859327</v>
      </c>
    </row>
    <row r="46" spans="2:5" x14ac:dyDescent="0.3">
      <c r="B46" s="57"/>
      <c r="C46" s="9">
        <v>3.7</v>
      </c>
      <c r="D46">
        <v>154.4</v>
      </c>
      <c r="E46" s="9">
        <f>$D46/$C46</f>
        <v>41.729729729729726</v>
      </c>
    </row>
    <row r="47" spans="2:5" x14ac:dyDescent="0.3">
      <c r="B47" s="57"/>
      <c r="C47" s="9">
        <v>4.68</v>
      </c>
      <c r="D47">
        <v>99.3</v>
      </c>
      <c r="E47" s="9">
        <f>$D47/$C47</f>
        <v>21.217948717948719</v>
      </c>
    </row>
    <row r="48" spans="2:5" x14ac:dyDescent="0.3">
      <c r="B48" s="57"/>
      <c r="C48" s="9">
        <v>4.66</v>
      </c>
      <c r="D48">
        <v>44.1</v>
      </c>
      <c r="E48" s="9">
        <f>$D48/$C48</f>
        <v>9.4635193133047206</v>
      </c>
    </row>
  </sheetData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E628-F603-441C-9110-D5740D82A5B8}">
  <sheetPr>
    <tabColor rgb="FF00B050"/>
  </sheetPr>
  <dimension ref="A1:K51"/>
  <sheetViews>
    <sheetView topLeftCell="A31" workbookViewId="0">
      <selection activeCell="B45" sqref="B45:G51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198</v>
      </c>
      <c r="C1" s="3" t="s">
        <v>0</v>
      </c>
      <c r="D1" s="2" t="s">
        <v>32</v>
      </c>
      <c r="E1" s="5" t="s">
        <v>11</v>
      </c>
      <c r="F1" s="2" t="s">
        <v>31</v>
      </c>
    </row>
    <row r="2" spans="2:11" x14ac:dyDescent="0.3">
      <c r="B2" s="17" t="s">
        <v>199</v>
      </c>
      <c r="C2" s="7">
        <v>108.5</v>
      </c>
      <c r="D2" s="9">
        <v>6.73</v>
      </c>
      <c r="E2" s="6" t="s">
        <v>184</v>
      </c>
      <c r="F2" s="9">
        <f t="shared" ref="F2:F15" si="0">$C2/$D2</f>
        <v>16.121842496285289</v>
      </c>
      <c r="G2" s="9" t="s">
        <v>15</v>
      </c>
    </row>
    <row r="3" spans="2:11" x14ac:dyDescent="0.3">
      <c r="B3" s="16" t="s">
        <v>200</v>
      </c>
      <c r="C3" s="26">
        <v>335</v>
      </c>
      <c r="D3" s="18">
        <v>3.49</v>
      </c>
      <c r="E3" s="19" t="s">
        <v>204</v>
      </c>
      <c r="F3" s="18">
        <f t="shared" si="0"/>
        <v>95.988538681948413</v>
      </c>
      <c r="G3" s="18" t="s">
        <v>16</v>
      </c>
    </row>
    <row r="4" spans="2:11" x14ac:dyDescent="0.3">
      <c r="B4" s="17" t="s">
        <v>199</v>
      </c>
      <c r="C4" s="7">
        <v>132.4</v>
      </c>
      <c r="D4" s="9">
        <v>5.16</v>
      </c>
      <c r="E4" s="6" t="s">
        <v>184</v>
      </c>
      <c r="F4" s="9">
        <f t="shared" si="0"/>
        <v>25.65891472868217</v>
      </c>
      <c r="G4" s="9" t="s">
        <v>15</v>
      </c>
    </row>
    <row r="5" spans="2:11" x14ac:dyDescent="0.3">
      <c r="B5" s="16" t="s">
        <v>200</v>
      </c>
      <c r="C5" s="26">
        <v>356</v>
      </c>
      <c r="D5" s="18">
        <v>3.47</v>
      </c>
      <c r="E5" s="19" t="s">
        <v>204</v>
      </c>
      <c r="F5" s="18">
        <f t="shared" si="0"/>
        <v>102.5936599423631</v>
      </c>
      <c r="G5" s="18" t="s">
        <v>16</v>
      </c>
    </row>
    <row r="6" spans="2:11" x14ac:dyDescent="0.3">
      <c r="B6" s="17" t="s">
        <v>199</v>
      </c>
      <c r="C6" s="7">
        <v>110.8</v>
      </c>
      <c r="D6" s="9">
        <v>6.88</v>
      </c>
      <c r="E6" s="6" t="s">
        <v>184</v>
      </c>
      <c r="F6" s="9">
        <f t="shared" si="0"/>
        <v>16.104651162790699</v>
      </c>
      <c r="G6" s="9" t="s">
        <v>15</v>
      </c>
    </row>
    <row r="7" spans="2:11" x14ac:dyDescent="0.3">
      <c r="B7" s="16" t="s">
        <v>200</v>
      </c>
      <c r="C7" s="26">
        <v>392</v>
      </c>
      <c r="D7" s="18">
        <v>3.4</v>
      </c>
      <c r="E7" s="19" t="s">
        <v>204</v>
      </c>
      <c r="F7" s="18">
        <f t="shared" si="0"/>
        <v>115.29411764705883</v>
      </c>
      <c r="G7" s="18" t="s">
        <v>16</v>
      </c>
    </row>
    <row r="8" spans="2:11" x14ac:dyDescent="0.3">
      <c r="B8" s="17" t="s">
        <v>199</v>
      </c>
      <c r="C8" s="7">
        <v>94.3</v>
      </c>
      <c r="D8" s="9">
        <v>7.22</v>
      </c>
      <c r="E8" s="6" t="s">
        <v>184</v>
      </c>
      <c r="F8" s="9">
        <f>$C8/$D8</f>
        <v>13.060941828254848</v>
      </c>
      <c r="G8" s="9" t="s">
        <v>15</v>
      </c>
    </row>
    <row r="9" spans="2:11" x14ac:dyDescent="0.3">
      <c r="B9" s="16" t="s">
        <v>200</v>
      </c>
      <c r="C9" s="26">
        <v>409</v>
      </c>
      <c r="D9" s="18">
        <v>3.48</v>
      </c>
      <c r="E9" s="19" t="s">
        <v>204</v>
      </c>
      <c r="F9" s="18">
        <f>$C9/$D9</f>
        <v>117.52873563218391</v>
      </c>
      <c r="G9" s="18" t="s">
        <v>16</v>
      </c>
    </row>
    <row r="10" spans="2:11" x14ac:dyDescent="0.3">
      <c r="B10" s="17" t="s">
        <v>199</v>
      </c>
      <c r="C10" s="7">
        <v>111.4</v>
      </c>
      <c r="D10" s="9">
        <v>6.95</v>
      </c>
      <c r="E10" s="6" t="s">
        <v>184</v>
      </c>
      <c r="F10" s="9">
        <f t="shared" si="0"/>
        <v>16.028776978417266</v>
      </c>
      <c r="G10" s="9" t="s">
        <v>15</v>
      </c>
    </row>
    <row r="11" spans="2:11" x14ac:dyDescent="0.3">
      <c r="B11" s="16" t="s">
        <v>200</v>
      </c>
      <c r="C11" s="26">
        <v>423</v>
      </c>
      <c r="D11" s="18">
        <v>3.48</v>
      </c>
      <c r="E11" s="19" t="s">
        <v>204</v>
      </c>
      <c r="F11" s="18">
        <f t="shared" si="0"/>
        <v>121.55172413793103</v>
      </c>
      <c r="G11" s="18" t="s">
        <v>16</v>
      </c>
    </row>
    <row r="12" spans="2:11" x14ac:dyDescent="0.3">
      <c r="B12" s="17" t="s">
        <v>199</v>
      </c>
      <c r="C12" s="7">
        <v>114.6</v>
      </c>
      <c r="D12" s="9">
        <v>7.18</v>
      </c>
      <c r="E12" s="6" t="s">
        <v>184</v>
      </c>
      <c r="F12" s="9">
        <f>$C12/$D12</f>
        <v>15.961002785515321</v>
      </c>
      <c r="G12" s="9" t="s">
        <v>15</v>
      </c>
    </row>
    <row r="13" spans="2:11" x14ac:dyDescent="0.3">
      <c r="B13" s="16" t="s">
        <v>200</v>
      </c>
      <c r="C13" s="26">
        <v>434</v>
      </c>
      <c r="D13" s="18">
        <v>3.42</v>
      </c>
      <c r="E13" s="19" t="s">
        <v>204</v>
      </c>
      <c r="F13" s="18">
        <f>$C13/$D13</f>
        <v>126.90058479532163</v>
      </c>
      <c r="G13" s="18" t="s">
        <v>16</v>
      </c>
    </row>
    <row r="14" spans="2:11" x14ac:dyDescent="0.3">
      <c r="B14" s="17" t="s">
        <v>199</v>
      </c>
      <c r="C14" s="7">
        <v>141.19999999999999</v>
      </c>
      <c r="D14" s="9">
        <v>7.16</v>
      </c>
      <c r="E14" s="6" t="s">
        <v>184</v>
      </c>
      <c r="F14" s="9">
        <f t="shared" si="0"/>
        <v>19.72067039106145</v>
      </c>
      <c r="G14" s="9" t="s">
        <v>15</v>
      </c>
      <c r="H14" s="2" t="s">
        <v>396</v>
      </c>
      <c r="I14" s="2" t="s">
        <v>379</v>
      </c>
      <c r="J14" s="2" t="s">
        <v>397</v>
      </c>
      <c r="K14" s="2" t="s">
        <v>381</v>
      </c>
    </row>
    <row r="15" spans="2:11" x14ac:dyDescent="0.3">
      <c r="B15" s="16" t="s">
        <v>200</v>
      </c>
      <c r="C15" s="26">
        <v>554</v>
      </c>
      <c r="D15" s="18">
        <v>3.46</v>
      </c>
      <c r="E15" s="19" t="s">
        <v>204</v>
      </c>
      <c r="F15" s="18">
        <f t="shared" si="0"/>
        <v>160.11560693641619</v>
      </c>
      <c r="G15" s="18" t="s">
        <v>16</v>
      </c>
      <c r="H15" s="26">
        <f>I15/D14</f>
        <v>711.93755924409572</v>
      </c>
      <c r="I15" s="26">
        <f>K15*C14/C15</f>
        <v>5097.4729241877258</v>
      </c>
      <c r="J15" s="26">
        <f>K15/D15</f>
        <v>5780.346820809249</v>
      </c>
      <c r="K15" s="39">
        <v>20000</v>
      </c>
    </row>
    <row r="18" spans="1:7" x14ac:dyDescent="0.3">
      <c r="B18" t="s">
        <v>1</v>
      </c>
      <c r="C18" t="s">
        <v>4</v>
      </c>
    </row>
    <row r="19" spans="1:7" x14ac:dyDescent="0.3">
      <c r="A19" t="s">
        <v>184</v>
      </c>
      <c r="B19" t="s">
        <v>183</v>
      </c>
      <c r="C19" s="4" t="s">
        <v>182</v>
      </c>
      <c r="D19" s="4"/>
      <c r="G19" t="s">
        <v>206</v>
      </c>
    </row>
    <row r="20" spans="1:7" x14ac:dyDescent="0.3">
      <c r="A20" t="s">
        <v>201</v>
      </c>
      <c r="B20" t="s">
        <v>203</v>
      </c>
      <c r="C20" s="4" t="s">
        <v>202</v>
      </c>
      <c r="D20" s="4"/>
    </row>
    <row r="21" spans="1:7" x14ac:dyDescent="0.3">
      <c r="C21" s="4"/>
    </row>
    <row r="22" spans="1:7" x14ac:dyDescent="0.3">
      <c r="C22" s="4"/>
    </row>
    <row r="23" spans="1:7" x14ac:dyDescent="0.3">
      <c r="B23" s="14"/>
      <c r="C23" s="4"/>
    </row>
    <row r="24" spans="1:7" x14ac:dyDescent="0.3">
      <c r="E24" s="10" t="s">
        <v>18</v>
      </c>
      <c r="F24" s="10" t="s">
        <v>18</v>
      </c>
      <c r="G24" s="10" t="s">
        <v>18</v>
      </c>
    </row>
    <row r="25" spans="1:7" x14ac:dyDescent="0.3">
      <c r="B25" s="2" t="s">
        <v>13</v>
      </c>
      <c r="C25" s="2" t="s">
        <v>12</v>
      </c>
      <c r="D25" s="2" t="s">
        <v>25</v>
      </c>
      <c r="E25" s="2" t="s">
        <v>17</v>
      </c>
      <c r="F25" s="2" t="s">
        <v>22</v>
      </c>
      <c r="G25" s="2" t="s">
        <v>23</v>
      </c>
    </row>
    <row r="26" spans="1:7" x14ac:dyDescent="0.3">
      <c r="B26" s="9" t="s">
        <v>15</v>
      </c>
      <c r="C26" s="9">
        <f>$C3</f>
        <v>335</v>
      </c>
      <c r="D26" s="9">
        <f t="shared" ref="D26:D39" si="1">$F2</f>
        <v>16.121842496285289</v>
      </c>
      <c r="E26" s="9">
        <f t="shared" ref="E26:E39" si="2">$D26*$D2</f>
        <v>108.5</v>
      </c>
      <c r="F26" s="9">
        <f t="shared" ref="F26:F39" si="3">$B$42*$D26+$C$42*$C26+$D$42</f>
        <v>101.30184649583722</v>
      </c>
      <c r="G26" s="20">
        <f t="shared" ref="G26:G39" si="4">($E26-$F26)/$E26</f>
        <v>6.6342428609795168E-2</v>
      </c>
    </row>
    <row r="27" spans="1:7" x14ac:dyDescent="0.3">
      <c r="B27" s="18" t="s">
        <v>16</v>
      </c>
      <c r="C27" s="18">
        <f>$C3</f>
        <v>335</v>
      </c>
      <c r="D27" s="18">
        <f t="shared" si="1"/>
        <v>95.988538681948413</v>
      </c>
      <c r="E27" s="18">
        <f t="shared" si="2"/>
        <v>335</v>
      </c>
      <c r="F27" s="18">
        <f t="shared" si="3"/>
        <v>334.33943732778795</v>
      </c>
      <c r="G27" s="20">
        <f t="shared" si="4"/>
        <v>1.9718288722747816E-3</v>
      </c>
    </row>
    <row r="28" spans="1:7" x14ac:dyDescent="0.3">
      <c r="B28" s="9" t="s">
        <v>15</v>
      </c>
      <c r="C28" s="9">
        <f>$C5</f>
        <v>356</v>
      </c>
      <c r="D28" s="9">
        <f t="shared" si="1"/>
        <v>25.65891472868217</v>
      </c>
      <c r="E28" s="9">
        <f t="shared" si="2"/>
        <v>132.4</v>
      </c>
      <c r="F28" s="9">
        <f t="shared" si="3"/>
        <v>131.90973505257398</v>
      </c>
      <c r="G28" s="20">
        <f t="shared" si="4"/>
        <v>3.7029074579005075E-3</v>
      </c>
    </row>
    <row r="29" spans="1:7" x14ac:dyDescent="0.3">
      <c r="B29" s="18" t="s">
        <v>16</v>
      </c>
      <c r="C29" s="18">
        <f>$C5</f>
        <v>356</v>
      </c>
      <c r="D29" s="18">
        <f t="shared" si="1"/>
        <v>102.5936599423631</v>
      </c>
      <c r="E29" s="18">
        <f t="shared" si="2"/>
        <v>356</v>
      </c>
      <c r="F29" s="18">
        <f t="shared" si="3"/>
        <v>356.39238592106631</v>
      </c>
      <c r="G29" s="20">
        <f t="shared" si="4"/>
        <v>-1.1022076434446819E-3</v>
      </c>
    </row>
    <row r="30" spans="1:7" x14ac:dyDescent="0.3">
      <c r="B30" s="9" t="s">
        <v>15</v>
      </c>
      <c r="C30" s="9">
        <f t="shared" ref="C30" si="5">$C7</f>
        <v>392</v>
      </c>
      <c r="D30" s="9">
        <f t="shared" si="1"/>
        <v>16.104651162790699</v>
      </c>
      <c r="E30" s="9">
        <f t="shared" si="2"/>
        <v>110.80000000000001</v>
      </c>
      <c r="F30" s="9">
        <f t="shared" si="3"/>
        <v>108.79825525175409</v>
      </c>
      <c r="G30" s="20">
        <f t="shared" si="4"/>
        <v>1.8066288341569727E-2</v>
      </c>
    </row>
    <row r="31" spans="1:7" x14ac:dyDescent="0.3">
      <c r="B31" s="18" t="s">
        <v>16</v>
      </c>
      <c r="C31" s="18">
        <f t="shared" ref="C31" si="6">$C7</f>
        <v>392</v>
      </c>
      <c r="D31" s="18">
        <f t="shared" si="1"/>
        <v>115.29411764705883</v>
      </c>
      <c r="E31" s="18">
        <f t="shared" si="2"/>
        <v>392</v>
      </c>
      <c r="F31" s="18">
        <f t="shared" si="3"/>
        <v>398.21644092035973</v>
      </c>
      <c r="G31" s="20">
        <f t="shared" si="4"/>
        <v>-1.5858267653978905E-2</v>
      </c>
    </row>
    <row r="32" spans="1:7" x14ac:dyDescent="0.3">
      <c r="B32" s="9" t="s">
        <v>15</v>
      </c>
      <c r="C32" s="9">
        <f t="shared" ref="C32" si="7">$C9</f>
        <v>409</v>
      </c>
      <c r="D32" s="9">
        <f t="shared" si="1"/>
        <v>13.060941828254848</v>
      </c>
      <c r="E32" s="9">
        <f t="shared" si="2"/>
        <v>94.3</v>
      </c>
      <c r="F32" s="9">
        <f t="shared" si="3"/>
        <v>102.16795463336695</v>
      </c>
      <c r="G32" s="20">
        <f t="shared" si="4"/>
        <v>-8.3435361965715271E-2</v>
      </c>
    </row>
    <row r="33" spans="2:7" x14ac:dyDescent="0.3">
      <c r="B33" s="18" t="s">
        <v>16</v>
      </c>
      <c r="C33" s="18">
        <f t="shared" ref="C33" si="8">$C9</f>
        <v>409</v>
      </c>
      <c r="D33" s="18">
        <f t="shared" si="1"/>
        <v>117.52873563218391</v>
      </c>
      <c r="E33" s="18">
        <f t="shared" si="2"/>
        <v>409</v>
      </c>
      <c r="F33" s="18">
        <f t="shared" si="3"/>
        <v>406.98741193260076</v>
      </c>
      <c r="G33" s="20">
        <f t="shared" si="4"/>
        <v>4.9207532210250255E-3</v>
      </c>
    </row>
    <row r="34" spans="2:7" x14ac:dyDescent="0.3">
      <c r="B34" s="9" t="s">
        <v>15</v>
      </c>
      <c r="C34" s="9">
        <f t="shared" ref="C34" si="9">$C11</f>
        <v>423</v>
      </c>
      <c r="D34" s="9">
        <f t="shared" si="1"/>
        <v>16.028776978417266</v>
      </c>
      <c r="E34" s="9">
        <f t="shared" si="2"/>
        <v>111.4</v>
      </c>
      <c r="F34" s="9">
        <f t="shared" si="3"/>
        <v>112.68114214738779</v>
      </c>
      <c r="G34" s="20">
        <f t="shared" si="4"/>
        <v>-1.1500378342798769E-2</v>
      </c>
    </row>
    <row r="35" spans="2:7" x14ac:dyDescent="0.3">
      <c r="B35" s="18" t="s">
        <v>16</v>
      </c>
      <c r="C35" s="18">
        <f t="shared" ref="C35" si="10">$C11</f>
        <v>423</v>
      </c>
      <c r="D35" s="18">
        <f t="shared" si="1"/>
        <v>121.55172413793103</v>
      </c>
      <c r="E35" s="18">
        <f t="shared" si="2"/>
        <v>423</v>
      </c>
      <c r="F35" s="18">
        <f t="shared" si="3"/>
        <v>420.57935952669425</v>
      </c>
      <c r="G35" s="20">
        <f t="shared" si="4"/>
        <v>5.7225543104154905E-3</v>
      </c>
    </row>
    <row r="36" spans="2:7" x14ac:dyDescent="0.3">
      <c r="B36" s="9" t="s">
        <v>15</v>
      </c>
      <c r="C36" s="9">
        <f t="shared" ref="C36" si="11">$C13</f>
        <v>434</v>
      </c>
      <c r="D36" s="9">
        <f t="shared" si="1"/>
        <v>15.961002785515321</v>
      </c>
      <c r="E36" s="9">
        <f t="shared" si="2"/>
        <v>114.6</v>
      </c>
      <c r="F36" s="9">
        <f t="shared" si="3"/>
        <v>113.93974409602998</v>
      </c>
      <c r="G36" s="20">
        <f t="shared" si="4"/>
        <v>5.7613953226004462E-3</v>
      </c>
    </row>
    <row r="37" spans="2:7" x14ac:dyDescent="0.3">
      <c r="B37" s="18" t="s">
        <v>16</v>
      </c>
      <c r="C37" s="18">
        <f t="shared" ref="C37" si="12">$C13</f>
        <v>434</v>
      </c>
      <c r="D37" s="18">
        <f t="shared" si="1"/>
        <v>126.90058479532163</v>
      </c>
      <c r="E37" s="18">
        <f t="shared" si="2"/>
        <v>434</v>
      </c>
      <c r="F37" s="18">
        <f t="shared" si="3"/>
        <v>437.64279122557662</v>
      </c>
      <c r="G37" s="20">
        <f t="shared" si="4"/>
        <v>-8.3935281695313724E-3</v>
      </c>
    </row>
    <row r="38" spans="2:7" x14ac:dyDescent="0.3">
      <c r="B38" s="9" t="s">
        <v>15</v>
      </c>
      <c r="C38" s="9">
        <f t="shared" ref="C38" si="13">$C15</f>
        <v>554</v>
      </c>
      <c r="D38" s="9">
        <f t="shared" si="1"/>
        <v>19.72067039106145</v>
      </c>
      <c r="E38" s="9">
        <f t="shared" si="2"/>
        <v>141.19999999999999</v>
      </c>
      <c r="F38" s="9">
        <f t="shared" si="3"/>
        <v>140.79733818661887</v>
      </c>
      <c r="G38" s="20">
        <f t="shared" si="4"/>
        <v>2.8517125593563422E-3</v>
      </c>
    </row>
    <row r="39" spans="2:7" x14ac:dyDescent="0.3">
      <c r="B39" s="18" t="s">
        <v>16</v>
      </c>
      <c r="C39" s="18">
        <f t="shared" ref="C39" si="14">$C15</f>
        <v>554</v>
      </c>
      <c r="D39" s="18">
        <f t="shared" si="1"/>
        <v>160.11560693641619</v>
      </c>
      <c r="E39" s="18">
        <f t="shared" si="2"/>
        <v>554</v>
      </c>
      <c r="F39" s="18">
        <f t="shared" si="3"/>
        <v>550.44615728234544</v>
      </c>
      <c r="G39" s="20">
        <f t="shared" si="4"/>
        <v>6.4148785517230342E-3</v>
      </c>
    </row>
    <row r="41" spans="2:7" x14ac:dyDescent="0.3">
      <c r="B41" t="s">
        <v>19</v>
      </c>
      <c r="C41" t="s">
        <v>20</v>
      </c>
      <c r="D41" t="s">
        <v>21</v>
      </c>
    </row>
    <row r="42" spans="2:7" x14ac:dyDescent="0.3">
      <c r="B42" cm="1">
        <f t="array" ref="B42:D42">LINEST(E26:E39,C26:D39)</f>
        <v>2.9178318618591281</v>
      </c>
      <c r="C42">
        <v>0.13239596800938983</v>
      </c>
      <c r="D42">
        <v>9.9083715051559125</v>
      </c>
    </row>
    <row r="43" spans="2:7" x14ac:dyDescent="0.3">
      <c r="B43" s="35">
        <v>2.9178318618591281</v>
      </c>
      <c r="C43" s="67">
        <v>0.13239596800938983</v>
      </c>
      <c r="D43" s="35">
        <v>9.9083715051559125</v>
      </c>
    </row>
    <row r="45" spans="2:7" x14ac:dyDescent="0.3">
      <c r="B45" s="2" t="s">
        <v>416</v>
      </c>
      <c r="C45" s="57">
        <v>0.25</v>
      </c>
    </row>
    <row r="46" spans="2:7" x14ac:dyDescent="0.3">
      <c r="B46" s="2" t="s">
        <v>415</v>
      </c>
      <c r="C46" s="57">
        <v>1</v>
      </c>
    </row>
    <row r="48" spans="2:7" x14ac:dyDescent="0.3">
      <c r="B48" t="s">
        <v>417</v>
      </c>
    </row>
    <row r="50" spans="2:7" x14ac:dyDescent="0.3">
      <c r="B50" s="2" t="s">
        <v>378</v>
      </c>
      <c r="C50" s="2" t="s">
        <v>379</v>
      </c>
      <c r="F50" s="2" t="s">
        <v>380</v>
      </c>
      <c r="G50" s="2" t="s">
        <v>381</v>
      </c>
    </row>
    <row r="51" spans="2:7" x14ac:dyDescent="0.3">
      <c r="B51">
        <f>C45</f>
        <v>0.25</v>
      </c>
      <c r="C51" s="67">
        <f>B43*C45+C43</f>
        <v>0.86185393347417183</v>
      </c>
      <c r="D51" s="67"/>
      <c r="F51">
        <f>C46</f>
        <v>1</v>
      </c>
      <c r="G51" s="67">
        <f>B43*C46+C43</f>
        <v>3.0502278298685179</v>
      </c>
    </row>
  </sheetData>
  <hyperlinks>
    <hyperlink ref="C19" r:id="rId1" xr:uid="{5FA3BC6B-535B-431D-8C9A-D4A1B93362FA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9392-91AE-465E-9320-65FC9BE5751C}">
  <sheetPr>
    <tabColor rgb="FF7030A0"/>
  </sheetPr>
  <dimension ref="A1:K55"/>
  <sheetViews>
    <sheetView workbookViewId="0">
      <selection activeCell="E28" sqref="E28"/>
    </sheetView>
  </sheetViews>
  <sheetFormatPr defaultRowHeight="14.4" x14ac:dyDescent="0.3"/>
  <cols>
    <col min="2" max="2" width="32.44140625" customWidth="1"/>
    <col min="3" max="3" width="15.33203125" customWidth="1"/>
    <col min="4" max="4" width="18.44140625" customWidth="1"/>
    <col min="5" max="5" width="19.77734375" customWidth="1"/>
    <col min="6" max="6" width="23" customWidth="1"/>
    <col min="7" max="7" width="14.5546875" customWidth="1"/>
    <col min="8" max="8" width="14.6640625" customWidth="1"/>
  </cols>
  <sheetData>
    <row r="1" spans="2:11" x14ac:dyDescent="0.3">
      <c r="B1" s="10" t="s">
        <v>198</v>
      </c>
      <c r="C1" s="3" t="s">
        <v>0</v>
      </c>
      <c r="D1" s="2" t="s">
        <v>323</v>
      </c>
      <c r="E1" s="5" t="s">
        <v>11</v>
      </c>
      <c r="F1" s="2" t="s">
        <v>31</v>
      </c>
    </row>
    <row r="2" spans="2:11" x14ac:dyDescent="0.3">
      <c r="B2" s="17" t="s">
        <v>199</v>
      </c>
      <c r="C2" s="7">
        <v>90.1</v>
      </c>
      <c r="D2" s="9">
        <v>6.78</v>
      </c>
      <c r="E2" s="6" t="s">
        <v>184</v>
      </c>
      <c r="F2" s="9">
        <f t="shared" ref="F2:F15" si="0">$C2/$D2</f>
        <v>13.289085545722713</v>
      </c>
      <c r="G2" s="9" t="s">
        <v>15</v>
      </c>
    </row>
    <row r="3" spans="2:11" x14ac:dyDescent="0.3">
      <c r="B3" s="16" t="s">
        <v>200</v>
      </c>
      <c r="C3" s="26">
        <v>299.5</v>
      </c>
      <c r="D3" s="18">
        <v>3.25</v>
      </c>
      <c r="E3" s="19" t="s">
        <v>204</v>
      </c>
      <c r="F3" s="18">
        <f t="shared" si="0"/>
        <v>92.15384615384616</v>
      </c>
      <c r="G3" s="18" t="s">
        <v>16</v>
      </c>
    </row>
    <row r="4" spans="2:11" x14ac:dyDescent="0.3">
      <c r="B4" s="17" t="s">
        <v>199</v>
      </c>
      <c r="C4" s="7">
        <v>108.4</v>
      </c>
      <c r="D4" s="9">
        <v>6.35</v>
      </c>
      <c r="E4" s="6" t="s">
        <v>184</v>
      </c>
      <c r="F4" s="9">
        <f t="shared" si="0"/>
        <v>17.070866141732285</v>
      </c>
      <c r="G4" s="9" t="s">
        <v>15</v>
      </c>
    </row>
    <row r="5" spans="2:11" x14ac:dyDescent="0.3">
      <c r="B5" s="16" t="s">
        <v>200</v>
      </c>
      <c r="C5" s="26">
        <v>330.5</v>
      </c>
      <c r="D5" s="18">
        <v>3.14</v>
      </c>
      <c r="E5" s="19" t="s">
        <v>204</v>
      </c>
      <c r="F5" s="18">
        <f t="shared" si="0"/>
        <v>105.2547770700637</v>
      </c>
      <c r="G5" s="18" t="s">
        <v>16</v>
      </c>
    </row>
    <row r="6" spans="2:11" x14ac:dyDescent="0.3">
      <c r="B6" s="17" t="s">
        <v>199</v>
      </c>
      <c r="C6" s="7">
        <v>110.7</v>
      </c>
      <c r="D6" s="9">
        <v>6.48</v>
      </c>
      <c r="E6" s="6" t="s">
        <v>184</v>
      </c>
      <c r="F6" s="9">
        <f t="shared" si="0"/>
        <v>17.083333333333332</v>
      </c>
      <c r="G6" s="9" t="s">
        <v>15</v>
      </c>
    </row>
    <row r="7" spans="2:11" x14ac:dyDescent="0.3">
      <c r="B7" s="16" t="s">
        <v>200</v>
      </c>
      <c r="C7" s="26">
        <v>372.8</v>
      </c>
      <c r="D7" s="18">
        <v>3.08</v>
      </c>
      <c r="E7" s="19" t="s">
        <v>204</v>
      </c>
      <c r="F7" s="18">
        <f t="shared" si="0"/>
        <v>121.03896103896103</v>
      </c>
      <c r="G7" s="18" t="s">
        <v>16</v>
      </c>
    </row>
    <row r="8" spans="2:11" x14ac:dyDescent="0.3">
      <c r="B8" s="17" t="s">
        <v>199</v>
      </c>
      <c r="C8" s="7">
        <v>137.69999999999999</v>
      </c>
      <c r="D8" s="9">
        <v>6.13</v>
      </c>
      <c r="E8" s="6" t="s">
        <v>184</v>
      </c>
      <c r="F8" s="9">
        <f>$C8/$D8</f>
        <v>22.463295269168025</v>
      </c>
      <c r="G8" s="9" t="s">
        <v>15</v>
      </c>
    </row>
    <row r="9" spans="2:11" x14ac:dyDescent="0.3">
      <c r="B9" s="16" t="s">
        <v>200</v>
      </c>
      <c r="C9" s="26">
        <v>413.4</v>
      </c>
      <c r="D9" s="18">
        <v>3.02</v>
      </c>
      <c r="E9" s="19" t="s">
        <v>204</v>
      </c>
      <c r="F9" s="18">
        <f>$C9/$D9</f>
        <v>136.88741721854305</v>
      </c>
      <c r="G9" s="18" t="s">
        <v>16</v>
      </c>
    </row>
    <row r="10" spans="2:11" x14ac:dyDescent="0.3">
      <c r="B10" s="17" t="s">
        <v>199</v>
      </c>
      <c r="C10" s="7">
        <v>95.6</v>
      </c>
      <c r="D10" s="9">
        <v>7.21</v>
      </c>
      <c r="E10" s="6" t="s">
        <v>184</v>
      </c>
      <c r="F10" s="9">
        <f t="shared" si="0"/>
        <v>13.259361997226074</v>
      </c>
      <c r="G10" s="9" t="s">
        <v>15</v>
      </c>
    </row>
    <row r="11" spans="2:11" x14ac:dyDescent="0.3">
      <c r="B11" s="16" t="s">
        <v>200</v>
      </c>
      <c r="C11" s="26">
        <v>456.4</v>
      </c>
      <c r="D11" s="18">
        <v>3.07</v>
      </c>
      <c r="E11" s="19" t="s">
        <v>204</v>
      </c>
      <c r="F11" s="18">
        <f t="shared" si="0"/>
        <v>148.66449511400651</v>
      </c>
      <c r="G11" s="18" t="s">
        <v>16</v>
      </c>
    </row>
    <row r="12" spans="2:11" x14ac:dyDescent="0.3">
      <c r="B12" s="17" t="s">
        <v>199</v>
      </c>
      <c r="C12" s="7">
        <v>114.1</v>
      </c>
      <c r="D12" s="9">
        <v>6.82</v>
      </c>
      <c r="E12" s="6" t="s">
        <v>184</v>
      </c>
      <c r="F12" s="9">
        <f>$C12/$D12</f>
        <v>16.730205278592376</v>
      </c>
      <c r="G12" s="9" t="s">
        <v>15</v>
      </c>
    </row>
    <row r="13" spans="2:11" x14ac:dyDescent="0.3">
      <c r="B13" s="16" t="s">
        <v>200</v>
      </c>
      <c r="C13" s="26">
        <v>484.5</v>
      </c>
      <c r="D13" s="18">
        <v>2.98</v>
      </c>
      <c r="E13" s="19" t="s">
        <v>204</v>
      </c>
      <c r="F13" s="18">
        <f>$C13/$D13</f>
        <v>162.58389261744966</v>
      </c>
      <c r="G13" s="18" t="s">
        <v>16</v>
      </c>
    </row>
    <row r="14" spans="2:11" x14ac:dyDescent="0.3">
      <c r="B14" s="17" t="s">
        <v>199</v>
      </c>
      <c r="C14" s="7">
        <v>115.6</v>
      </c>
      <c r="D14" s="9">
        <v>6.9</v>
      </c>
      <c r="E14" s="6" t="s">
        <v>184</v>
      </c>
      <c r="F14" s="9">
        <f t="shared" si="0"/>
        <v>16.753623188405797</v>
      </c>
      <c r="G14" s="9" t="s">
        <v>15</v>
      </c>
    </row>
    <row r="15" spans="2:11" x14ac:dyDescent="0.3">
      <c r="B15" s="16" t="s">
        <v>200</v>
      </c>
      <c r="C15" s="26">
        <v>520.79999999999995</v>
      </c>
      <c r="D15" s="18">
        <v>2.92</v>
      </c>
      <c r="E15" s="19" t="s">
        <v>204</v>
      </c>
      <c r="F15" s="18">
        <f t="shared" si="0"/>
        <v>178.35616438356163</v>
      </c>
      <c r="G15" s="18" t="s">
        <v>16</v>
      </c>
    </row>
    <row r="16" spans="2:11" x14ac:dyDescent="0.3">
      <c r="B16" s="17" t="s">
        <v>199</v>
      </c>
      <c r="C16" s="7">
        <v>117.9</v>
      </c>
      <c r="D16" s="9">
        <v>7.22</v>
      </c>
      <c r="E16" s="6" t="s">
        <v>184</v>
      </c>
      <c r="F16" s="9">
        <f>$C16/$D16</f>
        <v>16.329639889196677</v>
      </c>
      <c r="G16" s="9" t="s">
        <v>15</v>
      </c>
      <c r="H16" s="2" t="s">
        <v>396</v>
      </c>
      <c r="I16" s="2" t="s">
        <v>411</v>
      </c>
      <c r="J16" s="2" t="s">
        <v>397</v>
      </c>
      <c r="K16" s="2" t="s">
        <v>410</v>
      </c>
    </row>
    <row r="17" spans="1:11" x14ac:dyDescent="0.3">
      <c r="B17" s="16" t="s">
        <v>200</v>
      </c>
      <c r="C17" s="26">
        <v>574.29999999999995</v>
      </c>
      <c r="D17" s="18">
        <v>3.04</v>
      </c>
      <c r="E17" s="19" t="s">
        <v>204</v>
      </c>
      <c r="F17" s="18">
        <f>$C17/$D17</f>
        <v>188.91447368421052</v>
      </c>
      <c r="G17" s="18" t="s">
        <v>16</v>
      </c>
      <c r="H17" s="26">
        <f>I17/D16</f>
        <v>499.64205490678046</v>
      </c>
      <c r="I17" s="39">
        <f>K17*C16/C17</f>
        <v>3607.4156364269547</v>
      </c>
      <c r="J17" s="39">
        <f>K17/D17</f>
        <v>5780.2631578947367</v>
      </c>
      <c r="K17" s="39">
        <v>17572</v>
      </c>
    </row>
    <row r="20" spans="1:11" x14ac:dyDescent="0.3">
      <c r="B20" t="s">
        <v>1</v>
      </c>
      <c r="C20" t="s">
        <v>4</v>
      </c>
    </row>
    <row r="21" spans="1:11" x14ac:dyDescent="0.3">
      <c r="A21" t="s">
        <v>184</v>
      </c>
      <c r="B21" t="s">
        <v>183</v>
      </c>
      <c r="C21" s="4" t="s">
        <v>182</v>
      </c>
      <c r="D21" s="4"/>
      <c r="G21" t="s">
        <v>391</v>
      </c>
    </row>
    <row r="22" spans="1:11" x14ac:dyDescent="0.3">
      <c r="A22" t="s">
        <v>201</v>
      </c>
      <c r="B22" t="s">
        <v>203</v>
      </c>
      <c r="C22" s="4" t="s">
        <v>202</v>
      </c>
      <c r="D22" s="4"/>
    </row>
    <row r="23" spans="1:11" x14ac:dyDescent="0.3">
      <c r="C23" s="4"/>
    </row>
    <row r="24" spans="1:11" x14ac:dyDescent="0.3">
      <c r="C24" s="4"/>
    </row>
    <row r="25" spans="1:11" x14ac:dyDescent="0.3">
      <c r="B25" s="14"/>
      <c r="C25" s="4"/>
    </row>
    <row r="26" spans="1:11" x14ac:dyDescent="0.3">
      <c r="E26" s="10" t="s">
        <v>18</v>
      </c>
      <c r="F26" s="10" t="s">
        <v>18</v>
      </c>
      <c r="G26" s="10" t="s">
        <v>18</v>
      </c>
    </row>
    <row r="27" spans="1:11" x14ac:dyDescent="0.3">
      <c r="B27" s="2" t="s">
        <v>13</v>
      </c>
      <c r="C27" s="2" t="s">
        <v>12</v>
      </c>
      <c r="D27" s="2" t="s">
        <v>25</v>
      </c>
      <c r="E27" s="2" t="s">
        <v>17</v>
      </c>
      <c r="F27" s="2" t="s">
        <v>22</v>
      </c>
      <c r="G27" s="2" t="s">
        <v>23</v>
      </c>
    </row>
    <row r="28" spans="1:11" x14ac:dyDescent="0.3">
      <c r="B28" s="9" t="s">
        <v>15</v>
      </c>
      <c r="C28" s="9">
        <f>$C3</f>
        <v>299.5</v>
      </c>
      <c r="D28" s="9">
        <f t="shared" ref="D28:D43" si="1">$F2</f>
        <v>13.289085545722713</v>
      </c>
      <c r="E28" s="9">
        <f t="shared" ref="E28:E43" si="2">$D28*$D2</f>
        <v>90.1</v>
      </c>
      <c r="F28" s="9">
        <f t="shared" ref="F28:F43" si="3">$B$46*$D28+$C$46*$C28+$D$46</f>
        <v>96.735946328685515</v>
      </c>
      <c r="G28" s="20">
        <f t="shared" ref="G28:G43" si="4">($E28-$F28)/$E28</f>
        <v>-7.3650902649117875E-2</v>
      </c>
    </row>
    <row r="29" spans="1:11" x14ac:dyDescent="0.3">
      <c r="B29" s="18" t="s">
        <v>16</v>
      </c>
      <c r="C29" s="18">
        <f>$C3</f>
        <v>299.5</v>
      </c>
      <c r="D29" s="18">
        <f t="shared" si="1"/>
        <v>92.15384615384616</v>
      </c>
      <c r="E29" s="18">
        <f t="shared" si="2"/>
        <v>299.5</v>
      </c>
      <c r="F29" s="18">
        <f t="shared" si="3"/>
        <v>297.15272928658226</v>
      </c>
      <c r="G29" s="20">
        <f t="shared" si="4"/>
        <v>7.8372978745166692E-3</v>
      </c>
    </row>
    <row r="30" spans="1:11" x14ac:dyDescent="0.3">
      <c r="B30" s="9" t="s">
        <v>15</v>
      </c>
      <c r="C30" s="9">
        <f>$C5</f>
        <v>330.5</v>
      </c>
      <c r="D30" s="9">
        <f t="shared" si="1"/>
        <v>17.070866141732285</v>
      </c>
      <c r="E30" s="9">
        <f t="shared" si="2"/>
        <v>108.4</v>
      </c>
      <c r="F30" s="9">
        <f t="shared" si="3"/>
        <v>107.75100632903207</v>
      </c>
      <c r="G30" s="20">
        <f t="shared" si="4"/>
        <v>5.9870264849440939E-3</v>
      </c>
    </row>
    <row r="31" spans="1:11" x14ac:dyDescent="0.3">
      <c r="B31" s="18" t="s">
        <v>16</v>
      </c>
      <c r="C31" s="18">
        <f>$C5</f>
        <v>330.5</v>
      </c>
      <c r="D31" s="18">
        <f t="shared" si="1"/>
        <v>105.2547770700637</v>
      </c>
      <c r="E31" s="18">
        <f t="shared" si="2"/>
        <v>330.5</v>
      </c>
      <c r="F31" s="18">
        <f t="shared" si="3"/>
        <v>331.85028210977208</v>
      </c>
      <c r="G31" s="20">
        <f t="shared" si="4"/>
        <v>-4.0855737058156771E-3</v>
      </c>
    </row>
    <row r="32" spans="1:11" x14ac:dyDescent="0.3">
      <c r="B32" s="9" t="s">
        <v>15</v>
      </c>
      <c r="C32" s="9">
        <f>$C7</f>
        <v>372.8</v>
      </c>
      <c r="D32" s="9">
        <f t="shared" si="1"/>
        <v>17.083333333333332</v>
      </c>
      <c r="E32" s="9">
        <f t="shared" si="2"/>
        <v>110.7</v>
      </c>
      <c r="F32" s="9">
        <f t="shared" si="3"/>
        <v>109.6991900396191</v>
      </c>
      <c r="G32" s="20">
        <f t="shared" si="4"/>
        <v>9.0407403828446763E-3</v>
      </c>
    </row>
    <row r="33" spans="2:7" x14ac:dyDescent="0.3">
      <c r="B33" s="18" t="s">
        <v>16</v>
      </c>
      <c r="C33" s="18">
        <f>$C7</f>
        <v>372.8</v>
      </c>
      <c r="D33" s="18">
        <f t="shared" si="1"/>
        <v>121.03896103896103</v>
      </c>
      <c r="E33" s="18">
        <f t="shared" si="2"/>
        <v>372.8</v>
      </c>
      <c r="F33" s="18">
        <f t="shared" si="3"/>
        <v>373.87868306637733</v>
      </c>
      <c r="G33" s="20">
        <f t="shared" si="4"/>
        <v>-2.8934631608833771E-3</v>
      </c>
    </row>
    <row r="34" spans="2:7" x14ac:dyDescent="0.3">
      <c r="B34" s="9" t="s">
        <v>15</v>
      </c>
      <c r="C34" s="9">
        <f>$C9</f>
        <v>413.4</v>
      </c>
      <c r="D34" s="9">
        <f t="shared" si="1"/>
        <v>22.463295269168025</v>
      </c>
      <c r="E34" s="9">
        <f t="shared" si="2"/>
        <v>137.69999999999999</v>
      </c>
      <c r="F34" s="9">
        <f t="shared" si="3"/>
        <v>125.21061364852002</v>
      </c>
      <c r="G34" s="20">
        <f t="shared" si="4"/>
        <v>9.0699973503848702E-2</v>
      </c>
    </row>
    <row r="35" spans="2:7" x14ac:dyDescent="0.3">
      <c r="B35" s="18" t="s">
        <v>16</v>
      </c>
      <c r="C35" s="18">
        <f>$C9</f>
        <v>413.4</v>
      </c>
      <c r="D35" s="18">
        <f t="shared" si="1"/>
        <v>136.88741721854305</v>
      </c>
      <c r="E35" s="18">
        <f t="shared" si="2"/>
        <v>413.40000000000003</v>
      </c>
      <c r="F35" s="18">
        <f t="shared" si="3"/>
        <v>415.99339466559258</v>
      </c>
      <c r="G35" s="20">
        <f t="shared" si="4"/>
        <v>-6.2733301054488169E-3</v>
      </c>
    </row>
    <row r="36" spans="2:7" x14ac:dyDescent="0.3">
      <c r="B36" s="9" t="s">
        <v>15</v>
      </c>
      <c r="C36" s="9">
        <f>$C11</f>
        <v>456.4</v>
      </c>
      <c r="D36" s="9">
        <f t="shared" si="1"/>
        <v>13.259361997226074</v>
      </c>
      <c r="E36" s="9">
        <f t="shared" si="2"/>
        <v>95.6</v>
      </c>
      <c r="F36" s="9">
        <f t="shared" si="3"/>
        <v>103.76913498719786</v>
      </c>
      <c r="G36" s="20">
        <f t="shared" si="4"/>
        <v>-8.5451202794956743E-2</v>
      </c>
    </row>
    <row r="37" spans="2:7" x14ac:dyDescent="0.3">
      <c r="B37" s="18" t="s">
        <v>16</v>
      </c>
      <c r="C37" s="18">
        <f>$C11</f>
        <v>456.4</v>
      </c>
      <c r="D37" s="18">
        <f t="shared" si="1"/>
        <v>148.66449511400651</v>
      </c>
      <c r="E37" s="18">
        <f t="shared" si="2"/>
        <v>456.4</v>
      </c>
      <c r="F37" s="18">
        <f t="shared" si="3"/>
        <v>447.87036557478706</v>
      </c>
      <c r="G37" s="20">
        <f t="shared" si="4"/>
        <v>1.8688944840519105E-2</v>
      </c>
    </row>
    <row r="38" spans="2:7" x14ac:dyDescent="0.3">
      <c r="B38" s="9" t="s">
        <v>15</v>
      </c>
      <c r="C38" s="9">
        <f>$C13</f>
        <v>484.5</v>
      </c>
      <c r="D38" s="9">
        <f t="shared" si="1"/>
        <v>16.730205278592376</v>
      </c>
      <c r="E38" s="9">
        <f t="shared" si="2"/>
        <v>114.10000000000001</v>
      </c>
      <c r="F38" s="9">
        <f t="shared" si="3"/>
        <v>113.86262745999247</v>
      </c>
      <c r="G38" s="20">
        <f t="shared" si="4"/>
        <v>2.0803903594000129E-3</v>
      </c>
    </row>
    <row r="39" spans="2:7" x14ac:dyDescent="0.3">
      <c r="B39" s="18" t="s">
        <v>16</v>
      </c>
      <c r="C39" s="18">
        <f>$C13</f>
        <v>484.5</v>
      </c>
      <c r="D39" s="18">
        <f t="shared" si="1"/>
        <v>162.58389261744966</v>
      </c>
      <c r="E39" s="18">
        <f t="shared" si="2"/>
        <v>484.5</v>
      </c>
      <c r="F39" s="18">
        <f t="shared" si="3"/>
        <v>484.51647302545678</v>
      </c>
      <c r="G39" s="20">
        <f t="shared" si="4"/>
        <v>-3.4000052542364827E-5</v>
      </c>
    </row>
    <row r="40" spans="2:7" x14ac:dyDescent="0.3">
      <c r="B40" s="9" t="s">
        <v>15</v>
      </c>
      <c r="C40" s="9">
        <f>$C15</f>
        <v>520.79999999999995</v>
      </c>
      <c r="D40" s="9">
        <f t="shared" si="1"/>
        <v>16.753623188405797</v>
      </c>
      <c r="E40" s="9">
        <f t="shared" si="2"/>
        <v>115.60000000000001</v>
      </c>
      <c r="F40" s="9">
        <f t="shared" si="3"/>
        <v>115.56679578031776</v>
      </c>
      <c r="G40" s="20">
        <f t="shared" si="4"/>
        <v>2.8723373427549367E-4</v>
      </c>
    </row>
    <row r="41" spans="2:7" x14ac:dyDescent="0.3">
      <c r="B41" s="18" t="s">
        <v>16</v>
      </c>
      <c r="C41" s="18">
        <f t="shared" ref="C41" si="5">$C15</f>
        <v>520.79999999999995</v>
      </c>
      <c r="D41" s="18">
        <f t="shared" si="1"/>
        <v>178.35616438356163</v>
      </c>
      <c r="E41" s="18">
        <f t="shared" si="2"/>
        <v>520.79999999999995</v>
      </c>
      <c r="F41" s="18">
        <f t="shared" si="3"/>
        <v>526.24275769806718</v>
      </c>
      <c r="G41" s="20">
        <f t="shared" si="4"/>
        <v>-1.0450763629161341E-2</v>
      </c>
    </row>
    <row r="42" spans="2:7" x14ac:dyDescent="0.3">
      <c r="B42" s="9" t="s">
        <v>15</v>
      </c>
      <c r="C42" s="9">
        <f>$C17</f>
        <v>574.29999999999995</v>
      </c>
      <c r="D42" s="9">
        <f t="shared" si="1"/>
        <v>16.329639889196677</v>
      </c>
      <c r="E42" s="9">
        <f t="shared" si="2"/>
        <v>117.9</v>
      </c>
      <c r="F42" s="9">
        <f t="shared" si="3"/>
        <v>116.9132826127225</v>
      </c>
      <c r="G42" s="20">
        <f t="shared" si="4"/>
        <v>8.3691042177905708E-3</v>
      </c>
    </row>
    <row r="43" spans="2:7" x14ac:dyDescent="0.3">
      <c r="B43" s="18" t="s">
        <v>16</v>
      </c>
      <c r="C43" s="18">
        <f>$C17</f>
        <v>574.29999999999995</v>
      </c>
      <c r="D43" s="18">
        <f t="shared" si="1"/>
        <v>188.91447368421052</v>
      </c>
      <c r="E43" s="18">
        <f t="shared" si="2"/>
        <v>574.29999999999995</v>
      </c>
      <c r="F43" s="18">
        <f t="shared" si="3"/>
        <v>555.49823373418894</v>
      </c>
      <c r="G43" s="20">
        <f t="shared" si="4"/>
        <v>3.2738579602665879E-2</v>
      </c>
    </row>
    <row r="45" spans="2:7" x14ac:dyDescent="0.3">
      <c r="B45" t="s">
        <v>19</v>
      </c>
      <c r="C45" t="s">
        <v>20</v>
      </c>
      <c r="D45" t="s">
        <v>21</v>
      </c>
    </row>
    <row r="46" spans="2:7" x14ac:dyDescent="0.3">
      <c r="B46" cm="1">
        <f t="array" ref="B46:D46">LINEST(E28:E41,C28:D41)</f>
        <v>2.5412716834805544</v>
      </c>
      <c r="C46">
        <v>4.5307356728103314E-2</v>
      </c>
      <c r="D46">
        <v>49.395216191922714</v>
      </c>
    </row>
    <row r="47" spans="2:7" x14ac:dyDescent="0.3">
      <c r="B47" s="35">
        <v>2.5412716834805544</v>
      </c>
      <c r="C47" s="66">
        <v>4.5307356728103314E-2</v>
      </c>
      <c r="D47" s="8">
        <v>49.395216191922714</v>
      </c>
    </row>
    <row r="49" spans="2:7" x14ac:dyDescent="0.3">
      <c r="B49" s="2" t="s">
        <v>416</v>
      </c>
      <c r="C49" s="57">
        <v>0.25</v>
      </c>
    </row>
    <row r="50" spans="2:7" x14ac:dyDescent="0.3">
      <c r="B50" s="2" t="s">
        <v>415</v>
      </c>
      <c r="C50" s="57">
        <v>1</v>
      </c>
    </row>
    <row r="52" spans="2:7" x14ac:dyDescent="0.3">
      <c r="B52" t="s">
        <v>417</v>
      </c>
    </row>
    <row r="54" spans="2:7" x14ac:dyDescent="0.3">
      <c r="B54" s="2" t="s">
        <v>378</v>
      </c>
      <c r="C54" s="2" t="s">
        <v>379</v>
      </c>
      <c r="F54" s="2" t="s">
        <v>380</v>
      </c>
      <c r="G54" s="2" t="s">
        <v>381</v>
      </c>
    </row>
    <row r="55" spans="2:7" x14ac:dyDescent="0.3">
      <c r="B55">
        <f>C49</f>
        <v>0.25</v>
      </c>
      <c r="C55" s="67">
        <f>B47*C49+C47</f>
        <v>0.68062527759824187</v>
      </c>
      <c r="D55" s="67"/>
      <c r="F55">
        <f>C50</f>
        <v>1</v>
      </c>
      <c r="G55" s="35">
        <f>B47*C50+C47</f>
        <v>2.5865790402086577</v>
      </c>
    </row>
  </sheetData>
  <hyperlinks>
    <hyperlink ref="C21" r:id="rId1" xr:uid="{B04D710D-BE80-4CE0-83AB-53F34537B947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9E20-87AF-4DE8-968E-0165318DE2AF}">
  <sheetPr>
    <tabColor theme="9" tint="0.59999389629810485"/>
  </sheetPr>
  <dimension ref="B6:E48"/>
  <sheetViews>
    <sheetView topLeftCell="A4" workbookViewId="0">
      <selection activeCell="D33" sqref="D33"/>
    </sheetView>
  </sheetViews>
  <sheetFormatPr defaultRowHeight="14.4" x14ac:dyDescent="0.3"/>
  <cols>
    <col min="2" max="2" width="18.6640625" customWidth="1"/>
    <col min="3" max="3" width="17.6640625" customWidth="1"/>
    <col min="4" max="4" width="17.88671875" customWidth="1"/>
    <col min="6" max="6" width="24.21875" customWidth="1"/>
  </cols>
  <sheetData>
    <row r="6" spans="2:5" x14ac:dyDescent="0.3">
      <c r="B6" s="10" t="s">
        <v>315</v>
      </c>
    </row>
    <row r="7" spans="2:5" x14ac:dyDescent="0.3">
      <c r="B7" s="2" t="s">
        <v>286</v>
      </c>
      <c r="C7" s="2" t="s">
        <v>288</v>
      </c>
      <c r="D7" s="2" t="s">
        <v>294</v>
      </c>
      <c r="E7" s="2" t="s">
        <v>295</v>
      </c>
    </row>
    <row r="8" spans="2:5" x14ac:dyDescent="0.3">
      <c r="B8" s="61"/>
      <c r="C8" s="64">
        <v>3.49</v>
      </c>
      <c r="D8" s="9">
        <v>335</v>
      </c>
      <c r="E8" s="9">
        <f>$D8/$C8</f>
        <v>95.988538681948413</v>
      </c>
    </row>
    <row r="9" spans="2:5" x14ac:dyDescent="0.3">
      <c r="B9" s="57"/>
      <c r="C9" s="64">
        <v>3.85</v>
      </c>
      <c r="D9" s="9">
        <v>180.2</v>
      </c>
      <c r="E9" s="9">
        <f>$D9/$C9</f>
        <v>46.805194805194802</v>
      </c>
    </row>
    <row r="10" spans="2:5" x14ac:dyDescent="0.3">
      <c r="B10" s="57"/>
      <c r="C10" s="64">
        <v>5.14</v>
      </c>
      <c r="D10" s="9">
        <v>115.8</v>
      </c>
      <c r="E10" s="9">
        <f>$D10/$C10</f>
        <v>22.529182879377434</v>
      </c>
    </row>
    <row r="11" spans="2:5" x14ac:dyDescent="0.3">
      <c r="B11" s="57"/>
      <c r="C11" s="9">
        <v>6.73</v>
      </c>
      <c r="D11" s="9">
        <v>108.5</v>
      </c>
      <c r="E11" s="9">
        <f>$D11/$C11</f>
        <v>16.121842496285289</v>
      </c>
    </row>
    <row r="25" spans="2:5" x14ac:dyDescent="0.3">
      <c r="B25" s="10" t="s">
        <v>316</v>
      </c>
    </row>
    <row r="26" spans="2:5" x14ac:dyDescent="0.3">
      <c r="B26" s="2" t="s">
        <v>286</v>
      </c>
      <c r="C26" s="2" t="s">
        <v>288</v>
      </c>
      <c r="D26" s="2" t="s">
        <v>294</v>
      </c>
      <c r="E26" s="2" t="s">
        <v>295</v>
      </c>
    </row>
    <row r="27" spans="2:5" x14ac:dyDescent="0.3">
      <c r="B27" s="63"/>
      <c r="C27" s="64">
        <v>3.48</v>
      </c>
      <c r="D27" s="9">
        <v>409</v>
      </c>
      <c r="E27" s="9">
        <f>$D27/$C27</f>
        <v>117.52873563218391</v>
      </c>
    </row>
    <row r="28" spans="2:5" x14ac:dyDescent="0.3">
      <c r="B28" s="57"/>
      <c r="C28" s="64">
        <v>3.82</v>
      </c>
      <c r="D28" s="9">
        <v>220.2</v>
      </c>
      <c r="E28" s="9">
        <f>$D28/$C28</f>
        <v>57.643979057591622</v>
      </c>
    </row>
    <row r="29" spans="2:5" x14ac:dyDescent="0.3">
      <c r="B29" s="57"/>
      <c r="C29" s="64">
        <v>4.8099999999999996</v>
      </c>
      <c r="D29" s="9">
        <v>141.5</v>
      </c>
      <c r="E29" s="9">
        <f>$D29/$C29</f>
        <v>29.417879417879419</v>
      </c>
    </row>
    <row r="30" spans="2:5" x14ac:dyDescent="0.3">
      <c r="B30" s="57"/>
      <c r="C30" s="9">
        <v>7.22</v>
      </c>
      <c r="D30" s="9">
        <v>94.3</v>
      </c>
      <c r="E30" s="9">
        <f>$D30/$C30</f>
        <v>13.060941828254848</v>
      </c>
    </row>
    <row r="43" spans="2:5" x14ac:dyDescent="0.3">
      <c r="B43" s="10" t="s">
        <v>311</v>
      </c>
    </row>
    <row r="44" spans="2:5" x14ac:dyDescent="0.3">
      <c r="B44" s="2" t="s">
        <v>286</v>
      </c>
      <c r="C44" s="2" t="s">
        <v>288</v>
      </c>
      <c r="D44" s="2" t="s">
        <v>294</v>
      </c>
      <c r="E44" s="2" t="s">
        <v>295</v>
      </c>
    </row>
    <row r="45" spans="2:5" x14ac:dyDescent="0.3">
      <c r="B45" s="63"/>
      <c r="C45" s="9">
        <v>3.46</v>
      </c>
      <c r="D45" s="9">
        <v>554</v>
      </c>
      <c r="E45" s="9">
        <f>$D45/$C45</f>
        <v>160.11560693641619</v>
      </c>
    </row>
    <row r="46" spans="2:5" x14ac:dyDescent="0.3">
      <c r="B46" s="57"/>
      <c r="C46" s="9">
        <v>3.77</v>
      </c>
      <c r="D46" s="9">
        <v>298.3</v>
      </c>
      <c r="E46" s="9">
        <f>$D46/$C46</f>
        <v>79.124668435013263</v>
      </c>
    </row>
    <row r="47" spans="2:5" x14ac:dyDescent="0.3">
      <c r="B47" s="57"/>
      <c r="C47" s="9">
        <v>4.95</v>
      </c>
      <c r="D47" s="9">
        <v>191.7</v>
      </c>
      <c r="E47" s="9">
        <f>$D47/$C47</f>
        <v>38.727272727272727</v>
      </c>
    </row>
    <row r="48" spans="2:5" x14ac:dyDescent="0.3">
      <c r="B48" s="57"/>
      <c r="C48" s="9">
        <v>7.16</v>
      </c>
      <c r="D48" s="9">
        <v>141.19999999999999</v>
      </c>
      <c r="E48" s="9">
        <f>$D48/$C48</f>
        <v>19.72067039106145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NG Boiler C Small v2</vt:lpstr>
      <vt:lpstr> Check NG BOILER Small C</vt:lpstr>
      <vt:lpstr>NG Boiler C Mid-Big</vt:lpstr>
      <vt:lpstr> Check NG BOILER Mid-Big C</vt:lpstr>
      <vt:lpstr>NG Boiler NC</vt:lpstr>
      <vt:lpstr> Check NG BOILER NC</vt:lpstr>
      <vt:lpstr>Small Wood Chips Boiler v2</vt:lpstr>
      <vt:lpstr>Mid-Big Wood Chips Boiler v2</vt:lpstr>
      <vt:lpstr>Small Pellet Boiler v2</vt:lpstr>
      <vt:lpstr>Mid-Big Pellet Boiler v2 </vt:lpstr>
      <vt:lpstr>Check Boiler Biomass</vt:lpstr>
      <vt:lpstr>ICE_Small</vt:lpstr>
      <vt:lpstr>Check ICE small</vt:lpstr>
      <vt:lpstr>ICE_Mid</vt:lpstr>
      <vt:lpstr>ICE_Large</vt:lpstr>
      <vt:lpstr>Check ICE Mid-Large</vt:lpstr>
      <vt:lpstr>ORC biomass v2 small</vt:lpstr>
      <vt:lpstr>ORC biomass v2 big</vt:lpstr>
      <vt:lpstr>Check ORC biomass</vt:lpstr>
      <vt:lpstr>SOFC CHP v2 Small</vt:lpstr>
      <vt:lpstr>SOFC CHP v2 Big</vt:lpstr>
      <vt:lpstr>Check SOFC CHP</vt:lpstr>
      <vt:lpstr>PEMFC CHP v2 small</vt:lpstr>
      <vt:lpstr>PEMFC CHP v2 mid-big</vt:lpstr>
      <vt:lpstr>Check PEMFC</vt:lpstr>
      <vt:lpstr>Dati_Absorption</vt:lpstr>
      <vt:lpstr>ABSORPTION Chill steam</vt:lpstr>
      <vt:lpstr>ABSORPTION Chill hot water</vt:lpstr>
      <vt:lpstr>Check ABS chill</vt:lpstr>
      <vt:lpstr>Trane_W_COMPRESSION_Small</vt:lpstr>
      <vt:lpstr>Trane_W_COMPRESSION_Mid</vt:lpstr>
      <vt:lpstr>Check Trane_W_Compr_Chill Sm-Mi</vt:lpstr>
      <vt:lpstr>Trane_W_COMPRESSION_Big_C</vt:lpstr>
      <vt:lpstr>Check Trane_W_Compr_Chill  B</vt:lpstr>
      <vt:lpstr>Trane_A_COMPRESSION_Smal</vt:lpstr>
      <vt:lpstr>Check Trane_A_Comp_Chill Small</vt:lpstr>
      <vt:lpstr>Trane_A_COMPRESSION_Mid v2</vt:lpstr>
      <vt:lpstr>Check Trane_A_Comp_Chill M</vt:lpstr>
      <vt:lpstr>Trane_A_COMPRESSION_Big</vt:lpstr>
      <vt:lpstr>Check Trane_A_Comp_Chill  B</vt:lpstr>
      <vt:lpstr>ALKALINE electrolyzer v2</vt:lpstr>
      <vt:lpstr>Check ALK el</vt:lpstr>
      <vt:lpstr>PEM electrolyzer</vt:lpstr>
      <vt:lpstr>Check PEM el</vt:lpstr>
      <vt:lpstr>Water-Water HP_Small</vt:lpstr>
      <vt:lpstr>EER_Water-Water HP_Small</vt:lpstr>
      <vt:lpstr>Water-Water HP_Mid</vt:lpstr>
      <vt:lpstr>EER_Water-Water HP_Mid</vt:lpstr>
      <vt:lpstr>Check W-W HP Small-Mid</vt:lpstr>
      <vt:lpstr>Water-Water HP_Big</vt:lpstr>
      <vt:lpstr>EER_Water-Water HP_Big</vt:lpstr>
      <vt:lpstr>Check W-W HP Big</vt:lpstr>
      <vt:lpstr>Trane_Air-Water HP_Smal </vt:lpstr>
      <vt:lpstr>EER_Trane_Air-Water HP_Smal</vt:lpstr>
      <vt:lpstr>Check A-W HP Small</vt:lpstr>
      <vt:lpstr>Trane_Air-Water HP_Mid</vt:lpstr>
      <vt:lpstr>EER_Trane_Air-Water HP_Mid</vt:lpstr>
      <vt:lpstr>Check A-W HP Mid</vt:lpstr>
      <vt:lpstr>Check A-W HP Mid v2</vt:lpstr>
      <vt:lpstr>Trane_Air-Water HP_Big</vt:lpstr>
      <vt:lpstr>EER_Trane_Air-Water HP_Big</vt:lpstr>
      <vt:lpstr>Check A-W HP Big-Huge</vt:lpstr>
      <vt:lpstr>Check A-W HP Big v2</vt:lpstr>
      <vt:lpstr>Trane_Air-Water HP_Huge</vt:lpstr>
      <vt:lpstr>EER_Trane_Air-Water HP_Huge</vt:lpstr>
      <vt:lpstr>Check A-W HP Huge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 98</dc:creator>
  <cp:lastModifiedBy>Mattia Puddu</cp:lastModifiedBy>
  <dcterms:created xsi:type="dcterms:W3CDTF">2015-06-05T18:17:20Z</dcterms:created>
  <dcterms:modified xsi:type="dcterms:W3CDTF">2026-02-14T16:06:06Z</dcterms:modified>
</cp:coreProperties>
</file>