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Take home + deductions" sheetId="1" r:id="rId4"/>
    <sheet state="visible" name="2. Bills" sheetId="2" r:id="rId5"/>
    <sheet state="visible" name="3. Food" sheetId="3" r:id="rId6"/>
    <sheet state="visible" name="4. Luxury items" sheetId="4" r:id="rId7"/>
    <sheet state="visible" name="5. Spend Tracker" sheetId="5" r:id="rId8"/>
    <sheet state="hidden" name="Minimum wage" sheetId="6" r:id="rId9"/>
    <sheet state="hidden" name="Driving lessons" sheetId="7" r:id="rId10"/>
    <sheet state="hidden" name="Lesson 9" sheetId="8" r:id="rId11"/>
  </sheets>
  <definedNames/>
  <calcPr/>
  <extLst>
    <ext uri="GoogleSheetsCustomDataVersion2">
      <go:sheetsCustomData xmlns:go="http://customooxmlschemas.google.com/" r:id="rId12" roundtripDataChecksum="zLT89yarUOdtn8JkJUBuynyH69fYDKi6oth73cqW1UA="/>
    </ext>
  </extLst>
</workbook>
</file>

<file path=xl/sharedStrings.xml><?xml version="1.0" encoding="utf-8"?>
<sst xmlns="http://schemas.openxmlformats.org/spreadsheetml/2006/main" count="179" uniqueCount="117">
  <si>
    <t>Total Gross Salary</t>
  </si>
  <si>
    <t>Salary Yearly</t>
  </si>
  <si>
    <t>Total Gross Monthly</t>
  </si>
  <si>
    <t>Salary Monthly</t>
  </si>
  <si>
    <t>Total Gross Weekly</t>
  </si>
  <si>
    <t>Pension/Investment Goal</t>
  </si>
  <si>
    <t>Income Tax</t>
  </si>
  <si>
    <t>National Insurance</t>
  </si>
  <si>
    <t>Student Loan</t>
  </si>
  <si>
    <t>% of Total Gross Salary</t>
  </si>
  <si>
    <t>%</t>
  </si>
  <si>
    <t>Monthly Goal</t>
  </si>
  <si>
    <t>above</t>
  </si>
  <si>
    <t>Pension</t>
  </si>
  <si>
    <t>below</t>
  </si>
  <si>
    <t>SL-able Income</t>
  </si>
  <si>
    <t>Audiebant Pension</t>
  </si>
  <si>
    <t>Taxable Income</t>
  </si>
  <si>
    <t>below-above</t>
  </si>
  <si>
    <t>Employer contribution</t>
  </si>
  <si>
    <t>Pre-total</t>
  </si>
  <si>
    <t>My Contributon</t>
  </si>
  <si>
    <t>Total 1</t>
  </si>
  <si>
    <t>Monthly Outcome</t>
  </si>
  <si>
    <t>Weekly-above</t>
  </si>
  <si>
    <t>Total 2</t>
  </si>
  <si>
    <t>Weekly Pension</t>
  </si>
  <si>
    <t>Total Weekly NI</t>
  </si>
  <si>
    <t>Monthly Pension</t>
  </si>
  <si>
    <t>Monthly IT</t>
  </si>
  <si>
    <t>Total Monthly NI</t>
  </si>
  <si>
    <t>Monthly SL</t>
  </si>
  <si>
    <t>Annual Pension</t>
  </si>
  <si>
    <t>Annual IT</t>
  </si>
  <si>
    <t>Total Annual NI</t>
  </si>
  <si>
    <t>Monthly Break Down</t>
  </si>
  <si>
    <t>Gross</t>
  </si>
  <si>
    <t>Total Dedeuctions</t>
  </si>
  <si>
    <t>Take Home</t>
  </si>
  <si>
    <t>Teacher Monthly Take Home</t>
  </si>
  <si>
    <t>Living costs</t>
  </si>
  <si>
    <t>Remaining income after living costs</t>
  </si>
  <si>
    <t>Monthly</t>
  </si>
  <si>
    <t>Yearly</t>
  </si>
  <si>
    <t>Mortgage (120k over 35 years)</t>
  </si>
  <si>
    <t>Council tax band c</t>
  </si>
  <si>
    <t>Single occupancy water bill</t>
  </si>
  <si>
    <t>Gas and electric</t>
  </si>
  <si>
    <t>Low cost home insurance</t>
  </si>
  <si>
    <t>Car finance</t>
  </si>
  <si>
    <t>Car insurance</t>
  </si>
  <si>
    <t>Car Tax</t>
  </si>
  <si>
    <t>Fuel</t>
  </si>
  <si>
    <t xml:space="preserve">Internet </t>
  </si>
  <si>
    <t>Total food cost</t>
  </si>
  <si>
    <t>Remaining income after food costs</t>
  </si>
  <si>
    <t>Single</t>
  </si>
  <si>
    <t xml:space="preserve">Monthly </t>
  </si>
  <si>
    <t>Cereal</t>
  </si>
  <si>
    <t>Bread</t>
  </si>
  <si>
    <t>Milk 2 pints</t>
  </si>
  <si>
    <t>Pasta sauce</t>
  </si>
  <si>
    <t>2 Chicken breasts</t>
  </si>
  <si>
    <t>Frozen pizza</t>
  </si>
  <si>
    <t>Crisps multipack</t>
  </si>
  <si>
    <t>Breakfast</t>
  </si>
  <si>
    <t>Lunch</t>
  </si>
  <si>
    <t>Dinner</t>
  </si>
  <si>
    <t>Luxury items total</t>
  </si>
  <si>
    <t>Remaining income after luxury items</t>
  </si>
  <si>
    <t>Phone contract</t>
  </si>
  <si>
    <t>Dermatica</t>
  </si>
  <si>
    <t>Gym membership</t>
  </si>
  <si>
    <t>Remaining income after planned luxury spend</t>
  </si>
  <si>
    <t>Investment Goal</t>
  </si>
  <si>
    <t>Remaining After Planned Luxury + Investing</t>
  </si>
  <si>
    <t>Amount Spent</t>
  </si>
  <si>
    <t>Remaining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</si>
  <si>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</si>
  <si>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</si>
  <si>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</si>
  <si>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</si>
  <si>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</si>
  <si>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</si>
  <si>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</si>
  <si>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</si>
  <si>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</si>
  <si>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Age</t>
  </si>
  <si>
    <t>Salary</t>
  </si>
  <si>
    <t>Weekly</t>
  </si>
  <si>
    <t>Hourly</t>
  </si>
  <si>
    <t>Hours per week</t>
  </si>
  <si>
    <t>Weekly IT</t>
  </si>
  <si>
    <t>Top-line</t>
  </si>
  <si>
    <t>Avg cost of learning to drive (generic info)</t>
  </si>
  <si>
    <t>Provisional License</t>
  </si>
  <si>
    <t>Theory test</t>
  </si>
  <si>
    <t>Typical Driving lesson</t>
  </si>
  <si>
    <t>45 Lessons</t>
  </si>
  <si>
    <t>Driving test weekday</t>
  </si>
  <si>
    <t>Calculated total cost of learning to drive</t>
  </si>
  <si>
    <t>Remaining income minus car costs</t>
  </si>
  <si>
    <t>Overall cost per lesson ('calculated total' divided by 45)</t>
  </si>
  <si>
    <t>1 lesson per week</t>
  </si>
  <si>
    <t>2 lessons per week</t>
  </si>
  <si>
    <t>3 lessons per week</t>
  </si>
  <si>
    <t>5 lessons per week</t>
  </si>
  <si>
    <t>Teacher top line</t>
  </si>
  <si>
    <t>Remaining income after deductions</t>
  </si>
  <si>
    <t>Remaining income after luxury costs (without car costs)</t>
  </si>
  <si>
    <t>Remaining income after 1 lesson per week</t>
  </si>
  <si>
    <t>Remaining income after 2 lessons per week</t>
  </si>
  <si>
    <t>Remaining income after 3 lessons per week</t>
  </si>
  <si>
    <t>Remaining income after 5 lessons per week</t>
  </si>
  <si>
    <t>Top line salary</t>
  </si>
  <si>
    <t>Take home pay after deductions</t>
  </si>
  <si>
    <t>Current remaining income without rent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</si>
</sst>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9"/>
      <name val="Calibri"/>
    </font>
    <font>
      <b/>
      <sz val="11.0"/>
      <color rgb="FF70AD47"/>
      <name val="Calibri"/>
    </font>
    <font>
      <sz val="11.0"/>
      <color rgb="FF00B050"/>
      <name val="Calibri"/>
    </font>
    <font>
      <b/>
      <sz val="11.0"/>
      <color rgb="FF00B050"/>
      <name val="Calibri"/>
    </font>
    <font>
      <color theme="1"/>
      <name val="Calibri"/>
    </font>
    <font>
      <b/>
      <color theme="1"/>
      <name val="Calibri"/>
    </font>
    <font>
      <sz val="11.0"/>
      <color rgb="FF000000"/>
      <name val="Calibri"/>
    </font>
    <font>
      <b/>
      <sz val="11.0"/>
      <color rgb="FF38761D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5" numFmtId="9" xfId="0" applyBorder="1" applyFont="1" applyNumberFormat="1"/>
    <xf borderId="0" fillId="0" fontId="5" numFmtId="9" xfId="0" applyFont="1" applyNumberFormat="1"/>
    <xf borderId="5" fillId="0" fontId="2" numFmtId="0" xfId="0" applyBorder="1" applyFont="1"/>
    <xf borderId="6" fillId="0" fontId="2" numFmtId="164" xfId="0" applyBorder="1" applyFont="1" applyNumberFormat="1"/>
    <xf borderId="0" fillId="0" fontId="5" numFmtId="164" xfId="0" applyFont="1" applyNumberFormat="1"/>
    <xf borderId="0" fillId="0" fontId="2" numFmtId="164" xfId="0" applyFont="1" applyNumberFormat="1"/>
    <xf borderId="0" fillId="0" fontId="2" numFmtId="9" xfId="0" applyFont="1" applyNumberFormat="1"/>
    <xf borderId="0" fillId="0" fontId="6" numFmtId="164" xfId="0" applyFont="1" applyNumberFormat="1"/>
    <xf borderId="0" fillId="0" fontId="7" numFmtId="164" xfId="0" applyFont="1" applyNumberFormat="1"/>
    <xf borderId="0" fillId="0" fontId="8" numFmtId="0" xfId="0" applyFont="1"/>
    <xf borderId="0" fillId="0" fontId="7" numFmtId="0" xfId="0" applyFont="1"/>
    <xf borderId="0" fillId="0" fontId="9" numFmtId="164" xfId="0" applyFont="1" applyNumberFormat="1"/>
    <xf borderId="0" fillId="0" fontId="8" numFmtId="164" xfId="0" applyFont="1" applyNumberFormat="1"/>
    <xf borderId="0" fillId="0" fontId="10" numFmtId="164" xfId="0" applyFont="1" applyNumberFormat="1"/>
    <xf borderId="0" fillId="0" fontId="6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1.57"/>
    <col customWidth="1" min="3" max="3" width="8.57"/>
    <col customWidth="1" min="4" max="4" width="15.0"/>
    <col customWidth="1" min="5" max="5" width="11.57"/>
    <col customWidth="1" min="6" max="6" width="12.86"/>
    <col customWidth="1" min="7" max="7" width="12.0"/>
    <col customWidth="1" min="8" max="8" width="17.43"/>
    <col customWidth="1" min="9" max="9" width="11.0"/>
    <col customWidth="1" min="10" max="10" width="8.57"/>
    <col customWidth="1" min="11" max="11" width="14.0"/>
    <col customWidth="1" min="12" max="12" width="10.86"/>
    <col customWidth="1" min="13" max="26" width="8.71"/>
  </cols>
  <sheetData>
    <row r="1">
      <c r="A1" s="1" t="s">
        <v>0</v>
      </c>
      <c r="B1" s="2">
        <f>SUM(E1,G1)</f>
        <v>22000</v>
      </c>
      <c r="C1" s="3"/>
      <c r="D1" s="1" t="s">
        <v>1</v>
      </c>
      <c r="E1" s="4">
        <v>22000.0</v>
      </c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>
        <f>B1/12</f>
        <v>1833.333333</v>
      </c>
      <c r="C2" s="3"/>
      <c r="D2" s="1" t="s">
        <v>3</v>
      </c>
      <c r="E2" s="2">
        <f>(E1/12)</f>
        <v>1833.333333</v>
      </c>
      <c r="F2" s="5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2">
        <f>B1/52</f>
        <v>423.0769231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5</v>
      </c>
      <c r="B7" s="8"/>
      <c r="C7" s="3"/>
      <c r="E7" s="1" t="s">
        <v>6</v>
      </c>
      <c r="F7" s="3"/>
      <c r="G7" s="3"/>
      <c r="H7" s="1" t="s">
        <v>7</v>
      </c>
      <c r="I7" s="3"/>
      <c r="J7" s="3"/>
      <c r="K7" s="1" t="s">
        <v>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9</v>
      </c>
      <c r="B8" s="10">
        <v>0.16</v>
      </c>
      <c r="C8" s="3"/>
      <c r="E8" s="3" t="s">
        <v>10</v>
      </c>
      <c r="F8" s="11">
        <v>0.2</v>
      </c>
      <c r="G8" s="3"/>
      <c r="H8" s="3" t="s">
        <v>10</v>
      </c>
      <c r="I8" s="11">
        <v>0.08</v>
      </c>
      <c r="J8" s="3"/>
      <c r="K8" s="3" t="s">
        <v>10</v>
      </c>
      <c r="L8" s="11">
        <v>0.09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11</v>
      </c>
      <c r="B9" s="13">
        <f>B2*B8</f>
        <v>293.3333333</v>
      </c>
      <c r="C9" s="3"/>
      <c r="E9" s="3" t="s">
        <v>12</v>
      </c>
      <c r="F9" s="14">
        <v>12570.0</v>
      </c>
      <c r="G9" s="3"/>
      <c r="H9" s="3" t="s">
        <v>12</v>
      </c>
      <c r="I9" s="14">
        <v>242.0</v>
      </c>
      <c r="J9" s="3"/>
      <c r="K9" s="3" t="s">
        <v>12</v>
      </c>
      <c r="L9" s="14">
        <v>2172.0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E10" s="3" t="s">
        <v>13</v>
      </c>
      <c r="F10" s="15">
        <f>B22</f>
        <v>2860</v>
      </c>
      <c r="G10" s="3"/>
      <c r="H10" s="3" t="s">
        <v>14</v>
      </c>
      <c r="I10" s="14">
        <v>967.0</v>
      </c>
      <c r="J10" s="3"/>
      <c r="K10" s="3" t="s">
        <v>15</v>
      </c>
      <c r="L10" s="15">
        <f>IFERROR(  IF( (B2-L9)&lt;0, 0, (B2-L9) ), "NA")</f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16</v>
      </c>
      <c r="B11" s="3"/>
      <c r="E11" s="3" t="s">
        <v>17</v>
      </c>
      <c r="F11" s="15">
        <f>IFERROR(  IF( (B1-F9-F10)&lt;0, 0, (B1-F9-F10) ), "NA")</f>
        <v>6570</v>
      </c>
      <c r="G11" s="3"/>
      <c r="H11" s="3" t="s">
        <v>18</v>
      </c>
      <c r="I11" s="15">
        <f>I10-I9</f>
        <v>725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19</v>
      </c>
      <c r="B12" s="16">
        <f>IF( (B13*2)&gt;0.03, 0.03, (B13*2) )</f>
        <v>0.03</v>
      </c>
      <c r="C12" s="3">
        <f>E2*(B12)</f>
        <v>55</v>
      </c>
      <c r="E12" s="3"/>
      <c r="F12" s="3"/>
      <c r="G12" s="3"/>
      <c r="H12" s="3" t="s">
        <v>20</v>
      </c>
      <c r="I12" s="15">
        <f>IFERROR(  IF( (B3-I9)&gt;I11, (I11*I8), ((B3-I9)*I8) ), "NA")</f>
        <v>14.48615385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21</v>
      </c>
      <c r="B13" s="11">
        <v>0.1</v>
      </c>
      <c r="C13" s="3">
        <f>E2*(B13)</f>
        <v>183.3333333</v>
      </c>
      <c r="E13" s="3"/>
      <c r="F13" s="3"/>
      <c r="G13" s="3"/>
      <c r="H13" s="1" t="s">
        <v>22</v>
      </c>
      <c r="I13" s="2">
        <f>IFERROR(  IF( (I12)&lt;0, 0, (I12) ), "NA")</f>
        <v>14.48615385</v>
      </c>
      <c r="J13" s="3"/>
      <c r="K13" s="1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23</v>
      </c>
      <c r="B14" s="15">
        <f>E2*(B12+B13)</f>
        <v>238.3333333</v>
      </c>
      <c r="C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C15" s="3"/>
      <c r="E15" s="3"/>
      <c r="F15" s="3"/>
      <c r="G15" s="3"/>
      <c r="H15" s="3" t="s">
        <v>10</v>
      </c>
      <c r="I15" s="11">
        <v>0.02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C16" s="3"/>
      <c r="E16" s="3"/>
      <c r="F16" s="3"/>
      <c r="G16" s="3"/>
      <c r="H16" s="3" t="s">
        <v>12</v>
      </c>
      <c r="I16" s="14">
        <v>967.0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C17" s="3"/>
      <c r="E17" s="3"/>
      <c r="F17" s="3"/>
      <c r="G17" s="3"/>
      <c r="H17" s="3" t="s">
        <v>24</v>
      </c>
      <c r="I17" s="15">
        <f>IFERROR(  IF( (B3-I16)&lt;0, 0, (B3-I16) ), "NA")</f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C18" s="3"/>
      <c r="E18" s="3"/>
      <c r="F18" s="3"/>
      <c r="G18" s="3"/>
      <c r="H18" s="1" t="s">
        <v>25</v>
      </c>
      <c r="I18" s="2">
        <f>I17*I15</f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26</v>
      </c>
      <c r="B20" s="2">
        <f>B3*B8</f>
        <v>67.69230769</v>
      </c>
      <c r="C20" s="3"/>
      <c r="E20" s="3"/>
      <c r="F20" s="3"/>
      <c r="G20" s="3"/>
      <c r="H20" s="1" t="s">
        <v>27</v>
      </c>
      <c r="I20" s="2">
        <f>I13+I18</f>
        <v>14.48615385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28</v>
      </c>
      <c r="B21" s="2">
        <f>B14</f>
        <v>238.3333333</v>
      </c>
      <c r="C21" s="3"/>
      <c r="E21" s="1" t="s">
        <v>29</v>
      </c>
      <c r="F21" s="2">
        <f>F22/12</f>
        <v>109.5</v>
      </c>
      <c r="G21" s="3"/>
      <c r="H21" s="1" t="s">
        <v>30</v>
      </c>
      <c r="I21" s="2">
        <f>I22/12</f>
        <v>62.77333333</v>
      </c>
      <c r="J21" s="3"/>
      <c r="K21" s="1" t="s">
        <v>31</v>
      </c>
      <c r="L21" s="2">
        <f>L10*L8</f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 t="s">
        <v>32</v>
      </c>
      <c r="B22" s="2">
        <f>B21*12</f>
        <v>2860</v>
      </c>
      <c r="C22" s="3"/>
      <c r="E22" s="1" t="s">
        <v>33</v>
      </c>
      <c r="F22" s="2">
        <f>IFERROR(  IF( (B1-F9-F10)&lt;0, 0, ((B1-F9-F10)*F8) ), "NA")</f>
        <v>1314</v>
      </c>
      <c r="G22" s="3"/>
      <c r="H22" s="1" t="s">
        <v>34</v>
      </c>
      <c r="I22" s="2">
        <f>I20*52</f>
        <v>753.28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 t="s">
        <v>35</v>
      </c>
      <c r="B29" s="3"/>
      <c r="C29" s="3"/>
      <c r="D29" s="3"/>
      <c r="E29" s="3"/>
      <c r="F29" s="3"/>
      <c r="G29" s="3"/>
      <c r="H29" s="3"/>
      <c r="I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 t="s">
        <v>36</v>
      </c>
      <c r="B31" s="2">
        <f>B2</f>
        <v>1833.333333</v>
      </c>
      <c r="C31" s="3"/>
      <c r="D31" s="3"/>
      <c r="E31" s="3"/>
      <c r="F31" s="3"/>
      <c r="G31" s="3"/>
      <c r="H31" s="3"/>
      <c r="I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13</v>
      </c>
      <c r="B32" s="2">
        <f>B21</f>
        <v>238.3333333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 t="s">
        <v>6</v>
      </c>
      <c r="B33" s="2">
        <f>F21</f>
        <v>109.5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 t="s">
        <v>7</v>
      </c>
      <c r="B34" s="2">
        <f>I21</f>
        <v>62.77333333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 t="s">
        <v>8</v>
      </c>
      <c r="B35" s="2">
        <f>L21</f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37</v>
      </c>
      <c r="B37" s="2">
        <f>B32+B33+B34+B35</f>
        <v>410.6066667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 t="s">
        <v>38</v>
      </c>
      <c r="B39" s="2">
        <f>B2-(B32+B33+B34+B35)</f>
        <v>1422.726667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10.71"/>
    <col customWidth="1" min="3" max="3" width="10.57"/>
    <col customWidth="1" min="4" max="26" width="8.71"/>
  </cols>
  <sheetData>
    <row r="1">
      <c r="A1" s="1" t="s">
        <v>39</v>
      </c>
      <c r="B1" s="2">
        <f>'1. Take home + deductions'!B39</f>
        <v>1422.726667</v>
      </c>
      <c r="C1" s="15"/>
    </row>
    <row r="2">
      <c r="C2" s="15"/>
    </row>
    <row r="3">
      <c r="A3" s="1" t="s">
        <v>40</v>
      </c>
      <c r="B3" s="15">
        <f>SUM(B8:B50)</f>
        <v>983.985</v>
      </c>
      <c r="C3" s="15"/>
    </row>
    <row r="4">
      <c r="A4" s="1" t="s">
        <v>41</v>
      </c>
      <c r="B4" s="2">
        <f>B1-B3</f>
        <v>438.7416667</v>
      </c>
      <c r="C4" s="15"/>
    </row>
    <row r="5">
      <c r="B5" s="15"/>
      <c r="C5" s="15"/>
    </row>
    <row r="7">
      <c r="B7" s="1" t="s">
        <v>42</v>
      </c>
      <c r="C7" s="1" t="s">
        <v>43</v>
      </c>
    </row>
    <row r="8">
      <c r="A8" s="1" t="s">
        <v>44</v>
      </c>
      <c r="B8" s="17">
        <v>556.0</v>
      </c>
      <c r="C8" s="15"/>
    </row>
    <row r="9">
      <c r="A9" s="1" t="s">
        <v>45</v>
      </c>
      <c r="B9" s="2">
        <f t="shared" ref="B9:B12" si="1">C9/12</f>
        <v>151.5041667</v>
      </c>
      <c r="C9" s="14">
        <v>1818.05</v>
      </c>
    </row>
    <row r="10">
      <c r="A10" s="1" t="s">
        <v>46</v>
      </c>
      <c r="B10" s="2">
        <f t="shared" si="1"/>
        <v>23.83333333</v>
      </c>
      <c r="C10" s="14">
        <v>286.0</v>
      </c>
    </row>
    <row r="11">
      <c r="A11" s="1" t="s">
        <v>47</v>
      </c>
      <c r="B11" s="2">
        <f t="shared" si="1"/>
        <v>142.6666667</v>
      </c>
      <c r="C11" s="14">
        <v>1712.0</v>
      </c>
    </row>
    <row r="12">
      <c r="A12" s="1" t="s">
        <v>48</v>
      </c>
      <c r="B12" s="2">
        <f t="shared" si="1"/>
        <v>10.41666667</v>
      </c>
      <c r="C12" s="14">
        <v>125.0</v>
      </c>
    </row>
    <row r="13">
      <c r="A13" s="1" t="s">
        <v>49</v>
      </c>
      <c r="B13" s="17">
        <v>0.0</v>
      </c>
      <c r="C13" s="15"/>
    </row>
    <row r="14">
      <c r="A14" s="1" t="s">
        <v>50</v>
      </c>
      <c r="B14" s="17">
        <f t="shared" ref="B14:B15" si="2">C14/12</f>
        <v>23.73083333</v>
      </c>
      <c r="C14" s="18">
        <v>284.77</v>
      </c>
    </row>
    <row r="15">
      <c r="A15" s="19" t="s">
        <v>51</v>
      </c>
      <c r="B15" s="17">
        <f t="shared" si="2"/>
        <v>10.83333333</v>
      </c>
      <c r="C15" s="15">
        <v>130.0</v>
      </c>
    </row>
    <row r="16">
      <c r="A16" s="1" t="s">
        <v>52</v>
      </c>
      <c r="B16" s="17">
        <v>35.0</v>
      </c>
      <c r="C16" s="15"/>
    </row>
    <row r="17">
      <c r="A17" s="20" t="s">
        <v>53</v>
      </c>
      <c r="B17" s="20">
        <v>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3" width="10.57"/>
    <col customWidth="1" min="4" max="26" width="8.71"/>
  </cols>
  <sheetData>
    <row r="1">
      <c r="A1" s="1" t="s">
        <v>41</v>
      </c>
      <c r="B1" s="2">
        <f>'2. Bills'!B4</f>
        <v>438.7416667</v>
      </c>
    </row>
    <row r="2">
      <c r="A2" s="1"/>
      <c r="B2" s="15"/>
      <c r="C2" s="15"/>
      <c r="D2" s="15"/>
    </row>
    <row r="3">
      <c r="A3" s="1" t="s">
        <v>54</v>
      </c>
      <c r="B3" s="2">
        <f>C17+C18+C19</f>
        <v>214.8</v>
      </c>
      <c r="D3" s="15"/>
    </row>
    <row r="4">
      <c r="A4" s="1" t="s">
        <v>55</v>
      </c>
      <c r="B4" s="2">
        <f>B1-B3</f>
        <v>223.9416667</v>
      </c>
    </row>
    <row r="5">
      <c r="B5" s="15"/>
    </row>
    <row r="7">
      <c r="A7" s="1"/>
      <c r="B7" s="1" t="s">
        <v>56</v>
      </c>
      <c r="C7" s="1" t="s">
        <v>57</v>
      </c>
      <c r="D7" s="1" t="s">
        <v>43</v>
      </c>
    </row>
    <row r="8">
      <c r="A8" s="1" t="s">
        <v>58</v>
      </c>
      <c r="B8" s="14">
        <v>2.0</v>
      </c>
      <c r="C8" s="15"/>
      <c r="D8" s="15"/>
    </row>
    <row r="9">
      <c r="A9" s="1" t="s">
        <v>59</v>
      </c>
      <c r="B9" s="14">
        <v>0.95</v>
      </c>
      <c r="C9" s="15"/>
      <c r="D9" s="15"/>
    </row>
    <row r="10">
      <c r="A10" s="1" t="s">
        <v>60</v>
      </c>
      <c r="B10" s="14">
        <v>1.2</v>
      </c>
      <c r="C10" s="15"/>
      <c r="D10" s="15"/>
    </row>
    <row r="11">
      <c r="A11" s="1" t="s">
        <v>61</v>
      </c>
      <c r="B11" s="14">
        <v>1.2</v>
      </c>
      <c r="C11" s="15"/>
      <c r="D11" s="15"/>
    </row>
    <row r="12">
      <c r="A12" s="1" t="s">
        <v>62</v>
      </c>
      <c r="B12" s="14">
        <v>2.6</v>
      </c>
      <c r="C12" s="15"/>
      <c r="D12" s="15"/>
    </row>
    <row r="13">
      <c r="A13" s="1" t="s">
        <v>63</v>
      </c>
      <c r="B13" s="14">
        <v>2.5</v>
      </c>
      <c r="C13" s="15"/>
      <c r="D13" s="15"/>
    </row>
    <row r="14">
      <c r="A14" s="1" t="s">
        <v>64</v>
      </c>
      <c r="B14" s="14">
        <v>4.0</v>
      </c>
      <c r="C14" s="15"/>
      <c r="D14" s="15"/>
    </row>
    <row r="15">
      <c r="A15" s="1"/>
      <c r="B15" s="15"/>
      <c r="C15" s="15"/>
      <c r="D15" s="15"/>
    </row>
    <row r="16">
      <c r="A16" s="1"/>
      <c r="B16" s="15"/>
      <c r="C16" s="15"/>
      <c r="D16" s="15"/>
    </row>
    <row r="17">
      <c r="A17" s="1" t="s">
        <v>65</v>
      </c>
      <c r="B17" s="14">
        <v>0.97</v>
      </c>
      <c r="C17" s="2">
        <f t="shared" ref="C17:C19" si="1">B17*30</f>
        <v>29.1</v>
      </c>
      <c r="D17" s="15"/>
    </row>
    <row r="18">
      <c r="A18" s="1" t="s">
        <v>66</v>
      </c>
      <c r="B18" s="14">
        <v>2.08</v>
      </c>
      <c r="C18" s="2">
        <f t="shared" si="1"/>
        <v>62.4</v>
      </c>
      <c r="D18" s="15"/>
    </row>
    <row r="19">
      <c r="A19" s="1" t="s">
        <v>67</v>
      </c>
      <c r="B19" s="14">
        <v>4.11</v>
      </c>
      <c r="C19" s="2">
        <f t="shared" si="1"/>
        <v>123.3</v>
      </c>
      <c r="D19" s="15"/>
    </row>
    <row r="20">
      <c r="A20" s="1"/>
      <c r="B20" s="15"/>
      <c r="C20" s="15"/>
      <c r="D20" s="15"/>
    </row>
    <row r="21" ht="15.75" customHeight="1">
      <c r="D21" s="15"/>
    </row>
    <row r="22" ht="15.75" customHeight="1">
      <c r="C22" s="15"/>
      <c r="D22" s="15"/>
    </row>
    <row r="23" ht="15.75" customHeight="1">
      <c r="C23" s="15"/>
      <c r="D23" s="15"/>
    </row>
    <row r="24" ht="15.75" customHeight="1">
      <c r="D24" s="15"/>
    </row>
    <row r="25" ht="15.75" customHeight="1">
      <c r="C25" s="15"/>
      <c r="D25" s="15"/>
    </row>
    <row r="26" ht="15.75" customHeight="1">
      <c r="B26" s="15"/>
      <c r="C26" s="15"/>
      <c r="D26" s="15"/>
    </row>
    <row r="27" ht="15.75" customHeight="1">
      <c r="B27" s="15"/>
      <c r="C27" s="15"/>
      <c r="D27" s="15"/>
    </row>
    <row r="28" ht="15.75" customHeight="1">
      <c r="B28" s="15"/>
      <c r="C28" s="15"/>
      <c r="D28" s="1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1.0"/>
    <col customWidth="1" min="3" max="3" width="11.86"/>
    <col customWidth="1" min="4" max="4" width="13.43"/>
    <col customWidth="1" min="5" max="26" width="8.71"/>
  </cols>
  <sheetData>
    <row r="1">
      <c r="A1" s="1" t="s">
        <v>55</v>
      </c>
      <c r="B1" s="2">
        <f>'3. Food'!B4</f>
        <v>223.9416667</v>
      </c>
      <c r="D1" s="1"/>
      <c r="E1" s="1"/>
    </row>
    <row r="2">
      <c r="A2" s="1"/>
    </row>
    <row r="3">
      <c r="A3" s="1" t="s">
        <v>68</v>
      </c>
      <c r="B3" s="2">
        <f>SUM(B8:B50)</f>
        <v>41.99</v>
      </c>
      <c r="C3" s="15"/>
    </row>
    <row r="4">
      <c r="A4" s="1" t="s">
        <v>69</v>
      </c>
      <c r="B4" s="2">
        <f>B1-B3</f>
        <v>181.9516667</v>
      </c>
    </row>
    <row r="7">
      <c r="A7" s="1"/>
      <c r="B7" s="1" t="s">
        <v>42</v>
      </c>
      <c r="C7" s="1" t="s">
        <v>43</v>
      </c>
    </row>
    <row r="8">
      <c r="A8" s="1" t="s">
        <v>70</v>
      </c>
      <c r="B8" s="17">
        <v>16.99</v>
      </c>
      <c r="C8" s="15">
        <f t="shared" ref="C8:C9" si="1">SUM(B8*12)</f>
        <v>203.88</v>
      </c>
    </row>
    <row r="9">
      <c r="A9" s="1" t="s">
        <v>71</v>
      </c>
      <c r="B9" s="17">
        <v>25.0</v>
      </c>
      <c r="C9" s="21">
        <f t="shared" si="1"/>
        <v>300</v>
      </c>
    </row>
    <row r="10">
      <c r="A10" s="1" t="s">
        <v>72</v>
      </c>
      <c r="B10" s="17">
        <v>0.0</v>
      </c>
      <c r="C10" s="15"/>
    </row>
    <row r="11">
      <c r="A11" s="19"/>
      <c r="C11" s="15"/>
    </row>
    <row r="12">
      <c r="C12" s="15"/>
    </row>
    <row r="13">
      <c r="C13" s="18"/>
    </row>
    <row r="14">
      <c r="A14" s="19"/>
      <c r="B14" s="17"/>
      <c r="C14" s="15"/>
    </row>
    <row r="15">
      <c r="A15" s="1"/>
      <c r="B15" s="17"/>
      <c r="C15" s="15"/>
    </row>
    <row r="16">
      <c r="C16" s="15"/>
    </row>
    <row r="21" ht="15.75" customHeight="1">
      <c r="A21" s="1"/>
      <c r="B21" s="1"/>
    </row>
    <row r="22" ht="15.75" customHeight="1"/>
    <row r="23" ht="15.75" customHeight="1"/>
    <row r="24" ht="15.75" customHeight="1"/>
    <row r="25" ht="15.75" customHeight="1">
      <c r="A25" s="1"/>
      <c r="B25" s="2"/>
    </row>
    <row r="26" ht="15.75" customHeight="1">
      <c r="A26" s="1"/>
      <c r="C26" s="1"/>
    </row>
    <row r="27" ht="15.75" customHeight="1">
      <c r="A27" s="1"/>
      <c r="C27" s="1"/>
    </row>
    <row r="28" ht="15.75" customHeight="1">
      <c r="A28" s="1"/>
      <c r="C28" s="1"/>
    </row>
    <row r="29" ht="15.75" customHeight="1">
      <c r="A29" s="1"/>
      <c r="C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16.0"/>
    <col customWidth="1" min="3" max="3" width="22.71"/>
    <col customWidth="1" min="4" max="4" width="22.43"/>
  </cols>
  <sheetData>
    <row r="1">
      <c r="A1" s="1" t="s">
        <v>73</v>
      </c>
      <c r="B1" s="2">
        <f>'4. Luxury items'!B4</f>
        <v>181.9516667</v>
      </c>
    </row>
    <row r="2">
      <c r="A2" s="19" t="s">
        <v>74</v>
      </c>
      <c r="B2" s="22">
        <f>SUM('1. Take home + deductions'!B9-'1. Take home + deductions'!B14)</f>
        <v>55</v>
      </c>
    </row>
    <row r="4">
      <c r="A4" s="19" t="s">
        <v>75</v>
      </c>
      <c r="B4" s="22">
        <f>SUM('4. Luxury items'!B4-B2)</f>
        <v>126.9516667</v>
      </c>
    </row>
    <row r="7">
      <c r="B7" s="19" t="s">
        <v>76</v>
      </c>
      <c r="C7" s="19" t="s">
        <v>77</v>
      </c>
    </row>
    <row r="8">
      <c r="A8" s="19" t="s">
        <v>78</v>
      </c>
      <c r="B8" s="23">
        <v>620.0</v>
      </c>
      <c r="C8" s="2">
        <f>SUM(B4-B8)</f>
        <v>-493.0483333</v>
      </c>
    </row>
    <row r="9">
      <c r="A9" s="19" t="s">
        <v>79</v>
      </c>
      <c r="B9" s="23">
        <v>630.0</v>
      </c>
      <c r="C9" s="2">
        <f>SUM(B4-B9)</f>
        <v>-503.0483333</v>
      </c>
    </row>
    <row r="10">
      <c r="A10" s="19" t="s">
        <v>80</v>
      </c>
      <c r="B10" s="23">
        <v>0.0</v>
      </c>
      <c r="C10" s="2">
        <f>SUM(B4-B10)</f>
        <v>126.9516667</v>
      </c>
    </row>
    <row r="11">
      <c r="A11" s="19" t="s">
        <v>81</v>
      </c>
      <c r="B11" s="23">
        <v>0.0</v>
      </c>
      <c r="C11" s="2">
        <f>SUM(B4-B11)</f>
        <v>126.9516667</v>
      </c>
    </row>
    <row r="12">
      <c r="A12" s="19" t="s">
        <v>82</v>
      </c>
      <c r="B12" s="23">
        <v>0.0</v>
      </c>
      <c r="C12" s="2">
        <f>SUM(B4-B12)</f>
        <v>126.9516667</v>
      </c>
    </row>
    <row r="13">
      <c r="A13" s="19" t="s">
        <v>83</v>
      </c>
      <c r="B13" s="23">
        <v>0.0</v>
      </c>
      <c r="C13" s="2">
        <f>SUM(B4-B13)</f>
        <v>126.9516667</v>
      </c>
    </row>
    <row r="14">
      <c r="A14" s="19" t="s">
        <v>84</v>
      </c>
      <c r="B14" s="23">
        <v>0.0</v>
      </c>
      <c r="C14" s="2">
        <f>SUM(B4-B14)</f>
        <v>126.9516667</v>
      </c>
    </row>
    <row r="15">
      <c r="A15" s="19" t="s">
        <v>85</v>
      </c>
      <c r="B15" s="23">
        <v>0.0</v>
      </c>
      <c r="C15" s="2">
        <f>SUM(B4-B15)</f>
        <v>126.9516667</v>
      </c>
    </row>
    <row r="16">
      <c r="A16" s="19" t="s">
        <v>86</v>
      </c>
      <c r="B16" s="23">
        <v>0.0</v>
      </c>
      <c r="C16" s="2">
        <f>SUM(B4-B16)</f>
        <v>126.9516667</v>
      </c>
    </row>
  </sheetData>
  <conditionalFormatting sqref="D18:D100">
    <cfRule type="expression" dxfId="0" priority="1">
      <formula>D18 &gt; B12</formula>
    </cfRule>
  </conditionalFormatting>
  <conditionalFormatting sqref="D18:D100">
    <cfRule type="expression" dxfId="1" priority="2">
      <formula>D18 &lt; B12</formula>
    </cfRule>
  </conditionalFormatting>
  <conditionalFormatting sqref="C8:C100">
    <cfRule type="cellIs" dxfId="0" priority="3" operator="greaterThan">
      <formula>0</formula>
    </cfRule>
  </conditionalFormatting>
  <conditionalFormatting sqref="C8:C100">
    <cfRule type="cellIs" dxfId="2" priority="4" operator="lessThanOr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3" width="11.57"/>
    <col customWidth="1" min="4" max="4" width="15.0"/>
    <col customWidth="1" min="5" max="5" width="11.57"/>
    <col customWidth="1" min="6" max="6" width="9.57"/>
    <col customWidth="1" min="7" max="7" width="17.86"/>
    <col customWidth="1" min="8" max="8" width="10.57"/>
    <col customWidth="1" min="9" max="9" width="8.43"/>
    <col customWidth="1" min="10" max="10" width="14.57"/>
    <col customWidth="1" min="11" max="11" width="10.57"/>
    <col customWidth="1" min="12" max="26" width="8.71"/>
  </cols>
  <sheetData>
    <row r="1">
      <c r="A1" s="1" t="s">
        <v>87</v>
      </c>
      <c r="B1" s="24">
        <v>19.0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88</v>
      </c>
      <c r="B2" s="2">
        <f>B4*52</f>
        <v>14605.5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42</v>
      </c>
      <c r="B3" s="2">
        <f>B2/12</f>
        <v>1217.125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89</v>
      </c>
      <c r="B4" s="2">
        <f>B5*B6</f>
        <v>280.875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90</v>
      </c>
      <c r="B5" s="24">
        <v>7.49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91</v>
      </c>
      <c r="B6" s="24">
        <v>37.5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13</v>
      </c>
      <c r="B9" s="3"/>
      <c r="C9" s="3"/>
      <c r="D9" s="1" t="s">
        <v>6</v>
      </c>
      <c r="E9" s="3"/>
      <c r="F9" s="3"/>
      <c r="G9" s="1" t="s">
        <v>7</v>
      </c>
      <c r="H9" s="3"/>
      <c r="I9" s="3"/>
      <c r="J9" s="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10</v>
      </c>
      <c r="B10" s="11">
        <v>0.0</v>
      </c>
      <c r="C10" s="3"/>
      <c r="D10" s="3" t="s">
        <v>10</v>
      </c>
      <c r="E10" s="16">
        <f>'1. Take home + deductions'!F8</f>
        <v>0.2</v>
      </c>
      <c r="F10" s="3"/>
      <c r="G10" s="3" t="s">
        <v>10</v>
      </c>
      <c r="H10" s="16">
        <f>'1. Take home + deductions'!I8</f>
        <v>0.08</v>
      </c>
      <c r="I10" s="3"/>
      <c r="J10" s="3" t="s">
        <v>10</v>
      </c>
      <c r="K10" s="11">
        <v>0.0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 t="s">
        <v>12</v>
      </c>
      <c r="E11" s="15">
        <f>'1. Take home + deductions'!F9</f>
        <v>12570</v>
      </c>
      <c r="F11" s="3"/>
      <c r="G11" s="3" t="s">
        <v>12</v>
      </c>
      <c r="H11" s="15">
        <f>'1. Take home + deductions'!I9</f>
        <v>242</v>
      </c>
      <c r="I11" s="3"/>
      <c r="J11" s="3" t="s">
        <v>12</v>
      </c>
      <c r="K11" s="15">
        <f>'1. Take home + deductions'!L9</f>
        <v>2172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 t="s">
        <v>13</v>
      </c>
      <c r="E12" s="15">
        <f>B24</f>
        <v>0</v>
      </c>
      <c r="F12" s="3"/>
      <c r="G12" s="3" t="s">
        <v>14</v>
      </c>
      <c r="H12" s="15">
        <f>'1. Take home + deductions'!I10</f>
        <v>967</v>
      </c>
      <c r="I12" s="3"/>
      <c r="J12" s="3" t="s">
        <v>15</v>
      </c>
      <c r="K12" s="15">
        <f>IFERROR(  IF( (B3-K11)&lt;0, 0, (B3-K11) ), "NA")</f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 t="s">
        <v>17</v>
      </c>
      <c r="E13" s="15">
        <f>IFERROR(  IF( (B2-E11-E12)&lt;0, 0, (B2-E11-E12) ), "NA")</f>
        <v>2035.5</v>
      </c>
      <c r="F13" s="3"/>
      <c r="G13" s="3" t="s">
        <v>18</v>
      </c>
      <c r="H13" s="15">
        <f>H12-H11</f>
        <v>725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 t="s">
        <v>20</v>
      </c>
      <c r="H14" s="15">
        <f>IFERROR(  IF( (B4-H11)&gt;H13, (H13*H10), ((B4-H11)*H10) ), "NA")</f>
        <v>3.11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1" t="s">
        <v>22</v>
      </c>
      <c r="H15" s="2">
        <f>IFERROR(  IF( (H14)&lt;0, 0, (H14) ), "NA")</f>
        <v>3.11</v>
      </c>
      <c r="I15" s="3"/>
      <c r="J15" s="1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 t="s">
        <v>10</v>
      </c>
      <c r="H17" s="16">
        <f>'1. Take home + deductions'!I15</f>
        <v>0.02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 t="s">
        <v>12</v>
      </c>
      <c r="H18" s="15">
        <f>'1. Take home + deductions'!I16</f>
        <v>967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 t="s">
        <v>24</v>
      </c>
      <c r="H19" s="15">
        <f>IFERROR(  IF( (B4-H18)&lt;0, 0, (B4-H18) ), "NA")</f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1" t="s">
        <v>25</v>
      </c>
      <c r="H20" s="2">
        <f>H19*D18</f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 t="s">
        <v>26</v>
      </c>
      <c r="B22" s="2">
        <f>B4*B10</f>
        <v>0</v>
      </c>
      <c r="C22" s="3"/>
      <c r="D22" s="1" t="s">
        <v>92</v>
      </c>
      <c r="E22" s="2">
        <f>E24/52</f>
        <v>7.828846154</v>
      </c>
      <c r="F22" s="3"/>
      <c r="G22" s="1" t="s">
        <v>27</v>
      </c>
      <c r="H22" s="2">
        <f>H15+H20</f>
        <v>3.11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 t="s">
        <v>28</v>
      </c>
      <c r="B23" s="2">
        <f>B24/12</f>
        <v>0</v>
      </c>
      <c r="C23" s="3"/>
      <c r="D23" s="1" t="s">
        <v>29</v>
      </c>
      <c r="E23" s="2">
        <f>E24/12</f>
        <v>33.925</v>
      </c>
      <c r="F23" s="3"/>
      <c r="G23" s="1" t="s">
        <v>30</v>
      </c>
      <c r="H23" s="2">
        <f>H24/12</f>
        <v>13.47666667</v>
      </c>
      <c r="I23" s="3"/>
      <c r="J23" s="1" t="s">
        <v>31</v>
      </c>
      <c r="K23" s="2">
        <f>K12*K10</f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32</v>
      </c>
      <c r="B24" s="2">
        <f>B22*52</f>
        <v>0</v>
      </c>
      <c r="C24" s="3"/>
      <c r="D24" s="1" t="s">
        <v>33</v>
      </c>
      <c r="E24" s="2">
        <f>IFERROR(  IF( (B2-E11-E12)&lt;0, 0, ((B2-E11-E12)*E10) ), "NA")</f>
        <v>407.1</v>
      </c>
      <c r="F24" s="3"/>
      <c r="G24" s="1" t="s">
        <v>34</v>
      </c>
      <c r="H24" s="2">
        <f>H22*52</f>
        <v>161.72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 t="s">
        <v>35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 t="s">
        <v>93</v>
      </c>
      <c r="B33" s="2">
        <f>B3</f>
        <v>1217.125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 t="s">
        <v>13</v>
      </c>
      <c r="B34" s="2">
        <f>B23</f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 t="s">
        <v>6</v>
      </c>
      <c r="B35" s="2">
        <f>E23</f>
        <v>33.925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 t="s">
        <v>7</v>
      </c>
      <c r="B36" s="2">
        <f>H23</f>
        <v>13.47666667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8</v>
      </c>
      <c r="B37" s="2">
        <f>K23</f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 t="s">
        <v>37</v>
      </c>
      <c r="B39" s="2">
        <f>B34+B35+B36+B37</f>
        <v>47.40166667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 t="s">
        <v>38</v>
      </c>
      <c r="B41" s="2">
        <f>B3-(B34+B35+B36+B37)</f>
        <v>1169.723333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49.86"/>
    <col customWidth="1" min="2" max="2" width="8.71"/>
    <col customWidth="1" min="3" max="3" width="10.57"/>
    <col customWidth="1" min="4" max="4" width="9.29"/>
    <col customWidth="1" min="5" max="5" width="10.57"/>
    <col customWidth="1" min="6" max="26" width="8.71"/>
  </cols>
  <sheetData>
    <row r="1">
      <c r="A1" s="1"/>
      <c r="B1" s="1"/>
      <c r="C1" s="1" t="s">
        <v>56</v>
      </c>
      <c r="D1" s="1" t="s">
        <v>89</v>
      </c>
      <c r="E1" s="1" t="s">
        <v>42</v>
      </c>
      <c r="F1" s="1"/>
      <c r="G1" s="1"/>
      <c r="H1" s="1"/>
    </row>
    <row r="2">
      <c r="A2" s="1"/>
    </row>
    <row r="3">
      <c r="A3" s="1" t="s">
        <v>69</v>
      </c>
      <c r="C3" s="15"/>
      <c r="E3" s="2">
        <f>'4. Luxury items'!B4</f>
        <v>181.9516667</v>
      </c>
    </row>
    <row r="4">
      <c r="A4" s="1"/>
      <c r="C4" s="15"/>
      <c r="E4" s="15"/>
    </row>
    <row r="5">
      <c r="A5" s="1" t="s">
        <v>94</v>
      </c>
      <c r="C5" s="17">
        <v>1649.0</v>
      </c>
      <c r="E5" s="15"/>
    </row>
    <row r="7">
      <c r="A7" s="1" t="s">
        <v>95</v>
      </c>
      <c r="C7" s="17">
        <v>34.0</v>
      </c>
      <c r="E7" s="15"/>
    </row>
    <row r="8">
      <c r="A8" s="1" t="s">
        <v>96</v>
      </c>
      <c r="C8" s="17">
        <v>23.0</v>
      </c>
      <c r="E8" s="15"/>
    </row>
    <row r="9">
      <c r="A9" s="1"/>
      <c r="C9" s="15"/>
      <c r="E9" s="15"/>
    </row>
    <row r="10">
      <c r="A10" s="1" t="s">
        <v>97</v>
      </c>
      <c r="C10" s="17">
        <v>34.0</v>
      </c>
      <c r="E10" s="15"/>
    </row>
    <row r="11">
      <c r="A11" s="1" t="s">
        <v>98</v>
      </c>
      <c r="C11" s="2">
        <f>C10*45</f>
        <v>1530</v>
      </c>
      <c r="E11" s="15"/>
    </row>
    <row r="12">
      <c r="A12" s="1"/>
      <c r="C12" s="15"/>
      <c r="E12" s="15"/>
    </row>
    <row r="13">
      <c r="A13" s="1" t="s">
        <v>99</v>
      </c>
      <c r="C13" s="17">
        <v>62.0</v>
      </c>
      <c r="E13" s="15"/>
    </row>
    <row r="14">
      <c r="A14" s="1"/>
      <c r="C14" s="15"/>
      <c r="E14" s="15"/>
    </row>
    <row r="15">
      <c r="A15" s="1" t="s">
        <v>100</v>
      </c>
      <c r="C15" s="2">
        <f>SUM(C7,C8,C11,C13)</f>
        <v>1649</v>
      </c>
      <c r="E15" s="15"/>
    </row>
    <row r="16">
      <c r="A16" s="1"/>
      <c r="C16" s="15"/>
      <c r="E16" s="15"/>
    </row>
    <row r="17">
      <c r="A17" s="1"/>
      <c r="C17" s="15"/>
      <c r="E17" s="15"/>
    </row>
    <row r="18">
      <c r="A18" s="1"/>
      <c r="C18" s="15"/>
      <c r="E18" s="15"/>
    </row>
    <row r="19">
      <c r="A19" s="1" t="s">
        <v>101</v>
      </c>
      <c r="E19" s="2">
        <f>'4. Luxury items'!B1-(SUM('4. Luxury items'!B8:B10))</f>
        <v>181.9516667</v>
      </c>
    </row>
    <row r="20">
      <c r="A20" s="1"/>
      <c r="C20" s="15"/>
      <c r="E20" s="15"/>
    </row>
    <row r="21" ht="15.75" customHeight="1">
      <c r="A21" s="1" t="s">
        <v>102</v>
      </c>
      <c r="C21" s="2">
        <f>C15/45</f>
        <v>36.64444444</v>
      </c>
      <c r="E21" s="15"/>
    </row>
    <row r="22" ht="15.75" customHeight="1">
      <c r="A22" s="1"/>
      <c r="C22" s="15"/>
      <c r="E22" s="15"/>
    </row>
    <row r="23" ht="15.75" customHeight="1">
      <c r="A23" s="1" t="s">
        <v>103</v>
      </c>
      <c r="C23" s="15"/>
      <c r="D23" s="2">
        <f>C21</f>
        <v>36.64444444</v>
      </c>
      <c r="E23" s="2">
        <f>C21*4</f>
        <v>146.5777778</v>
      </c>
    </row>
    <row r="24" ht="15.75" customHeight="1">
      <c r="A24" s="1" t="s">
        <v>104</v>
      </c>
      <c r="C24" s="15"/>
      <c r="D24" s="2">
        <f>C21*2</f>
        <v>73.28888889</v>
      </c>
      <c r="E24" s="2">
        <f>C21*8</f>
        <v>293.1555556</v>
      </c>
    </row>
    <row r="25" ht="15.75" customHeight="1">
      <c r="A25" s="1" t="s">
        <v>105</v>
      </c>
      <c r="C25" s="15"/>
      <c r="D25" s="2">
        <f>C21*3</f>
        <v>109.9333333</v>
      </c>
      <c r="E25" s="2">
        <f>C21*12</f>
        <v>439.7333333</v>
      </c>
    </row>
    <row r="26" ht="15.75" customHeight="1">
      <c r="A26" s="1" t="s">
        <v>106</v>
      </c>
      <c r="C26" s="15"/>
      <c r="D26" s="2">
        <f>C21*5</f>
        <v>183.2222222</v>
      </c>
      <c r="E26" s="2">
        <f>C21*20</f>
        <v>732.8888889</v>
      </c>
    </row>
    <row r="27" ht="15.75" customHeight="1">
      <c r="A27" s="1"/>
      <c r="C27" s="15"/>
      <c r="D27" s="15"/>
      <c r="E27" s="15"/>
    </row>
    <row r="28" ht="15.75" customHeight="1">
      <c r="A28" s="1"/>
      <c r="C28" s="15"/>
      <c r="D28" s="15"/>
      <c r="E28" s="15"/>
    </row>
    <row r="29" ht="15.75" customHeight="1">
      <c r="A29" s="1"/>
      <c r="C29" s="15"/>
      <c r="D29" s="15"/>
      <c r="E29" s="15"/>
    </row>
    <row r="30" ht="15.75" customHeight="1">
      <c r="A30" s="1" t="s">
        <v>107</v>
      </c>
      <c r="C30" s="15"/>
      <c r="D30" s="15"/>
      <c r="E30" s="2">
        <f>'1. Take home + deductions'!B2</f>
        <v>1833.333333</v>
      </c>
    </row>
    <row r="31" ht="15.75" customHeight="1">
      <c r="A31" s="1" t="s">
        <v>108</v>
      </c>
      <c r="C31" s="15"/>
      <c r="D31" s="15"/>
      <c r="E31" s="2">
        <f>'1. Take home + deductions'!B39</f>
        <v>1422.726667</v>
      </c>
    </row>
    <row r="32" ht="15.75" customHeight="1">
      <c r="A32" s="1" t="s">
        <v>41</v>
      </c>
      <c r="C32" s="15"/>
      <c r="D32" s="15"/>
      <c r="E32" s="2">
        <f>'2. Bills'!B4</f>
        <v>438.7416667</v>
      </c>
    </row>
    <row r="33" ht="15.75" customHeight="1">
      <c r="A33" s="1" t="s">
        <v>55</v>
      </c>
      <c r="C33" s="15"/>
      <c r="D33" s="15"/>
      <c r="E33" s="2">
        <f>'3. Food'!B4</f>
        <v>223.9416667</v>
      </c>
    </row>
    <row r="34" ht="15.75" customHeight="1">
      <c r="A34" s="1" t="s">
        <v>109</v>
      </c>
      <c r="C34" s="15"/>
      <c r="D34" s="15"/>
      <c r="E34" s="2">
        <f>'4. Luxury items'!B1-(SUM('4. Luxury items'!B8:B10))</f>
        <v>181.9516667</v>
      </c>
    </row>
    <row r="35" ht="15.75" customHeight="1">
      <c r="A35" s="1"/>
      <c r="C35" s="15"/>
      <c r="D35" s="15"/>
      <c r="E35" s="15"/>
    </row>
    <row r="36" ht="15.75" customHeight="1">
      <c r="A36" s="1" t="s">
        <v>110</v>
      </c>
      <c r="C36" s="15"/>
      <c r="D36" s="15"/>
      <c r="E36" s="2">
        <f>E19-E23</f>
        <v>35.37388889</v>
      </c>
    </row>
    <row r="37" ht="15.75" customHeight="1">
      <c r="A37" s="1" t="s">
        <v>111</v>
      </c>
      <c r="C37" s="15"/>
      <c r="D37" s="15"/>
      <c r="E37" s="2">
        <f>E19-E24</f>
        <v>-111.2038889</v>
      </c>
    </row>
    <row r="38" ht="15.75" customHeight="1">
      <c r="A38" s="1" t="s">
        <v>112</v>
      </c>
      <c r="C38" s="15"/>
      <c r="D38" s="15"/>
      <c r="E38" s="2">
        <f>E19-E25</f>
        <v>-257.7816667</v>
      </c>
    </row>
    <row r="39" ht="15.75" customHeight="1">
      <c r="A39" s="1" t="s">
        <v>113</v>
      </c>
      <c r="C39" s="15"/>
      <c r="D39" s="15"/>
      <c r="E39" s="2">
        <f>E19-E26</f>
        <v>-550.9372222</v>
      </c>
    </row>
    <row r="40" ht="15.75" customHeight="1">
      <c r="C40" s="15"/>
      <c r="D40" s="15"/>
      <c r="E40" s="15"/>
    </row>
    <row r="41" ht="15.75" customHeight="1">
      <c r="C41" s="15"/>
      <c r="D41" s="15"/>
      <c r="E41" s="15"/>
    </row>
    <row r="42" ht="15.75" customHeight="1">
      <c r="C42" s="15"/>
      <c r="D42" s="15"/>
      <c r="E42" s="15"/>
    </row>
    <row r="43" ht="15.75" customHeight="1">
      <c r="C43" s="15"/>
      <c r="D43" s="15"/>
      <c r="E43" s="15"/>
    </row>
    <row r="44" ht="15.75" customHeight="1">
      <c r="C44" s="15"/>
      <c r="D44" s="15"/>
      <c r="E44" s="15"/>
    </row>
    <row r="45" ht="15.75" customHeight="1">
      <c r="C45" s="15"/>
      <c r="D45" s="15"/>
      <c r="E45" s="15"/>
    </row>
    <row r="46" ht="15.75" customHeight="1">
      <c r="C46" s="15"/>
      <c r="D46" s="15"/>
      <c r="E46" s="15"/>
    </row>
    <row r="47" ht="15.75" customHeight="1">
      <c r="C47" s="15"/>
      <c r="D47" s="15"/>
      <c r="E47" s="15"/>
    </row>
    <row r="48" ht="15.75" customHeight="1">
      <c r="C48" s="15"/>
      <c r="D48" s="15"/>
      <c r="E48" s="15"/>
    </row>
    <row r="49" ht="15.75" customHeight="1">
      <c r="C49" s="15"/>
      <c r="D49" s="15"/>
      <c r="E49" s="15"/>
    </row>
    <row r="50" ht="15.75" customHeight="1">
      <c r="C50" s="15"/>
      <c r="D50" s="15"/>
      <c r="E50" s="15"/>
    </row>
    <row r="51" ht="15.75" customHeight="1">
      <c r="C51" s="15"/>
      <c r="D51" s="15"/>
      <c r="E51" s="1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2" width="9.14"/>
    <col customWidth="1" min="3" max="3" width="11.57"/>
    <col customWidth="1" min="4" max="4" width="10.57"/>
    <col customWidth="1" min="5" max="6" width="9.14"/>
    <col customWidth="1" min="7" max="26" width="8.71"/>
  </cols>
  <sheetData>
    <row r="1">
      <c r="A1" s="1"/>
      <c r="B1" s="1"/>
      <c r="C1" s="1" t="s">
        <v>43</v>
      </c>
      <c r="D1" s="1" t="s">
        <v>42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114</v>
      </c>
      <c r="B3" s="1"/>
      <c r="C3" s="2">
        <f>'1. Take home + deductions'!B1</f>
        <v>22000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115</v>
      </c>
      <c r="B4" s="1"/>
      <c r="C4" s="1"/>
      <c r="D4" s="2">
        <f>'1. Take home + deductions'!B39</f>
        <v>1422.726667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116</v>
      </c>
      <c r="B5" s="1"/>
      <c r="C5" s="1"/>
      <c r="D5" s="2">
        <f>'4. Luxury items'!B4+'2. Bills'!B8</f>
        <v>737.9516667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2024-01-15T10:58:26Z</dcterms:created>
  <dc:creator>MattDesktop</dc:creator>
</cp:coreProperties>
</file>