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matu\Documents\"/>
    </mc:Choice>
  </mc:AlternateContent>
  <xr:revisionPtr revIDLastSave="0" documentId="8_{5FC4C691-1549-4160-951D-6E2682E30E7D}" xr6:coauthVersionLast="47" xr6:coauthVersionMax="47" xr10:uidLastSave="{00000000-0000-0000-0000-000000000000}"/>
  <bookViews>
    <workbookView xWindow="-108" yWindow="-108" windowWidth="23256" windowHeight="12816" firstSheet="1" activeTab="2" xr2:uid="{544EF2C8-F47B-4434-8467-8B7D14E1493A}"/>
  </bookViews>
  <sheets>
    <sheet name="Water Baseline" sheetId="1" r:id="rId1"/>
    <sheet name="Water Intervention" sheetId="2" r:id="rId2"/>
    <sheet name="Energy Baseline " sheetId="3" r:id="rId3"/>
    <sheet name="Energy Intervention" sheetId="4" r:id="rId4"/>
    <sheet name="Carbon Emission" sheetId="5" r:id="rId5"/>
    <sheet name="Costs" sheetId="6" r:id="rId6"/>
    <sheet name="Solar Panels " sheetId="7" r:id="rId7"/>
  </sheets>
  <externalReferences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5" l="1"/>
  <c r="G17" i="5"/>
  <c r="F17" i="5"/>
  <c r="E17" i="5"/>
  <c r="D17" i="5"/>
  <c r="C17" i="5"/>
  <c r="B17" i="5"/>
  <c r="A17" i="5"/>
  <c r="I17" i="5" s="1"/>
  <c r="G11" i="5" l="1"/>
  <c r="F11" i="5"/>
  <c r="E11" i="5"/>
  <c r="D11" i="5"/>
  <c r="C11" i="5"/>
  <c r="B11" i="5"/>
  <c r="I11" i="5" s="1"/>
  <c r="A11" i="5"/>
  <c r="Q5" i="3"/>
  <c r="Q12" i="3" s="1"/>
  <c r="O5" i="3"/>
  <c r="O12" i="3" s="1"/>
  <c r="N5" i="3"/>
  <c r="N12" i="3" s="1"/>
  <c r="L12" i="3"/>
  <c r="L5" i="3"/>
  <c r="J5" i="3"/>
  <c r="G43" i="3"/>
  <c r="G35" i="3"/>
  <c r="G13" i="3"/>
  <c r="G73" i="3" s="1"/>
  <c r="K5" i="3" s="1"/>
  <c r="K12" i="3" s="1"/>
  <c r="F68" i="3"/>
  <c r="F64" i="3"/>
  <c r="F63" i="3"/>
  <c r="F55" i="3"/>
  <c r="F51" i="3"/>
  <c r="F45" i="3"/>
  <c r="F42" i="3"/>
  <c r="F37" i="3"/>
  <c r="F34" i="3"/>
  <c r="F25" i="3"/>
  <c r="F23" i="3"/>
  <c r="F15" i="3"/>
  <c r="F11" i="3"/>
  <c r="C71" i="3"/>
  <c r="C70" i="3"/>
  <c r="C69" i="3"/>
  <c r="C68" i="3"/>
  <c r="C67" i="3"/>
  <c r="C66" i="3"/>
  <c r="C65" i="3"/>
  <c r="C64" i="3"/>
  <c r="C63" i="3"/>
  <c r="C58" i="3"/>
  <c r="C57" i="3"/>
  <c r="C56" i="3"/>
  <c r="C55" i="3"/>
  <c r="C54" i="3"/>
  <c r="C53" i="3"/>
  <c r="C52" i="3"/>
  <c r="C51" i="3"/>
  <c r="C50" i="3"/>
  <c r="C45" i="3"/>
  <c r="C44" i="3"/>
  <c r="C43" i="3"/>
  <c r="C42" i="3"/>
  <c r="C37" i="3"/>
  <c r="C36" i="3"/>
  <c r="C35" i="3"/>
  <c r="C34" i="3"/>
  <c r="C29" i="3"/>
  <c r="C28" i="3"/>
  <c r="C27" i="3"/>
  <c r="C26" i="3"/>
  <c r="C25" i="3"/>
  <c r="C24" i="3"/>
  <c r="C23" i="3"/>
  <c r="C22" i="3"/>
  <c r="C17" i="3"/>
  <c r="C16" i="3"/>
  <c r="C15" i="3"/>
  <c r="C14" i="3"/>
  <c r="C13" i="3"/>
  <c r="C12" i="3"/>
  <c r="C11" i="3"/>
  <c r="C10" i="3"/>
  <c r="F73" i="3" l="1"/>
  <c r="M5" i="3" s="1"/>
  <c r="M12" i="3" s="1"/>
  <c r="J8" i="3"/>
  <c r="J12" i="3"/>
  <c r="J15" i="3" s="1"/>
  <c r="E24" i="2"/>
  <c r="B22" i="2"/>
  <c r="D21" i="2"/>
  <c r="E21" i="2" s="1"/>
  <c r="D22" i="2"/>
  <c r="E22" i="2" s="1"/>
  <c r="D23" i="2"/>
  <c r="E23" i="2" s="1"/>
  <c r="D20" i="2"/>
  <c r="E20" i="2" s="1"/>
  <c r="C23" i="2"/>
  <c r="C21" i="2"/>
  <c r="C20" i="2"/>
  <c r="B20" i="2"/>
  <c r="B23" i="2"/>
  <c r="B21" i="2"/>
  <c r="C21" i="1"/>
  <c r="F32" i="2" l="1"/>
  <c r="F33" i="2"/>
  <c r="F34" i="2"/>
  <c r="F35" i="2"/>
  <c r="F36" i="2"/>
  <c r="F37" i="2"/>
  <c r="F31" i="2"/>
  <c r="D33" i="2"/>
  <c r="D32" i="2"/>
  <c r="D34" i="2"/>
  <c r="D35" i="2"/>
  <c r="D37" i="2"/>
  <c r="D31" i="2"/>
  <c r="B38" i="2"/>
  <c r="B28" i="2"/>
  <c r="C37" i="2" s="1"/>
  <c r="Q9" i="2"/>
  <c r="L12" i="2"/>
  <c r="K11" i="2"/>
  <c r="L11" i="2" s="1"/>
  <c r="L8" i="2"/>
  <c r="K7" i="2"/>
  <c r="L7" i="2" s="1"/>
  <c r="E12" i="2"/>
  <c r="F12" i="2" s="1"/>
  <c r="F11" i="2"/>
  <c r="F8" i="2"/>
  <c r="F7" i="2"/>
  <c r="F6" i="2"/>
  <c r="D22" i="1"/>
  <c r="D23" i="1"/>
  <c r="D24" i="1"/>
  <c r="D25" i="1"/>
  <c r="D26" i="1"/>
  <c r="D27" i="1"/>
  <c r="D21" i="1"/>
  <c r="B18" i="1"/>
  <c r="C27" i="1" s="1"/>
  <c r="B28" i="1"/>
  <c r="L9" i="1"/>
  <c r="L6" i="1"/>
  <c r="P11" i="2" l="1"/>
  <c r="L13" i="2"/>
  <c r="E27" i="1"/>
  <c r="L10" i="1"/>
  <c r="C26" i="1"/>
  <c r="E26" i="1" s="1"/>
  <c r="C24" i="1"/>
  <c r="F38" i="2"/>
  <c r="C25" i="1"/>
  <c r="E25" i="1" s="1"/>
  <c r="C23" i="1"/>
  <c r="E23" i="1" s="1"/>
  <c r="C22" i="1"/>
  <c r="E22" i="1" s="1"/>
  <c r="C35" i="2"/>
  <c r="E35" i="2" s="1"/>
  <c r="C31" i="2"/>
  <c r="E31" i="2" s="1"/>
  <c r="C34" i="2"/>
  <c r="E34" i="2" s="1"/>
  <c r="C36" i="2"/>
  <c r="C33" i="2"/>
  <c r="E33" i="2" s="1"/>
  <c r="C32" i="2"/>
  <c r="E32" i="2" s="1"/>
  <c r="D36" i="2"/>
  <c r="E37" i="2"/>
  <c r="G37" i="2" s="1"/>
  <c r="P8" i="2"/>
  <c r="Q8" i="2" s="1"/>
  <c r="P9" i="2"/>
  <c r="F13" i="2"/>
  <c r="P7" i="2" s="1"/>
  <c r="Q7" i="2" s="1"/>
  <c r="D28" i="1"/>
  <c r="E21" i="1"/>
  <c r="E12" i="1"/>
  <c r="F12" i="1" s="1"/>
  <c r="E11" i="1"/>
  <c r="F11" i="1" s="1"/>
  <c r="F8" i="1"/>
  <c r="F7" i="1"/>
  <c r="F6" i="1"/>
  <c r="C28" i="1" l="1"/>
  <c r="E24" i="1"/>
  <c r="E28" i="1" s="1"/>
  <c r="G34" i="2"/>
  <c r="G31" i="2"/>
  <c r="G35" i="2"/>
  <c r="E36" i="2"/>
  <c r="G36" i="2" s="1"/>
  <c r="G32" i="2"/>
  <c r="G33" i="2"/>
  <c r="C38" i="2"/>
  <c r="D38" i="2"/>
  <c r="E38" i="2"/>
  <c r="F13" i="1"/>
  <c r="G38" i="2" l="1"/>
</calcChain>
</file>

<file path=xl/sharedStrings.xml><?xml version="1.0" encoding="utf-8"?>
<sst xmlns="http://schemas.openxmlformats.org/spreadsheetml/2006/main" count="324" uniqueCount="209">
  <si>
    <t>WATER DEMAND BASELINE</t>
  </si>
  <si>
    <t>WATER CONSUMPTION CALCULATIONS:</t>
  </si>
  <si>
    <t>TOILET DEMAND</t>
  </si>
  <si>
    <t>ACTIVITY</t>
  </si>
  <si>
    <t>Rate</t>
  </si>
  <si>
    <t>Frequency</t>
  </si>
  <si>
    <t>Time</t>
  </si>
  <si>
    <t>Person</t>
  </si>
  <si>
    <t>Litres/day</t>
  </si>
  <si>
    <t>MALE USE</t>
  </si>
  <si>
    <t>person</t>
  </si>
  <si>
    <t>Baseline Demand</t>
  </si>
  <si>
    <t xml:space="preserve">Toilet Hand washing </t>
  </si>
  <si>
    <t>4L/min</t>
  </si>
  <si>
    <t xml:space="preserve">Toilet flush </t>
  </si>
  <si>
    <t>9 Litres</t>
  </si>
  <si>
    <t>Total Water Demand</t>
  </si>
  <si>
    <t xml:space="preserve">Café Kitchen sink </t>
  </si>
  <si>
    <t>6L/min</t>
  </si>
  <si>
    <t>Urinals</t>
  </si>
  <si>
    <t>197m3/year</t>
  </si>
  <si>
    <t>All Greywater Use</t>
  </si>
  <si>
    <t>Kitchen Dishwasher</t>
  </si>
  <si>
    <t>10L/cycle</t>
  </si>
  <si>
    <t>FEMALE USE</t>
  </si>
  <si>
    <t>Toilet Water Use</t>
  </si>
  <si>
    <t>Wet Lab water use</t>
  </si>
  <si>
    <t>200L/day</t>
  </si>
  <si>
    <t>Cleaner use</t>
  </si>
  <si>
    <t>100L/day</t>
  </si>
  <si>
    <t>TOTAL</t>
  </si>
  <si>
    <t>Showers</t>
  </si>
  <si>
    <t>10L/min</t>
  </si>
  <si>
    <t>Drink water Station</t>
  </si>
  <si>
    <t>2L/day/prs</t>
  </si>
  <si>
    <t>User Types</t>
  </si>
  <si>
    <t>COST CALCULATIONS:</t>
  </si>
  <si>
    <t>Researchers</t>
  </si>
  <si>
    <t xml:space="preserve">Office/Working staff </t>
  </si>
  <si>
    <t>Business Water Rate Northumbria water (Wholesale charges 25/26):</t>
  </si>
  <si>
    <t xml:space="preserve">Lab staff </t>
  </si>
  <si>
    <t>Receptionists</t>
  </si>
  <si>
    <t>Water Supply (per m3)</t>
  </si>
  <si>
    <t>Cleaners</t>
  </si>
  <si>
    <t>Caretakers</t>
  </si>
  <si>
    <t>Sewage Costs (per m3)</t>
  </si>
  <si>
    <t>Business Water Rates, Prices and Tariffs 2025</t>
  </si>
  <si>
    <t>Students</t>
  </si>
  <si>
    <t>Other Staff</t>
  </si>
  <si>
    <t>Utility</t>
  </si>
  <si>
    <t>Daily Use</t>
  </si>
  <si>
    <t>Yearly Water</t>
  </si>
  <si>
    <t>Yearly Sewage</t>
  </si>
  <si>
    <t>Total cost/year</t>
  </si>
  <si>
    <t>Visitor</t>
  </si>
  <si>
    <t>Toilet flush</t>
  </si>
  <si>
    <t>Toilet hand basins</t>
  </si>
  <si>
    <t>Wet Lab water Use</t>
  </si>
  <si>
    <t xml:space="preserve">Drinking water </t>
  </si>
  <si>
    <t xml:space="preserve">Café </t>
  </si>
  <si>
    <t>TOTAL:</t>
  </si>
  <si>
    <t>Hot Water Demand:</t>
  </si>
  <si>
    <t>New Water Demand and Analysis</t>
  </si>
  <si>
    <t>2L/min</t>
  </si>
  <si>
    <t>New Demand</t>
  </si>
  <si>
    <t>REDUCTIONS</t>
  </si>
  <si>
    <t>Toilet flush (Lrg)</t>
  </si>
  <si>
    <t>6 Litres</t>
  </si>
  <si>
    <t xml:space="preserve">Total Water Demand </t>
  </si>
  <si>
    <t>2L/cycle</t>
  </si>
  <si>
    <t>Toilet flush (Sml)</t>
  </si>
  <si>
    <t>3 Litres</t>
  </si>
  <si>
    <t>0 Litres</t>
  </si>
  <si>
    <t xml:space="preserve">Toilet Water Use </t>
  </si>
  <si>
    <t>8 L/min</t>
  </si>
  <si>
    <t>Reusable Greywater (Showers and Sinks)</t>
  </si>
  <si>
    <r>
      <rPr>
        <u/>
        <sz val="11"/>
        <color theme="1"/>
        <rFont val="Aptos Narrow"/>
        <family val="2"/>
        <scheme val="minor"/>
      </rPr>
      <t>Simple ROI calculation of</t>
    </r>
    <r>
      <rPr>
        <sz val="11"/>
        <color theme="1"/>
        <rFont val="Aptos Narrow"/>
        <family val="2"/>
        <scheme val="minor"/>
      </rPr>
      <t xml:space="preserve"> Capital Cost/Savings</t>
    </r>
  </si>
  <si>
    <t>Prices From:</t>
  </si>
  <si>
    <t>Commercial Washrooms, Toilet refurbishments and Supplies</t>
  </si>
  <si>
    <t>Capital Cost</t>
  </si>
  <si>
    <t>Water savings per day (m3)</t>
  </si>
  <si>
    <t>Savings Per Year(£)</t>
  </si>
  <si>
    <t>ROI (Years)</t>
  </si>
  <si>
    <t>Dual Toilets</t>
  </si>
  <si>
    <t>11 months</t>
  </si>
  <si>
    <t>21 years</t>
  </si>
  <si>
    <t>Bathroom Taps</t>
  </si>
  <si>
    <t>up to 3 years</t>
  </si>
  <si>
    <t>AQUALOOP</t>
  </si>
  <si>
    <t>up to 8 years</t>
  </si>
  <si>
    <t>(assuming that maintence is twice a year at £500</t>
  </si>
  <si>
    <t>Water</t>
  </si>
  <si>
    <t>Sewage</t>
  </si>
  <si>
    <t>Reductions</t>
  </si>
  <si>
    <t>Savings per Year</t>
  </si>
  <si>
    <t>Efficiency of Devices</t>
  </si>
  <si>
    <t>Fittings</t>
  </si>
  <si>
    <t xml:space="preserve">Coventional </t>
  </si>
  <si>
    <t xml:space="preserve">Chosen Alternative </t>
  </si>
  <si>
    <t>Device  Reductions %</t>
  </si>
  <si>
    <t>Toilets</t>
  </si>
  <si>
    <t>6-9L/flush</t>
  </si>
  <si>
    <t>6 or 3L/flush</t>
  </si>
  <si>
    <t>up to 50%</t>
  </si>
  <si>
    <t>8L/min</t>
  </si>
  <si>
    <t>Dishwashers</t>
  </si>
  <si>
    <t>L/day</t>
  </si>
  <si>
    <t>0L/min</t>
  </si>
  <si>
    <t>Area</t>
  </si>
  <si>
    <t>Volume</t>
  </si>
  <si>
    <t>Maximum Occupancy</t>
  </si>
  <si>
    <t>Computers</t>
  </si>
  <si>
    <t>Cookers/Ovens/Stoves</t>
  </si>
  <si>
    <t>24hrs and 365 days basis</t>
  </si>
  <si>
    <t xml:space="preserve">Total Lighting </t>
  </si>
  <si>
    <t>Total cookers/Ovens/Stoves</t>
  </si>
  <si>
    <t xml:space="preserve">Total Water Heating </t>
  </si>
  <si>
    <t>Total Computers</t>
  </si>
  <si>
    <t>Total Heating</t>
  </si>
  <si>
    <t xml:space="preserve">Total ventilation </t>
  </si>
  <si>
    <t>Total Showers</t>
  </si>
  <si>
    <t>Total Cooling</t>
  </si>
  <si>
    <t xml:space="preserve">Lifts </t>
  </si>
  <si>
    <t xml:space="preserve">Total </t>
  </si>
  <si>
    <t>Ground Floor</t>
  </si>
  <si>
    <t>Café</t>
  </si>
  <si>
    <t xml:space="preserve">       </t>
  </si>
  <si>
    <t xml:space="preserve">12hrs and 365 days basis </t>
  </si>
  <si>
    <t>Library </t>
  </si>
  <si>
    <t>70 </t>
  </si>
  <si>
    <t>Events </t>
  </si>
  <si>
    <t>200 </t>
  </si>
  <si>
    <t>Kitchen </t>
  </si>
  <si>
    <t>4 (Staff) </t>
  </si>
  <si>
    <t>Servery </t>
  </si>
  <si>
    <t>2 (Staff) </t>
  </si>
  <si>
    <t>Reception Desk </t>
  </si>
  <si>
    <t>Student Project/Art Display </t>
  </si>
  <si>
    <t>Studio </t>
  </si>
  <si>
    <t>10 </t>
  </si>
  <si>
    <t xml:space="preserve">First Floor </t>
  </si>
  <si>
    <t>Café </t>
  </si>
  <si>
    <t>35 </t>
  </si>
  <si>
    <t>Study Spaces </t>
  </si>
  <si>
    <t>150 </t>
  </si>
  <si>
    <t>Seminar Rooms </t>
  </si>
  <si>
    <t>60 </t>
  </si>
  <si>
    <t>Computer Cluster </t>
  </si>
  <si>
    <t>65 </t>
  </si>
  <si>
    <t>Lecture Theatre </t>
  </si>
  <si>
    <t>100 </t>
  </si>
  <si>
    <t>Study Rooms </t>
  </si>
  <si>
    <t>32 </t>
  </si>
  <si>
    <t>Student Common Area </t>
  </si>
  <si>
    <t>43 </t>
  </si>
  <si>
    <t>Staff Room </t>
  </si>
  <si>
    <t>18 </t>
  </si>
  <si>
    <t xml:space="preserve">Second Floor </t>
  </si>
  <si>
    <t>Office Space </t>
  </si>
  <si>
    <t>160 </t>
  </si>
  <si>
    <t>Assumptions:</t>
  </si>
  <si>
    <t>Kitchen/Diner </t>
  </si>
  <si>
    <t>40 </t>
  </si>
  <si>
    <t>1. 40% of max capacity of the library will be computers.</t>
  </si>
  <si>
    <t>Meeting Rooms </t>
  </si>
  <si>
    <t>50 </t>
  </si>
  <si>
    <t>2. 50% of max capacity of the study spaces will be computers.</t>
  </si>
  <si>
    <t>8 </t>
  </si>
  <si>
    <t>3. 25% of max capacity of the R&amp;D dry lab will be computers.</t>
  </si>
  <si>
    <t>4. The kitchen/diner will have 2 microwave and 1 fridge.</t>
  </si>
  <si>
    <t>5. The café is opened from 8am-4pm-- 8hrs.</t>
  </si>
  <si>
    <t xml:space="preserve">Third Floor </t>
  </si>
  <si>
    <t>6. Heating will be on from mid sept to mid may.</t>
  </si>
  <si>
    <t>7. Cooling will be on from mid may to mid sept.</t>
  </si>
  <si>
    <t>The numbers are based of these:</t>
  </si>
  <si>
    <t>Kitchen Appliances:</t>
  </si>
  <si>
    <t xml:space="preserve">Fourth Floor </t>
  </si>
  <si>
    <t>R&amp;D Wet Lab </t>
  </si>
  <si>
    <t>Private Offices </t>
  </si>
  <si>
    <t>14 </t>
  </si>
  <si>
    <t>Meeting Pods </t>
  </si>
  <si>
    <t>45 </t>
  </si>
  <si>
    <t>Showcase/Demo Room </t>
  </si>
  <si>
    <t>33 </t>
  </si>
  <si>
    <t>Ccomputers:</t>
  </si>
  <si>
    <t>Chemical Store/Prep </t>
  </si>
  <si>
    <t>6 </t>
  </si>
  <si>
    <t>Data Analysis Cluster </t>
  </si>
  <si>
    <t>42 </t>
  </si>
  <si>
    <t>Project Store </t>
  </si>
  <si>
    <t>Seminar Room </t>
  </si>
  <si>
    <t xml:space="preserve">Fifth Floor </t>
  </si>
  <si>
    <t>R&amp;D Dry Lab </t>
  </si>
  <si>
    <t>Equipment Store </t>
  </si>
  <si>
    <t>Server Room </t>
  </si>
  <si>
    <t>Totals</t>
  </si>
  <si>
    <t>The formula below was used to find the baseline and intervention carbon emissions with an Uk's carbon intensity of 238 gCO2/kWh:</t>
  </si>
  <si>
    <t>Baseline Carbon Emissions:</t>
  </si>
  <si>
    <t xml:space="preserve">Lighting </t>
  </si>
  <si>
    <t>Cooking Equipment</t>
  </si>
  <si>
    <t xml:space="preserve">Water Heating </t>
  </si>
  <si>
    <t>Heating</t>
  </si>
  <si>
    <t xml:space="preserve">Ventilation </t>
  </si>
  <si>
    <t>Cooling</t>
  </si>
  <si>
    <t>total</t>
  </si>
  <si>
    <t>Intervention Carbon Emissions:</t>
  </si>
  <si>
    <t>Reduction:</t>
  </si>
  <si>
    <t>Area for solar panels and sizing:</t>
  </si>
  <si>
    <t>Power Generation from the Solar Panels: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</si>
</sst>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&quot;£&quot;* #,##0.0000_-;\-&quot;£&quot;* #,##0.0000_-;_-&quot;£&quot;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1"/>
      <name val="Aptos"/>
    </font>
    <font>
      <b/>
      <sz val="11"/>
      <name val="Aptos"/>
    </font>
    <font>
      <b/>
      <sz val="11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0" fillId="2" borderId="0" xfId="0" applyFill="1"/>
    <xf numFmtId="0" fontId="2" fillId="2" borderId="0" xfId="0" applyFont="1" applyFill="1"/>
    <xf numFmtId="0" fontId="3" fillId="3" borderId="3" xfId="0" applyFont="1" applyFill="1" applyBorder="1"/>
    <xf numFmtId="0" fontId="0" fillId="4" borderId="3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4" borderId="5" xfId="0" applyFill="1" applyBorder="1"/>
    <xf numFmtId="0" fontId="0" fillId="0" borderId="6" xfId="0" applyBorder="1"/>
    <xf numFmtId="0" fontId="0" fillId="0" borderId="7" xfId="0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3" xfId="0" applyFont="1" applyBorder="1"/>
    <xf numFmtId="0" fontId="0" fillId="0" borderId="3" xfId="0" applyBorder="1" applyAlignment="1">
      <alignment horizontal="left"/>
    </xf>
    <xf numFmtId="0" fontId="0" fillId="0" borderId="9" xfId="0" applyBorder="1"/>
    <xf numFmtId="0" fontId="3" fillId="6" borderId="3" xfId="0" applyFont="1" applyFill="1" applyBorder="1"/>
    <xf numFmtId="0" fontId="3" fillId="5" borderId="8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8" borderId="3" xfId="1" applyNumberFormat="1" applyFont="1" applyFill="1" applyBorder="1"/>
    <xf numFmtId="0" fontId="1" fillId="8" borderId="3" xfId="0" applyFont="1" applyFill="1" applyBorder="1"/>
    <xf numFmtId="0" fontId="2" fillId="7" borderId="3" xfId="0" applyFont="1" applyFill="1" applyBorder="1"/>
    <xf numFmtId="0" fontId="2" fillId="9" borderId="3" xfId="0" applyFont="1" applyFill="1" applyBorder="1" applyAlignment="1">
      <alignment wrapText="1"/>
    </xf>
    <xf numFmtId="164" fontId="0" fillId="0" borderId="0" xfId="2" applyNumberFormat="1" applyFont="1"/>
    <xf numFmtId="0" fontId="4" fillId="0" borderId="0" xfId="0" applyFont="1"/>
    <xf numFmtId="0" fontId="0" fillId="0" borderId="3" xfId="0" applyBorder="1" applyAlignment="1">
      <alignment wrapText="1"/>
    </xf>
    <xf numFmtId="44" fontId="0" fillId="0" borderId="3" xfId="0" applyNumberFormat="1" applyBorder="1"/>
    <xf numFmtId="44" fontId="0" fillId="0" borderId="3" xfId="2" applyFont="1" applyBorder="1"/>
    <xf numFmtId="0" fontId="2" fillId="10" borderId="3" xfId="0" applyFont="1" applyFill="1" applyBorder="1" applyAlignment="1">
      <alignment wrapText="1"/>
    </xf>
    <xf numFmtId="0" fontId="0" fillId="11" borderId="3" xfId="0" applyFill="1" applyBorder="1"/>
    <xf numFmtId="0" fontId="2" fillId="9" borderId="0" xfId="0" applyFont="1" applyFill="1" applyAlignment="1">
      <alignment wrapText="1"/>
    </xf>
    <xf numFmtId="0" fontId="2" fillId="0" borderId="0" xfId="0" applyFont="1"/>
    <xf numFmtId="9" fontId="0" fillId="0" borderId="3" xfId="3" applyFont="1" applyBorder="1"/>
    <xf numFmtId="0" fontId="2" fillId="7" borderId="2" xfId="0" applyFont="1" applyFill="1" applyBorder="1" applyAlignment="1">
      <alignment horizontal="center"/>
    </xf>
    <xf numFmtId="44" fontId="3" fillId="5" borderId="3" xfId="2" applyFont="1" applyFill="1" applyBorder="1"/>
    <xf numFmtId="9" fontId="3" fillId="5" borderId="3" xfId="3" applyFont="1" applyFill="1" applyBorder="1"/>
    <xf numFmtId="9" fontId="0" fillId="0" borderId="3" xfId="0" applyNumberFormat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2" fontId="0" fillId="0" borderId="3" xfId="0" applyNumberFormat="1" applyBorder="1"/>
    <xf numFmtId="0" fontId="3" fillId="6" borderId="10" xfId="0" applyFont="1" applyFill="1" applyBorder="1"/>
    <xf numFmtId="0" fontId="3" fillId="0" borderId="2" xfId="0" applyFont="1" applyBorder="1"/>
    <xf numFmtId="0" fontId="6" fillId="0" borderId="0" xfId="0" applyFont="1"/>
    <xf numFmtId="0" fontId="5" fillId="0" borderId="0" xfId="4"/>
    <xf numFmtId="0" fontId="2" fillId="12" borderId="3" xfId="0" applyFont="1" applyFill="1" applyBorder="1"/>
    <xf numFmtId="0" fontId="7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8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11" xfId="0" applyBorder="1"/>
    <xf numFmtId="0" fontId="0" fillId="13" borderId="11" xfId="0" applyFill="1" applyBorder="1"/>
    <xf numFmtId="0" fontId="11" fillId="0" borderId="0" xfId="0" applyFont="1"/>
    <xf numFmtId="0" fontId="6" fillId="0" borderId="0" xfId="0" applyFont="1" applyAlignment="1">
      <alignment horizontal="left" vertical="center" indent="1"/>
    </xf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 cent" xfId="3" builtinId="5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Baseline</a:t>
            </a:r>
            <a:r>
              <a:rPr lang="en-GB" baseline="0"/>
              <a:t> energy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'[1]Energy Consumption Per Room'!$P$18:$V$18</c:f>
              <c:strCache>
                <c:ptCount val="7"/>
                <c:pt idx="0">
                  <c:v>Lighting </c:v>
                </c:pt>
                <c:pt idx="1">
                  <c:v>Cooking Equipment</c:v>
                </c:pt>
                <c:pt idx="2">
                  <c:v>Water Heating </c:v>
                </c:pt>
                <c:pt idx="3">
                  <c:v>Computers</c:v>
                </c:pt>
                <c:pt idx="4">
                  <c:v>Heating</c:v>
                </c:pt>
                <c:pt idx="5">
                  <c:v>Ventilation </c:v>
                </c:pt>
                <c:pt idx="6">
                  <c:v>Cooling</c:v>
                </c:pt>
              </c:strCache>
            </c:strRef>
          </c:cat>
          <c:val>
            <c:numRef>
              <c:f>'[1]Energy Consumption Per Room'!$P$19:$V$19</c:f>
              <c:numCache>
                <c:formatCode>General</c:formatCode>
                <c:ptCount val="7"/>
                <c:pt idx="0">
                  <c:v>406875.98893469531</c:v>
                </c:pt>
                <c:pt idx="1">
                  <c:v>31966</c:v>
                </c:pt>
                <c:pt idx="2">
                  <c:v>29062.570638192523</c:v>
                </c:pt>
                <c:pt idx="3">
                  <c:v>309444.2</c:v>
                </c:pt>
                <c:pt idx="4">
                  <c:v>77500.188368513394</c:v>
                </c:pt>
                <c:pt idx="5">
                  <c:v>116250.28255277009</c:v>
                </c:pt>
                <c:pt idx="6">
                  <c:v>58125.141276385039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E-2043-BCFC-C68CDFE13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1176272"/>
        <c:axId val="1552050848"/>
      </c:barChart>
      <c:catAx>
        <c:axId val="188117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050848"/>
        <c:crosses val="autoZero"/>
        <c:auto val="1"/>
        <c:lblAlgn val="ctr"/>
        <c:lblOffset val="100"/>
        <c:noMultiLvlLbl val="0"/>
      </c:catAx>
      <c:valAx>
        <c:axId val="155205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17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Percentage</a:t>
            </a:r>
            <a:r>
              <a:rPr lang="en-GB" baseline="0"/>
              <a:t> Distribution of Baseline Energy Consumption 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9E-314B-B787-566162B68F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9E-314B-B787-566162B68F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19E-314B-B787-566162B68F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19E-314B-B787-566162B68F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19E-314B-B787-566162B68F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19E-314B-B787-566162B68F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19E-314B-B787-566162B68F6D}"/>
              </c:ext>
            </c:extLst>
          </c:dPt>
          <c:dLbls>
            <c:dLbl>
              <c:idx val="1"/>
              <c:layout>
                <c:manualLayout>
                  <c:x val="-4.4092960492053294E-2"/>
                  <c:y val="-0.1655703659727857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9E-314B-B787-566162B68F6D}"/>
                </c:ext>
              </c:extLst>
            </c:dLbl>
            <c:dLbl>
              <c:idx val="2"/>
              <c:layout>
                <c:manualLayout>
                  <c:x val="-7.9145107343674276E-2"/>
                  <c:y val="-0.1710093154638463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9E-314B-B787-566162B68F6D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'[1]Energy Consumption Per Room'!$P$18:$V$18</c:f>
              <c:strCache>
                <c:ptCount val="7"/>
                <c:pt idx="0">
                  <c:v>Lighting </c:v>
                </c:pt>
                <c:pt idx="1">
                  <c:v>Cooking Equipment</c:v>
                </c:pt>
                <c:pt idx="2">
                  <c:v>Water Heating </c:v>
                </c:pt>
                <c:pt idx="3">
                  <c:v>Computers</c:v>
                </c:pt>
                <c:pt idx="4">
                  <c:v>Heating</c:v>
                </c:pt>
                <c:pt idx="5">
                  <c:v>Ventilation </c:v>
                </c:pt>
                <c:pt idx="6">
                  <c:v>Cooling</c:v>
                </c:pt>
              </c:strCache>
            </c:strRef>
          </c:cat>
          <c:val>
            <c:numRef>
              <c:f>'[1]Energy Consumption Per Room'!$P$19:$V$19</c:f>
              <c:numCache>
                <c:formatCode>General</c:formatCode>
                <c:ptCount val="7"/>
                <c:pt idx="0">
                  <c:v>406875.98893469531</c:v>
                </c:pt>
                <c:pt idx="1">
                  <c:v>31966</c:v>
                </c:pt>
                <c:pt idx="2">
                  <c:v>29062.570638192523</c:v>
                </c:pt>
                <c:pt idx="3">
                  <c:v>309444.2</c:v>
                </c:pt>
                <c:pt idx="4">
                  <c:v>77500.188368513394</c:v>
                </c:pt>
                <c:pt idx="5">
                  <c:v>116250.28255277009</c:v>
                </c:pt>
                <c:pt idx="6">
                  <c:v>58125.141276385039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19E-314B-B787-566162B68F6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63500</xdr:rowOff>
    </xdr:from>
    <xdr:to>
      <xdr:col>6</xdr:col>
      <xdr:colOff>317500</xdr:colOff>
      <xdr:row>46</xdr:row>
      <xdr:rowOff>155720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7B269F-9336-E2E3-B955-E3CDB7D23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64300"/>
          <a:ext cx="7772400" cy="29497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13</xdr:col>
      <xdr:colOff>590550</xdr:colOff>
      <xdr:row>35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746748-725A-60F7-B4B6-EB81F7379DF3}"/>
            </a:ext>
            <a:ext uri="{147F2762-F138-4A5C-976F-8EAC2B608ADB}">
              <a16:predDERef xmlns:a16="http://schemas.microsoft.com/office/drawing/2014/main" pred="{4C7B269F-9336-E2E3-B955-E3CDB7D23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48675" y="4848225"/>
          <a:ext cx="4572000" cy="2419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16</xdr:row>
      <xdr:rowOff>0</xdr:rowOff>
    </xdr:from>
    <xdr:to>
      <xdr:col>14</xdr:col>
      <xdr:colOff>635000</xdr:colOff>
      <xdr:row>30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B5D496-E79F-FD4C-A458-46BC9B780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16</xdr:row>
      <xdr:rowOff>0</xdr:rowOff>
    </xdr:from>
    <xdr:to>
      <xdr:col>20</xdr:col>
      <xdr:colOff>444500</xdr:colOff>
      <xdr:row>30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8E9845-BFF0-2840-8858-B1FE8CE8A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44</xdr:row>
      <xdr:rowOff>0</xdr:rowOff>
    </xdr:from>
    <xdr:to>
      <xdr:col>16</xdr:col>
      <xdr:colOff>174628</xdr:colOff>
      <xdr:row>50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883C58-143F-50D9-2639-94A02D206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32700" y="8001000"/>
          <a:ext cx="5953128" cy="12573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16</xdr:col>
      <xdr:colOff>482600</xdr:colOff>
      <xdr:row>56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5DA4C5C-588B-1365-FF22-01AD95B21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32700" y="9715500"/>
          <a:ext cx="6261100" cy="7239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58</xdr:row>
      <xdr:rowOff>0</xdr:rowOff>
    </xdr:from>
    <xdr:to>
      <xdr:col>16</xdr:col>
      <xdr:colOff>317500</xdr:colOff>
      <xdr:row>74</xdr:row>
      <xdr:rowOff>39687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D7E5E13-02EB-E271-9C78-9255E78FE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32700" y="10668000"/>
          <a:ext cx="6096000" cy="3087687"/>
        </a:xfrm>
        <a:prstGeom prst="rect">
          <a:avLst/>
        </a:prstGeom>
      </xdr:spPr>
    </xdr:pic>
    <xdr:clientData/>
  </xdr:twoCellAnchor>
  <xdr:twoCellAnchor editAs="oneCell">
    <xdr:from>
      <xdr:col>16</xdr:col>
      <xdr:colOff>419100</xdr:colOff>
      <xdr:row>61</xdr:row>
      <xdr:rowOff>0</xdr:rowOff>
    </xdr:from>
    <xdr:to>
      <xdr:col>24</xdr:col>
      <xdr:colOff>3175</xdr:colOff>
      <xdr:row>65</xdr:row>
      <xdr:rowOff>12700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A156D76-15D4-5A48-6C1A-6AD880869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30300" y="11620500"/>
          <a:ext cx="6172200" cy="774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621419</xdr:colOff>
      <xdr:row>32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B86926-58F7-0159-136D-5DD341B46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27419" cy="624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12</xdr:col>
      <xdr:colOff>647700</xdr:colOff>
      <xdr:row>72</xdr:row>
      <xdr:rowOff>128110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C4A679-F0DF-BC71-0DC8-3369196F1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86500"/>
          <a:ext cx="10553700" cy="75576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139700</xdr:rowOff>
    </xdr:from>
    <xdr:to>
      <xdr:col>12</xdr:col>
      <xdr:colOff>609600</xdr:colOff>
      <xdr:row>82</xdr:row>
      <xdr:rowOff>189523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3B50F9-21E6-CAC1-3088-F82CE688B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855700"/>
          <a:ext cx="10515600" cy="19548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2</xdr:row>
      <xdr:rowOff>114300</xdr:rowOff>
    </xdr:from>
    <xdr:to>
      <xdr:col>9</xdr:col>
      <xdr:colOff>139700</xdr:colOff>
      <xdr:row>5</xdr:row>
      <xdr:rowOff>175536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B653E7-DDEE-7472-C208-24EF806C3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495300"/>
          <a:ext cx="7772400" cy="632736"/>
        </a:xfrm>
        <a:prstGeom prst="rect">
          <a:avLst/>
        </a:prstGeom>
      </xdr:spPr>
    </xdr:pic>
    <xdr:clientData/>
  </xdr:twoCellAnchor>
  <xdr:twoCellAnchor editAs="oneCell">
    <xdr:from>
      <xdr:col>9</xdr:col>
      <xdr:colOff>558800</xdr:colOff>
      <xdr:row>2</xdr:row>
      <xdr:rowOff>114300</xdr:rowOff>
    </xdr:from>
    <xdr:to>
      <xdr:col>16</xdr:col>
      <xdr:colOff>596900</xdr:colOff>
      <xdr:row>6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80100F-4313-517B-F400-88AC6A97E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88300" y="495300"/>
          <a:ext cx="5816600" cy="660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30</xdr:row>
      <xdr:rowOff>1080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FD47D2-7195-9E66-B349-40D90336D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5716080"/>
        </a:xfrm>
        <a:prstGeom prst="rect">
          <a:avLst/>
        </a:prstGeom>
      </xdr:spPr>
    </xdr:pic>
    <xdr:clientData/>
  </xdr:twoCellAnchor>
  <xdr:twoCellAnchor editAs="oneCell">
    <xdr:from>
      <xdr:col>9</xdr:col>
      <xdr:colOff>749300</xdr:colOff>
      <xdr:row>0</xdr:row>
      <xdr:rowOff>38100</xdr:rowOff>
    </xdr:from>
    <xdr:to>
      <xdr:col>19</xdr:col>
      <xdr:colOff>635000</xdr:colOff>
      <xdr:row>34</xdr:row>
      <xdr:rowOff>4063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584A04-A75F-B657-9878-C848F244B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78800" y="38100"/>
          <a:ext cx="8140700" cy="64429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16</xdr:col>
      <xdr:colOff>56420</xdr:colOff>
      <xdr:row>84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B06FAB-E398-C12F-AA32-C37F3614A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39000"/>
          <a:ext cx="13264420" cy="87757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190499</xdr:rowOff>
    </xdr:from>
    <xdr:to>
      <xdr:col>23</xdr:col>
      <xdr:colOff>584200</xdr:colOff>
      <xdr:row>88</xdr:row>
      <xdr:rowOff>143416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C8FC724-6010-0AD7-CB3F-76426BCC7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33500" y="7048499"/>
          <a:ext cx="5537200" cy="9858917"/>
        </a:xfrm>
        <a:prstGeom prst="rect">
          <a:avLst/>
        </a:prstGeom>
      </xdr:spPr>
    </xdr:pic>
    <xdr:clientData/>
  </xdr:twoCellAnchor>
  <xdr:twoCellAnchor editAs="oneCell">
    <xdr:from>
      <xdr:col>7</xdr:col>
      <xdr:colOff>50800</xdr:colOff>
      <xdr:row>60</xdr:row>
      <xdr:rowOff>38100</xdr:rowOff>
    </xdr:from>
    <xdr:to>
      <xdr:col>11</xdr:col>
      <xdr:colOff>758825</xdr:colOff>
      <xdr:row>63</xdr:row>
      <xdr:rowOff>25948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6C95B8D-33D2-229E-2396-3BD32CC8A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29300" y="11468100"/>
          <a:ext cx="4038600" cy="559348"/>
        </a:xfrm>
        <a:prstGeom prst="rect">
          <a:avLst/>
        </a:prstGeom>
      </xdr:spPr>
    </xdr:pic>
    <xdr:clientData/>
  </xdr:twoCellAnchor>
  <xdr:twoCellAnchor editAs="oneCell">
    <xdr:from>
      <xdr:col>11</xdr:col>
      <xdr:colOff>76415</xdr:colOff>
      <xdr:row>62</xdr:row>
      <xdr:rowOff>101600</xdr:rowOff>
    </xdr:from>
    <xdr:to>
      <xdr:col>13</xdr:col>
      <xdr:colOff>53813</xdr:colOff>
      <xdr:row>67</xdr:row>
      <xdr:rowOff>142471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DC36BCA-16FF-9CCE-F684-6B6EFFEDA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92432" y="12112786"/>
          <a:ext cx="1634856" cy="10095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31750</xdr:rowOff>
    </xdr:from>
    <xdr:to>
      <xdr:col>7</xdr:col>
      <xdr:colOff>660400</xdr:colOff>
      <xdr:row>90</xdr:row>
      <xdr:rowOff>132948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7F1B3E6-3FF5-3974-57EF-A76D0DA11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6033750"/>
          <a:ext cx="6438900" cy="12441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127001</xdr:rowOff>
    </xdr:from>
    <xdr:to>
      <xdr:col>11</xdr:col>
      <xdr:colOff>622315</xdr:colOff>
      <xdr:row>95</xdr:row>
      <xdr:rowOff>112889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0AD9ADD-C705-B302-FE0D-10457A74F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7907001"/>
          <a:ext cx="9780426" cy="97366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16</xdr:col>
      <xdr:colOff>567828</xdr:colOff>
      <xdr:row>5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384500-EE8D-956A-2568-C3EC028E1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3775828" cy="863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16</xdr:col>
      <xdr:colOff>527296</xdr:colOff>
      <xdr:row>17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A6495B-3344-DDBB-46CC-91F44C02F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3000"/>
          <a:ext cx="13735296" cy="2260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9</xdr:col>
      <xdr:colOff>292100</xdr:colOff>
      <xdr:row>46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7F159C-C6F4-55F8-FE44-5B783554B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429000"/>
          <a:ext cx="7721600" cy="5372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9</xdr:col>
      <xdr:colOff>342900</xdr:colOff>
      <xdr:row>79</xdr:row>
      <xdr:rowOff>15155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109C14-FE6A-1A5D-BBE8-8E8294D93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763000"/>
          <a:ext cx="7772400" cy="63016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9</xdr:col>
      <xdr:colOff>342900</xdr:colOff>
      <xdr:row>112</xdr:row>
      <xdr:rowOff>147847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BCD5AD3-7E34-FC84-2EBD-18946489E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430500"/>
          <a:ext cx="7772400" cy="605334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wcastle.sharepoint.com/sites/Team2588/Shared%20Documents/Enviromental/data%20on%20excel/baseline%20data.xlsx" TargetMode="External"/><Relationship Id="rId1" Type="http://schemas.openxmlformats.org/officeDocument/2006/relationships/externalLinkPath" Target="https://newcastle.sharepoint.com/sites/Team2588/Shared%20Documents/Enviromental/data%20on%20excel/baseline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yNdiqWm8JUO-POan16zA7Oy6SmqMHohOgfuQ9FdkWWXNZGQLD2WMT56KhygvDZTJ" itemId="015MPFL35M7VEAL3JKPVGLJ3V6662AEQZQ">
      <xxl21:absoluteUrl r:id="rId2"/>
    </xxl21:alternateUrls>
    <sheetNames>
      <sheetName val="water baseline "/>
      <sheetName val="Ventilation, volume"/>
      <sheetName val="energy baseline"/>
      <sheetName val="emission baseline"/>
      <sheetName val="Energy Consumption Per Room"/>
      <sheetName val="Water Consumption Per Room"/>
    </sheetNames>
    <sheetDataSet>
      <sheetData sheetId="0"/>
      <sheetData sheetId="1"/>
      <sheetData sheetId="2"/>
      <sheetData sheetId="3"/>
      <sheetData sheetId="4">
        <row r="18">
          <cell r="P18" t="str">
            <v xml:space="preserve">Lighting </v>
          </cell>
          <cell r="Q18" t="str">
            <v>Cooking Equipment</v>
          </cell>
          <cell r="R18" t="str">
            <v xml:space="preserve">Water Heating </v>
          </cell>
          <cell r="S18" t="str">
            <v>Computers</v>
          </cell>
          <cell r="T18" t="str">
            <v>Heating</v>
          </cell>
          <cell r="U18" t="str">
            <v xml:space="preserve">Ventilation </v>
          </cell>
          <cell r="V18" t="str">
            <v>Cooling</v>
          </cell>
        </row>
        <row r="19">
          <cell r="P19">
            <v>406875.98893469531</v>
          </cell>
          <cell r="Q19">
            <v>31966</v>
          </cell>
          <cell r="R19">
            <v>29062.570638192523</v>
          </cell>
          <cell r="S19">
            <v>309444.2</v>
          </cell>
          <cell r="T19">
            <v>77500.188368513394</v>
          </cell>
          <cell r="U19">
            <v>116250.28255277009</v>
          </cell>
          <cell r="V19">
            <v>58125.141276385039</v>
          </cell>
        </row>
      </sheetData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701C26-0668-4CE1-A5D9-618B6FB5F4AE}" name="Table7" displayName="Table7" ref="I16:J20" headerRowCount="0" totalsRowShown="0" headerRowDxfId="6" headerRowBorderDxfId="5" tableBorderDxfId="4">
  <tableColumns count="2">
    <tableColumn id="1" xr3:uid="{18D4551B-0703-402D-9D2F-30451388E41B}" name="User Types" headerRowDxfId="3" dataDxfId="2"/>
    <tableColumn id="2" xr3:uid="{1898D785-E315-4F0F-9265-CD58A5534831}" name="Column1" headerRowDxfId="1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quaswitch.co.uk/business-water-rates/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mmercialwashroomsltd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6B4F-7BCF-47C8-9D10-87A4D73168AB}">
  <dimension ref="A1:O31"/>
  <sheetViews>
    <sheetView zoomScaleNormal="55" workbookViewId="0">
      <selection activeCell="N18" sqref="N18"/>
    </sheetView>
  </sheetViews>
  <sheetFormatPr defaultColWidth="8.88671875" defaultRowHeight="14.4" x14ac:dyDescent="0.3"/>
  <cols>
    <col min="1" max="1" width="31.33203125" customWidth="1"/>
    <col min="2" max="2" width="19.109375" bestFit="1" customWidth="1"/>
    <col min="3" max="3" width="11.88671875" bestFit="1" customWidth="1"/>
    <col min="4" max="5" width="11.44140625" bestFit="1" customWidth="1"/>
    <col min="6" max="6" width="12.44140625" bestFit="1" customWidth="1"/>
    <col min="8" max="8" width="20.33203125" bestFit="1" customWidth="1"/>
    <col min="9" max="9" width="14.33203125" bestFit="1" customWidth="1"/>
    <col min="10" max="10" width="14" customWidth="1"/>
    <col min="11" max="11" width="9.6640625" bestFit="1" customWidth="1"/>
    <col min="12" max="12" width="12.88671875" bestFit="1" customWidth="1"/>
    <col min="14" max="14" width="21.88671875" bestFit="1" customWidth="1"/>
    <col min="15" max="15" width="12.88671875" bestFit="1" customWidth="1"/>
  </cols>
  <sheetData>
    <row r="1" spans="1:15" x14ac:dyDescent="0.3">
      <c r="A1" s="4" t="s">
        <v>0</v>
      </c>
    </row>
    <row r="3" spans="1:15" x14ac:dyDescent="0.3">
      <c r="A3" s="27" t="s">
        <v>1</v>
      </c>
      <c r="H3" s="27" t="s">
        <v>2</v>
      </c>
    </row>
    <row r="4" spans="1:15" x14ac:dyDescent="0.3">
      <c r="H4" s="45"/>
    </row>
    <row r="5" spans="1:15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H5" s="44" t="s">
        <v>9</v>
      </c>
      <c r="I5" s="18" t="s">
        <v>4</v>
      </c>
      <c r="J5" s="18" t="s">
        <v>5</v>
      </c>
      <c r="K5" s="18" t="s">
        <v>10</v>
      </c>
      <c r="L5" s="18" t="s">
        <v>8</v>
      </c>
      <c r="N5" s="24" t="s">
        <v>11</v>
      </c>
      <c r="O5" s="24" t="s">
        <v>8</v>
      </c>
    </row>
    <row r="6" spans="1:15" x14ac:dyDescent="0.3">
      <c r="A6" s="6" t="s">
        <v>12</v>
      </c>
      <c r="B6" s="7" t="s">
        <v>13</v>
      </c>
      <c r="C6" s="7">
        <v>4</v>
      </c>
      <c r="D6" s="7">
        <v>0.5</v>
      </c>
      <c r="E6" s="7">
        <v>2000</v>
      </c>
      <c r="F6" s="13">
        <f>4*C6*D6*E6</f>
        <v>16000</v>
      </c>
      <c r="H6" s="7" t="s">
        <v>14</v>
      </c>
      <c r="I6" s="7" t="s">
        <v>15</v>
      </c>
      <c r="J6" s="7">
        <v>2</v>
      </c>
      <c r="K6" s="7">
        <v>1000</v>
      </c>
      <c r="L6" s="13">
        <f>9*J6*K6</f>
        <v>18000</v>
      </c>
      <c r="N6" s="25" t="s">
        <v>16</v>
      </c>
      <c r="O6" s="22">
        <v>81000</v>
      </c>
    </row>
    <row r="7" spans="1:15" x14ac:dyDescent="0.3">
      <c r="A7" s="6" t="s">
        <v>17</v>
      </c>
      <c r="B7" s="7" t="s">
        <v>18</v>
      </c>
      <c r="C7" s="7"/>
      <c r="D7" s="7">
        <v>150</v>
      </c>
      <c r="E7" s="7"/>
      <c r="F7" s="13">
        <f>D7*6</f>
        <v>900</v>
      </c>
      <c r="H7" s="7" t="s">
        <v>19</v>
      </c>
      <c r="I7" s="7" t="s">
        <v>20</v>
      </c>
      <c r="J7" s="7"/>
      <c r="K7" s="7"/>
      <c r="L7" s="13">
        <v>500</v>
      </c>
      <c r="N7" s="25" t="s">
        <v>21</v>
      </c>
      <c r="O7" s="23">
        <v>23700</v>
      </c>
    </row>
    <row r="8" spans="1:15" x14ac:dyDescent="0.3">
      <c r="A8" s="6" t="s">
        <v>22</v>
      </c>
      <c r="B8" s="7" t="s">
        <v>23</v>
      </c>
      <c r="C8" s="7">
        <v>150</v>
      </c>
      <c r="D8" s="7"/>
      <c r="E8" s="7"/>
      <c r="F8" s="13">
        <f>C8*10</f>
        <v>1500</v>
      </c>
      <c r="H8" s="18" t="s">
        <v>24</v>
      </c>
      <c r="I8" s="2"/>
      <c r="J8" s="2"/>
      <c r="K8" s="2"/>
      <c r="L8" s="20"/>
      <c r="N8" s="25" t="s">
        <v>25</v>
      </c>
      <c r="O8" s="23">
        <v>54500</v>
      </c>
    </row>
    <row r="9" spans="1:15" x14ac:dyDescent="0.3">
      <c r="A9" s="6" t="s">
        <v>26</v>
      </c>
      <c r="B9" s="7" t="s">
        <v>27</v>
      </c>
      <c r="C9" s="7"/>
      <c r="D9" s="7"/>
      <c r="E9" s="7"/>
      <c r="F9" s="13">
        <v>200</v>
      </c>
      <c r="H9" s="7" t="s">
        <v>14</v>
      </c>
      <c r="I9" s="8" t="s">
        <v>15</v>
      </c>
      <c r="J9" s="7">
        <v>4</v>
      </c>
      <c r="K9" s="7">
        <v>1000</v>
      </c>
      <c r="L9" s="13">
        <f>9*J9*K9</f>
        <v>36000</v>
      </c>
    </row>
    <row r="10" spans="1:15" x14ac:dyDescent="0.3">
      <c r="A10" s="6" t="s">
        <v>28</v>
      </c>
      <c r="B10" s="7" t="s">
        <v>29</v>
      </c>
      <c r="C10" s="7"/>
      <c r="D10" s="7"/>
      <c r="E10" s="7"/>
      <c r="F10" s="13">
        <v>100</v>
      </c>
      <c r="H10" s="16" t="s">
        <v>30</v>
      </c>
      <c r="I10" s="17"/>
      <c r="J10" s="17"/>
      <c r="K10" s="17"/>
      <c r="L10" s="21">
        <f>SUM(L6:L9)</f>
        <v>54500</v>
      </c>
    </row>
    <row r="11" spans="1:15" x14ac:dyDescent="0.3">
      <c r="A11" s="6" t="s">
        <v>31</v>
      </c>
      <c r="B11" s="7" t="s">
        <v>32</v>
      </c>
      <c r="C11" s="7">
        <v>1</v>
      </c>
      <c r="D11" s="7">
        <v>5</v>
      </c>
      <c r="E11" s="7">
        <f>100</f>
        <v>100</v>
      </c>
      <c r="F11" s="13">
        <f>10*C11*D11*E11</f>
        <v>5000</v>
      </c>
    </row>
    <row r="12" spans="1:15" ht="15" thickBot="1" x14ac:dyDescent="0.35">
      <c r="A12" s="10" t="s">
        <v>33</v>
      </c>
      <c r="B12" s="9" t="s">
        <v>34</v>
      </c>
      <c r="C12" s="9"/>
      <c r="D12" s="9"/>
      <c r="E12" s="9">
        <f>2000*0.7</f>
        <v>1400</v>
      </c>
      <c r="F12" s="14">
        <f>2*E12</f>
        <v>2800</v>
      </c>
    </row>
    <row r="13" spans="1:15" ht="15" thickBot="1" x14ac:dyDescent="0.35">
      <c r="A13" s="11" t="s">
        <v>30</v>
      </c>
      <c r="B13" s="12"/>
      <c r="C13" s="12"/>
      <c r="D13" s="12"/>
      <c r="E13" s="12"/>
      <c r="F13" s="19">
        <f>SUM(F6:F12)</f>
        <v>26500</v>
      </c>
    </row>
    <row r="15" spans="1:15" x14ac:dyDescent="0.3">
      <c r="A15" s="1"/>
      <c r="I15" s="36" t="s">
        <v>35</v>
      </c>
      <c r="J15" s="36"/>
    </row>
    <row r="16" spans="1:15" ht="28.8" x14ac:dyDescent="0.3">
      <c r="A16" s="27" t="s">
        <v>36</v>
      </c>
      <c r="I16" s="8" t="s">
        <v>37</v>
      </c>
      <c r="J16" s="28" t="s">
        <v>38</v>
      </c>
    </row>
    <row r="17" spans="1:10" x14ac:dyDescent="0.3">
      <c r="A17" s="46" t="s">
        <v>39</v>
      </c>
      <c r="I17" s="8" t="s">
        <v>40</v>
      </c>
      <c r="J17" s="7" t="s">
        <v>41</v>
      </c>
    </row>
    <row r="18" spans="1:10" x14ac:dyDescent="0.3">
      <c r="A18" t="s">
        <v>42</v>
      </c>
      <c r="B18" s="26">
        <f>1.6336</f>
        <v>1.6335999999999999</v>
      </c>
      <c r="I18" s="8" t="s">
        <v>43</v>
      </c>
      <c r="J18" s="7" t="s">
        <v>44</v>
      </c>
    </row>
    <row r="19" spans="1:10" x14ac:dyDescent="0.3">
      <c r="A19" t="s">
        <v>45</v>
      </c>
      <c r="B19" s="26">
        <v>1.8796999999999999</v>
      </c>
      <c r="C19" s="47" t="s">
        <v>46</v>
      </c>
      <c r="I19" s="8" t="s">
        <v>47</v>
      </c>
      <c r="J19" s="7" t="s">
        <v>48</v>
      </c>
    </row>
    <row r="20" spans="1:10" ht="28.8" x14ac:dyDescent="0.3">
      <c r="A20" s="31" t="s">
        <v>49</v>
      </c>
      <c r="B20" s="31" t="s">
        <v>50</v>
      </c>
      <c r="C20" s="31" t="s">
        <v>51</v>
      </c>
      <c r="D20" s="31" t="s">
        <v>52</v>
      </c>
      <c r="E20" s="31" t="s">
        <v>53</v>
      </c>
      <c r="I20" s="8" t="s">
        <v>54</v>
      </c>
    </row>
    <row r="21" spans="1:10" x14ac:dyDescent="0.3">
      <c r="A21" s="32" t="s">
        <v>55</v>
      </c>
      <c r="B21" s="7">
        <v>54500</v>
      </c>
      <c r="C21" s="29">
        <f t="shared" ref="C21:C27" si="0">$B$18*(B21/1000)*365</f>
        <v>32496.387999999999</v>
      </c>
      <c r="D21" s="29">
        <f t="shared" ref="D21:D27" si="1">$B$19*(B21/1000)*365</f>
        <v>37391.932249999998</v>
      </c>
      <c r="E21" s="29">
        <f>D21+C21</f>
        <v>69888.32024999999</v>
      </c>
    </row>
    <row r="22" spans="1:10" x14ac:dyDescent="0.3">
      <c r="A22" s="32" t="s">
        <v>56</v>
      </c>
      <c r="B22" s="7">
        <v>16000</v>
      </c>
      <c r="C22" s="29">
        <f t="shared" si="0"/>
        <v>9540.2240000000002</v>
      </c>
      <c r="D22" s="29">
        <f t="shared" si="1"/>
        <v>10977.448</v>
      </c>
      <c r="E22" s="29">
        <f>D22+C22</f>
        <v>20517.671999999999</v>
      </c>
    </row>
    <row r="23" spans="1:10" x14ac:dyDescent="0.3">
      <c r="A23" s="32" t="s">
        <v>31</v>
      </c>
      <c r="B23" s="7">
        <v>5000</v>
      </c>
      <c r="C23" s="29">
        <f t="shared" si="0"/>
        <v>2981.3199999999997</v>
      </c>
      <c r="D23" s="29">
        <f t="shared" si="1"/>
        <v>3430.4525000000003</v>
      </c>
      <c r="E23" s="29">
        <f t="shared" ref="E23:E26" si="2">D23+C23</f>
        <v>6411.7725</v>
      </c>
    </row>
    <row r="24" spans="1:10" x14ac:dyDescent="0.3">
      <c r="A24" s="32" t="s">
        <v>57</v>
      </c>
      <c r="B24" s="7">
        <v>200</v>
      </c>
      <c r="C24" s="29">
        <f t="shared" si="0"/>
        <v>119.25280000000001</v>
      </c>
      <c r="D24" s="29">
        <f t="shared" si="1"/>
        <v>137.21809999999999</v>
      </c>
      <c r="E24" s="29">
        <f t="shared" si="2"/>
        <v>256.47090000000003</v>
      </c>
    </row>
    <row r="25" spans="1:10" x14ac:dyDescent="0.3">
      <c r="A25" s="32" t="s">
        <v>58</v>
      </c>
      <c r="B25" s="7">
        <v>2800</v>
      </c>
      <c r="C25" s="29">
        <f t="shared" si="0"/>
        <v>1669.5391999999997</v>
      </c>
      <c r="D25" s="29">
        <f t="shared" si="1"/>
        <v>1921.0533999999998</v>
      </c>
      <c r="E25" s="29">
        <f t="shared" si="2"/>
        <v>3590.5925999999995</v>
      </c>
    </row>
    <row r="26" spans="1:10" x14ac:dyDescent="0.3">
      <c r="A26" s="32" t="s">
        <v>59</v>
      </c>
      <c r="B26" s="7">
        <v>2400</v>
      </c>
      <c r="C26" s="29">
        <f t="shared" si="0"/>
        <v>1431.0336</v>
      </c>
      <c r="D26" s="29">
        <f t="shared" si="1"/>
        <v>1646.6171999999997</v>
      </c>
      <c r="E26" s="29">
        <f t="shared" si="2"/>
        <v>3077.6507999999994</v>
      </c>
    </row>
    <row r="27" spans="1:10" x14ac:dyDescent="0.3">
      <c r="A27" s="32" t="s">
        <v>43</v>
      </c>
      <c r="B27" s="7">
        <v>100</v>
      </c>
      <c r="C27" s="29">
        <f t="shared" si="0"/>
        <v>59.626400000000004</v>
      </c>
      <c r="D27" s="29">
        <f t="shared" si="1"/>
        <v>68.609049999999996</v>
      </c>
      <c r="E27" s="29">
        <f>D27+C27</f>
        <v>128.23545000000001</v>
      </c>
    </row>
    <row r="28" spans="1:10" x14ac:dyDescent="0.3">
      <c r="A28" s="7" t="s">
        <v>60</v>
      </c>
      <c r="B28" s="7">
        <f>SUM(B21:B27)</f>
        <v>81000</v>
      </c>
      <c r="C28" s="30">
        <f t="shared" ref="C28:D28" si="3">SUM(C21:C27)</f>
        <v>48297.384000000005</v>
      </c>
      <c r="D28" s="30">
        <f t="shared" si="3"/>
        <v>55573.330499999996</v>
      </c>
      <c r="E28" s="37">
        <f>SUM(E21:E27)</f>
        <v>103870.71449999999</v>
      </c>
    </row>
    <row r="31" spans="1:10" x14ac:dyDescent="0.3">
      <c r="A31" t="s">
        <v>61</v>
      </c>
    </row>
  </sheetData>
  <hyperlinks>
    <hyperlink ref="C19" r:id="rId1" display="https://www.aquaswitch.co.uk/business-water-rates/" xr:uid="{5824C169-57FC-4A96-9529-E7F6D671744F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7956-1BA2-4E96-A407-71AABD9BEAC5}">
  <dimension ref="A1:Q48"/>
  <sheetViews>
    <sheetView zoomScaleNormal="100" workbookViewId="0">
      <selection activeCell="J19" sqref="J19"/>
    </sheetView>
  </sheetViews>
  <sheetFormatPr defaultColWidth="8.88671875" defaultRowHeight="14.4" x14ac:dyDescent="0.3"/>
  <cols>
    <col min="1" max="1" width="17.44140625" bestFit="1" customWidth="1"/>
    <col min="2" max="2" width="16.44140625" customWidth="1"/>
    <col min="3" max="4" width="11.44140625" bestFit="1" customWidth="1"/>
    <col min="5" max="5" width="12.44140625" bestFit="1" customWidth="1"/>
    <col min="6" max="6" width="10.88671875" bestFit="1" customWidth="1"/>
    <col min="7" max="7" width="11.44140625" bestFit="1" customWidth="1"/>
    <col min="8" max="8" width="17.44140625" customWidth="1"/>
    <col min="9" max="9" width="12.44140625" customWidth="1"/>
    <col min="10" max="10" width="9.6640625" bestFit="1" customWidth="1"/>
    <col min="11" max="11" width="11.44140625" bestFit="1" customWidth="1"/>
    <col min="12" max="12" width="9.33203125" bestFit="1" customWidth="1"/>
    <col min="15" max="15" width="18.88671875" customWidth="1"/>
    <col min="16" max="16" width="9.33203125" bestFit="1" customWidth="1"/>
    <col min="17" max="17" width="12" bestFit="1" customWidth="1"/>
  </cols>
  <sheetData>
    <row r="1" spans="1:17" x14ac:dyDescent="0.3">
      <c r="A1" s="4" t="s">
        <v>62</v>
      </c>
      <c r="B1" s="3"/>
    </row>
    <row r="2" spans="1:17" x14ac:dyDescent="0.3">
      <c r="A2" s="34"/>
    </row>
    <row r="3" spans="1:17" x14ac:dyDescent="0.3">
      <c r="A3" s="27" t="s">
        <v>1</v>
      </c>
    </row>
    <row r="4" spans="1:17" x14ac:dyDescent="0.3">
      <c r="H4" s="2"/>
    </row>
    <row r="5" spans="1:17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H5" s="15" t="s">
        <v>2</v>
      </c>
    </row>
    <row r="6" spans="1:17" x14ac:dyDescent="0.3">
      <c r="A6" s="6" t="s">
        <v>12</v>
      </c>
      <c r="B6" s="7" t="s">
        <v>63</v>
      </c>
      <c r="C6" s="7">
        <v>4</v>
      </c>
      <c r="D6" s="7">
        <v>0.5</v>
      </c>
      <c r="E6" s="7">
        <v>2000</v>
      </c>
      <c r="F6" s="7">
        <f>2*C6*D6*E6*0.85</f>
        <v>6800</v>
      </c>
      <c r="H6" s="18" t="s">
        <v>9</v>
      </c>
      <c r="I6" s="18" t="s">
        <v>4</v>
      </c>
      <c r="J6" s="18" t="s">
        <v>5</v>
      </c>
      <c r="K6" s="18" t="s">
        <v>7</v>
      </c>
      <c r="L6" s="18" t="s">
        <v>8</v>
      </c>
      <c r="O6" s="24" t="s">
        <v>64</v>
      </c>
      <c r="P6" s="24" t="s">
        <v>8</v>
      </c>
      <c r="Q6" s="24" t="s">
        <v>65</v>
      </c>
    </row>
    <row r="7" spans="1:17" x14ac:dyDescent="0.3">
      <c r="A7" s="6" t="s">
        <v>17</v>
      </c>
      <c r="B7" s="7" t="s">
        <v>18</v>
      </c>
      <c r="C7" s="7"/>
      <c r="D7" s="7">
        <v>150</v>
      </c>
      <c r="E7" s="7"/>
      <c r="F7" s="7">
        <f>D7*6</f>
        <v>900</v>
      </c>
      <c r="H7" s="7" t="s">
        <v>66</v>
      </c>
      <c r="I7" s="7" t="s">
        <v>67</v>
      </c>
      <c r="J7" s="7">
        <v>1</v>
      </c>
      <c r="K7" s="7">
        <f>0.5*1000</f>
        <v>500</v>
      </c>
      <c r="L7" s="7">
        <f>K7*J7*6</f>
        <v>3000</v>
      </c>
      <c r="O7" s="25" t="s">
        <v>68</v>
      </c>
      <c r="P7" s="22">
        <f>L13+F13</f>
        <v>30250</v>
      </c>
      <c r="Q7" s="35">
        <f>(81000-P7)/81000</f>
        <v>0.62654320987654322</v>
      </c>
    </row>
    <row r="8" spans="1:17" x14ac:dyDescent="0.3">
      <c r="A8" s="6" t="s">
        <v>22</v>
      </c>
      <c r="B8" s="7" t="s">
        <v>69</v>
      </c>
      <c r="C8" s="7">
        <v>150</v>
      </c>
      <c r="D8" s="7"/>
      <c r="E8" s="7"/>
      <c r="F8" s="7">
        <f>C8*2</f>
        <v>300</v>
      </c>
      <c r="H8" s="7" t="s">
        <v>70</v>
      </c>
      <c r="I8" s="7" t="s">
        <v>71</v>
      </c>
      <c r="J8" s="7">
        <v>1</v>
      </c>
      <c r="K8" s="7">
        <v>50</v>
      </c>
      <c r="L8" s="7">
        <f>3*J8*K8</f>
        <v>150</v>
      </c>
      <c r="O8" s="25" t="s">
        <v>21</v>
      </c>
      <c r="P8" s="23">
        <f>SUM(F6:F11)</f>
        <v>12300</v>
      </c>
      <c r="Q8" s="35">
        <f>(23700-P8)/23700</f>
        <v>0.48101265822784811</v>
      </c>
    </row>
    <row r="9" spans="1:17" x14ac:dyDescent="0.3">
      <c r="A9" s="6" t="s">
        <v>26</v>
      </c>
      <c r="B9" s="7"/>
      <c r="C9" s="7"/>
      <c r="D9" s="7"/>
      <c r="E9" s="7"/>
      <c r="F9" s="7">
        <v>200</v>
      </c>
      <c r="H9" s="7" t="s">
        <v>19</v>
      </c>
      <c r="I9" s="7" t="s">
        <v>72</v>
      </c>
      <c r="J9" s="7">
        <v>3</v>
      </c>
      <c r="K9" s="7">
        <v>950</v>
      </c>
      <c r="L9" s="7">
        <v>0</v>
      </c>
      <c r="O9" s="25" t="s">
        <v>73</v>
      </c>
      <c r="P9" s="23">
        <f>L13</f>
        <v>15150</v>
      </c>
      <c r="Q9" s="35">
        <f>(54500-15150)/54500</f>
        <v>0.72201834862385317</v>
      </c>
    </row>
    <row r="10" spans="1:17" x14ac:dyDescent="0.3">
      <c r="A10" s="6" t="s">
        <v>28</v>
      </c>
      <c r="B10" s="7" t="s">
        <v>29</v>
      </c>
      <c r="C10" s="7"/>
      <c r="D10" s="7"/>
      <c r="E10" s="7"/>
      <c r="F10" s="7">
        <v>100</v>
      </c>
      <c r="H10" s="18" t="s">
        <v>24</v>
      </c>
      <c r="I10" s="2"/>
      <c r="J10" s="2"/>
      <c r="K10" s="2"/>
      <c r="L10" s="20"/>
    </row>
    <row r="11" spans="1:17" ht="28.8" x14ac:dyDescent="0.3">
      <c r="A11" s="6" t="s">
        <v>31</v>
      </c>
      <c r="B11" s="7" t="s">
        <v>74</v>
      </c>
      <c r="C11" s="7">
        <v>1</v>
      </c>
      <c r="D11" s="7">
        <v>5</v>
      </c>
      <c r="E11" s="7">
        <v>100</v>
      </c>
      <c r="F11" s="7">
        <f>8*C11*D11*E11</f>
        <v>4000</v>
      </c>
      <c r="H11" s="7" t="s">
        <v>66</v>
      </c>
      <c r="I11" s="7" t="s">
        <v>67</v>
      </c>
      <c r="J11" s="7">
        <v>1</v>
      </c>
      <c r="K11" s="7">
        <f>0.5*1000</f>
        <v>500</v>
      </c>
      <c r="L11" s="7">
        <f>K11*J11*6</f>
        <v>3000</v>
      </c>
      <c r="O11" s="33" t="s">
        <v>75</v>
      </c>
      <c r="P11" s="7">
        <f>F11+F6</f>
        <v>10800</v>
      </c>
    </row>
    <row r="12" spans="1:17" ht="15" thickBot="1" x14ac:dyDescent="0.35">
      <c r="A12" s="10" t="s">
        <v>33</v>
      </c>
      <c r="B12" s="7" t="s">
        <v>34</v>
      </c>
      <c r="C12" s="7"/>
      <c r="D12" s="7"/>
      <c r="E12" s="7">
        <f>0.7*2000</f>
        <v>1400</v>
      </c>
      <c r="F12" s="7">
        <f>2*E12</f>
        <v>2800</v>
      </c>
      <c r="H12" s="7" t="s">
        <v>70</v>
      </c>
      <c r="I12" s="7" t="s">
        <v>71</v>
      </c>
      <c r="J12" s="7">
        <v>3</v>
      </c>
      <c r="K12" s="7">
        <v>1000</v>
      </c>
      <c r="L12" s="7">
        <f>3*J12*K12</f>
        <v>9000</v>
      </c>
    </row>
    <row r="13" spans="1:17" ht="15" thickBot="1" x14ac:dyDescent="0.35">
      <c r="A13" s="11" t="s">
        <v>30</v>
      </c>
      <c r="B13" s="12"/>
      <c r="C13" s="12"/>
      <c r="D13" s="12"/>
      <c r="E13" s="12"/>
      <c r="F13" s="19">
        <f>SUM(F6:F12)</f>
        <v>15100</v>
      </c>
      <c r="H13" s="16" t="s">
        <v>30</v>
      </c>
      <c r="I13" s="17"/>
      <c r="J13" s="17"/>
      <c r="K13" s="17"/>
      <c r="L13" s="21">
        <f>SUM(L7:L12)</f>
        <v>15150</v>
      </c>
    </row>
    <row r="17" spans="1:7" x14ac:dyDescent="0.3">
      <c r="A17" t="s">
        <v>76</v>
      </c>
    </row>
    <row r="18" spans="1:7" x14ac:dyDescent="0.3">
      <c r="A18" s="47" t="s">
        <v>77</v>
      </c>
      <c r="B18" s="47" t="s">
        <v>78</v>
      </c>
    </row>
    <row r="19" spans="1:7" ht="41.4" x14ac:dyDescent="0.3">
      <c r="A19" s="49"/>
      <c r="B19" s="49" t="s">
        <v>79</v>
      </c>
      <c r="C19" s="50" t="s">
        <v>80</v>
      </c>
      <c r="D19" s="50" t="s">
        <v>81</v>
      </c>
      <c r="E19" s="49" t="s">
        <v>82</v>
      </c>
    </row>
    <row r="20" spans="1:7" x14ac:dyDescent="0.3">
      <c r="A20" s="48" t="s">
        <v>83</v>
      </c>
      <c r="B20" s="30">
        <f>250*84</f>
        <v>21000</v>
      </c>
      <c r="C20" s="7">
        <f>(54000-15150)/1000</f>
        <v>38.85</v>
      </c>
      <c r="D20" s="30">
        <f>1.6336*365*C20</f>
        <v>23164.856400000001</v>
      </c>
      <c r="E20" s="43">
        <f>B20/D20</f>
        <v>0.90654565853471036</v>
      </c>
      <c r="F20" t="s">
        <v>84</v>
      </c>
    </row>
    <row r="21" spans="1:7" x14ac:dyDescent="0.3">
      <c r="A21" s="48" t="s">
        <v>31</v>
      </c>
      <c r="B21" s="30">
        <f>312*40</f>
        <v>12480</v>
      </c>
      <c r="C21" s="7">
        <f>1000/1000</f>
        <v>1</v>
      </c>
      <c r="D21" s="30">
        <f t="shared" ref="D21:D23" si="0">1.6336*365*C21</f>
        <v>596.26400000000001</v>
      </c>
      <c r="E21" s="43">
        <f t="shared" ref="E21:E23" si="1">B21/D21</f>
        <v>20.930326164249394</v>
      </c>
      <c r="F21" t="s">
        <v>85</v>
      </c>
    </row>
    <row r="22" spans="1:7" x14ac:dyDescent="0.3">
      <c r="A22" s="48" t="s">
        <v>19</v>
      </c>
      <c r="B22" s="30">
        <f>554*36</f>
        <v>19944</v>
      </c>
      <c r="C22" s="7">
        <v>0.5</v>
      </c>
      <c r="D22" s="30">
        <f t="shared" si="0"/>
        <v>298.13200000000001</v>
      </c>
      <c r="E22" s="43">
        <f t="shared" si="1"/>
        <v>66.896542471120171</v>
      </c>
    </row>
    <row r="23" spans="1:7" x14ac:dyDescent="0.3">
      <c r="A23" s="48" t="s">
        <v>86</v>
      </c>
      <c r="B23" s="30">
        <f>300*48</f>
        <v>14400</v>
      </c>
      <c r="C23" s="7">
        <f>(16000-6800)/1000</f>
        <v>9.1999999999999993</v>
      </c>
      <c r="D23" s="30">
        <f t="shared" si="0"/>
        <v>5485.6287999999995</v>
      </c>
      <c r="E23" s="43">
        <f t="shared" si="1"/>
        <v>2.6250409068874658</v>
      </c>
      <c r="F23" t="s">
        <v>87</v>
      </c>
    </row>
    <row r="24" spans="1:7" x14ac:dyDescent="0.3">
      <c r="A24" s="48" t="s">
        <v>88</v>
      </c>
      <c r="B24" s="30">
        <v>60000</v>
      </c>
      <c r="D24" s="30">
        <v>8000</v>
      </c>
      <c r="E24" s="43">
        <f>B24/D24</f>
        <v>7.5</v>
      </c>
      <c r="F24" t="s">
        <v>89</v>
      </c>
      <c r="G24" t="s">
        <v>90</v>
      </c>
    </row>
    <row r="27" spans="1:7" x14ac:dyDescent="0.3">
      <c r="A27" s="27" t="s">
        <v>36</v>
      </c>
    </row>
    <row r="28" spans="1:7" x14ac:dyDescent="0.3">
      <c r="A28" t="s">
        <v>91</v>
      </c>
      <c r="B28">
        <f>1.6336</f>
        <v>1.6335999999999999</v>
      </c>
    </row>
    <row r="29" spans="1:7" x14ac:dyDescent="0.3">
      <c r="A29" t="s">
        <v>92</v>
      </c>
      <c r="B29">
        <v>1.8796999999999999</v>
      </c>
    </row>
    <row r="30" spans="1:7" ht="28.8" x14ac:dyDescent="0.3">
      <c r="A30" s="31" t="s">
        <v>49</v>
      </c>
      <c r="B30" s="31" t="s">
        <v>50</v>
      </c>
      <c r="C30" s="31" t="s">
        <v>51</v>
      </c>
      <c r="D30" s="31" t="s">
        <v>52</v>
      </c>
      <c r="E30" s="31" t="s">
        <v>53</v>
      </c>
      <c r="F30" s="31" t="s">
        <v>93</v>
      </c>
      <c r="G30" s="31" t="s">
        <v>94</v>
      </c>
    </row>
    <row r="31" spans="1:7" x14ac:dyDescent="0.3">
      <c r="A31" s="32" t="s">
        <v>55</v>
      </c>
      <c r="B31" s="7">
        <v>15150</v>
      </c>
      <c r="C31" s="29">
        <f t="shared" ref="C31:C37" si="2">$B$28*(B31/1000)*365</f>
        <v>9033.3996000000006</v>
      </c>
      <c r="D31" s="29">
        <f t="shared" ref="D31:D37" si="3">$B$29*(B31/1000)*365</f>
        <v>10394.271075000001</v>
      </c>
      <c r="E31" s="29">
        <f>D31+C31</f>
        <v>19427.670675000001</v>
      </c>
      <c r="F31" s="35">
        <f>('Water Baseline'!B21-'Water Intervention'!B31)/'Water Baseline'!B21</f>
        <v>0.72201834862385317</v>
      </c>
      <c r="G31" s="29">
        <f>'Water Baseline'!E21-'Water Intervention'!E31</f>
        <v>50460.649574999989</v>
      </c>
    </row>
    <row r="32" spans="1:7" x14ac:dyDescent="0.3">
      <c r="A32" s="32" t="s">
        <v>56</v>
      </c>
      <c r="B32" s="7">
        <v>6800</v>
      </c>
      <c r="C32" s="29">
        <f t="shared" si="2"/>
        <v>4054.5952000000002</v>
      </c>
      <c r="D32" s="29">
        <f t="shared" si="3"/>
        <v>4665.4153999999999</v>
      </c>
      <c r="E32" s="29">
        <f>D32+C32</f>
        <v>8720.0105999999996</v>
      </c>
      <c r="F32" s="35">
        <f>('Water Baseline'!B22-'Water Intervention'!B32)/'Water Baseline'!B22</f>
        <v>0.57499999999999996</v>
      </c>
      <c r="G32" s="29">
        <f>'Water Baseline'!E22-'Water Intervention'!E32</f>
        <v>11797.661399999999</v>
      </c>
    </row>
    <row r="33" spans="1:7" x14ac:dyDescent="0.3">
      <c r="A33" s="32" t="s">
        <v>31</v>
      </c>
      <c r="B33" s="7">
        <v>4000</v>
      </c>
      <c r="C33" s="29">
        <f t="shared" si="2"/>
        <v>2385.056</v>
      </c>
      <c r="D33" s="29">
        <f t="shared" si="3"/>
        <v>2744.3620000000001</v>
      </c>
      <c r="E33" s="29">
        <f t="shared" ref="E33:E36" si="4">D33+C33</f>
        <v>5129.4179999999997</v>
      </c>
      <c r="F33" s="35">
        <f>('Water Baseline'!B23-'Water Intervention'!B33)/'Water Baseline'!B23</f>
        <v>0.2</v>
      </c>
      <c r="G33" s="29">
        <f>'Water Baseline'!E23-'Water Intervention'!E33</f>
        <v>1282.3545000000004</v>
      </c>
    </row>
    <row r="34" spans="1:7" x14ac:dyDescent="0.3">
      <c r="A34" s="32" t="s">
        <v>57</v>
      </c>
      <c r="B34" s="7">
        <v>200</v>
      </c>
      <c r="C34" s="29">
        <f t="shared" si="2"/>
        <v>119.25280000000001</v>
      </c>
      <c r="D34" s="29">
        <f t="shared" si="3"/>
        <v>137.21809999999999</v>
      </c>
      <c r="E34" s="29">
        <f t="shared" si="4"/>
        <v>256.47090000000003</v>
      </c>
      <c r="F34" s="35">
        <f>('Water Baseline'!B24-'Water Intervention'!B34)/'Water Baseline'!B24</f>
        <v>0</v>
      </c>
      <c r="G34" s="29">
        <f>'Water Baseline'!E24-'Water Intervention'!E34</f>
        <v>0</v>
      </c>
    </row>
    <row r="35" spans="1:7" x14ac:dyDescent="0.3">
      <c r="A35" s="32" t="s">
        <v>58</v>
      </c>
      <c r="B35" s="7">
        <v>2800</v>
      </c>
      <c r="C35" s="29">
        <f t="shared" si="2"/>
        <v>1669.5391999999997</v>
      </c>
      <c r="D35" s="29">
        <f t="shared" si="3"/>
        <v>1921.0533999999998</v>
      </c>
      <c r="E35" s="29">
        <f t="shared" si="4"/>
        <v>3590.5925999999995</v>
      </c>
      <c r="F35" s="35">
        <f>('Water Baseline'!B25-'Water Intervention'!B35)/'Water Baseline'!B25</f>
        <v>0</v>
      </c>
      <c r="G35" s="29">
        <f>'Water Baseline'!E25-'Water Intervention'!E35</f>
        <v>0</v>
      </c>
    </row>
    <row r="36" spans="1:7" x14ac:dyDescent="0.3">
      <c r="A36" s="32" t="s">
        <v>59</v>
      </c>
      <c r="B36" s="7">
        <v>1200</v>
      </c>
      <c r="C36" s="29">
        <f t="shared" si="2"/>
        <v>715.51679999999999</v>
      </c>
      <c r="D36" s="29">
        <f t="shared" si="3"/>
        <v>823.30859999999984</v>
      </c>
      <c r="E36" s="29">
        <f t="shared" si="4"/>
        <v>1538.8253999999997</v>
      </c>
      <c r="F36" s="35">
        <f>('Water Baseline'!B26-'Water Intervention'!B36)/'Water Baseline'!B26</f>
        <v>0.5</v>
      </c>
      <c r="G36" s="29">
        <f>'Water Baseline'!E26-'Water Intervention'!E36</f>
        <v>1538.8253999999997</v>
      </c>
    </row>
    <row r="37" spans="1:7" x14ac:dyDescent="0.3">
      <c r="A37" s="32" t="s">
        <v>43</v>
      </c>
      <c r="B37" s="7">
        <v>100</v>
      </c>
      <c r="C37" s="29">
        <f t="shared" si="2"/>
        <v>59.626400000000004</v>
      </c>
      <c r="D37" s="29">
        <f t="shared" si="3"/>
        <v>68.609049999999996</v>
      </c>
      <c r="E37" s="29">
        <f>D37+C37</f>
        <v>128.23545000000001</v>
      </c>
      <c r="F37" s="35">
        <f>('Water Baseline'!B27-'Water Intervention'!B37)/'Water Baseline'!B27</f>
        <v>0</v>
      </c>
      <c r="G37" s="29">
        <f>'Water Baseline'!E27-'Water Intervention'!E37</f>
        <v>0</v>
      </c>
    </row>
    <row r="38" spans="1:7" x14ac:dyDescent="0.3">
      <c r="A38" s="7" t="s">
        <v>60</v>
      </c>
      <c r="B38" s="7">
        <f>SUM(B31:B37)</f>
        <v>30250</v>
      </c>
      <c r="C38" s="30">
        <f>SUM(C31:C37)</f>
        <v>18036.986000000004</v>
      </c>
      <c r="D38" s="30">
        <f>SUM(D31:D37)</f>
        <v>20754.237624999998</v>
      </c>
      <c r="E38" s="37">
        <f>SUM(E31:E37)</f>
        <v>38791.223624999999</v>
      </c>
      <c r="F38" s="38">
        <f>('Water Baseline'!B28-'Water Intervention'!B38)/'Water Baseline'!B28</f>
        <v>0.62654320987654322</v>
      </c>
      <c r="G38" s="37">
        <f>SUM(G31:G37)</f>
        <v>65079.490874999989</v>
      </c>
    </row>
    <row r="41" spans="1:7" x14ac:dyDescent="0.3">
      <c r="A41" s="27" t="s">
        <v>95</v>
      </c>
    </row>
    <row r="43" spans="1:7" ht="43.2" x14ac:dyDescent="0.3">
      <c r="A43" s="40" t="s">
        <v>96</v>
      </c>
      <c r="B43" s="42" t="s">
        <v>97</v>
      </c>
      <c r="C43" s="42" t="s">
        <v>98</v>
      </c>
      <c r="D43" s="41" t="s">
        <v>99</v>
      </c>
    </row>
    <row r="44" spans="1:7" x14ac:dyDescent="0.3">
      <c r="A44" s="15" t="s">
        <v>100</v>
      </c>
      <c r="B44" s="13" t="s">
        <v>101</v>
      </c>
      <c r="C44" s="13" t="s">
        <v>102</v>
      </c>
      <c r="D44" s="13" t="s">
        <v>103</v>
      </c>
    </row>
    <row r="45" spans="1:7" x14ac:dyDescent="0.3">
      <c r="A45" s="15" t="s">
        <v>31</v>
      </c>
      <c r="B45" s="13" t="s">
        <v>32</v>
      </c>
      <c r="C45" s="13" t="s">
        <v>104</v>
      </c>
      <c r="D45" s="39">
        <v>0.2</v>
      </c>
    </row>
    <row r="46" spans="1:7" x14ac:dyDescent="0.3">
      <c r="A46" s="15" t="s">
        <v>105</v>
      </c>
      <c r="B46" s="13" t="s">
        <v>23</v>
      </c>
      <c r="C46" s="13" t="s">
        <v>69</v>
      </c>
      <c r="D46" s="39">
        <v>0.8</v>
      </c>
    </row>
    <row r="47" spans="1:7" x14ac:dyDescent="0.3">
      <c r="A47" s="15" t="s">
        <v>19</v>
      </c>
      <c r="B47" s="13" t="s">
        <v>106</v>
      </c>
      <c r="C47" s="13" t="s">
        <v>107</v>
      </c>
      <c r="D47" s="39">
        <v>1</v>
      </c>
    </row>
    <row r="48" spans="1:7" x14ac:dyDescent="0.3">
      <c r="A48" s="15" t="s">
        <v>86</v>
      </c>
      <c r="B48" s="13" t="s">
        <v>13</v>
      </c>
      <c r="C48" s="13" t="s">
        <v>63</v>
      </c>
      <c r="D48" s="39">
        <v>0.5</v>
      </c>
    </row>
  </sheetData>
  <hyperlinks>
    <hyperlink ref="B18" r:id="rId1" display="https://www.commercialwashroomsltd.co.uk/" xr:uid="{86E6D7E7-9278-404E-99BF-D7FCA667121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DD43-59D3-154E-90B2-CB0C00B68C1F}">
  <dimension ref="A3:Q73"/>
  <sheetViews>
    <sheetView tabSelected="1" topLeftCell="A23" zoomScale="55" zoomScaleNormal="55" workbookViewId="0">
      <selection activeCell="A3" sqref="A3:U75"/>
    </sheetView>
  </sheetViews>
  <sheetFormatPr defaultColWidth="11.44140625" defaultRowHeight="14.4" x14ac:dyDescent="0.3"/>
  <cols>
    <col min="4" max="4" width="13.44140625" customWidth="1"/>
  </cols>
  <sheetData>
    <row r="3" spans="1:17" x14ac:dyDescent="0.3">
      <c r="B3" s="52" t="s">
        <v>108</v>
      </c>
      <c r="C3" s="52" t="s">
        <v>109</v>
      </c>
      <c r="D3" s="52" t="s">
        <v>110</v>
      </c>
      <c r="F3" s="52" t="s">
        <v>111</v>
      </c>
      <c r="G3" s="52" t="s">
        <v>112</v>
      </c>
      <c r="H3" s="2"/>
      <c r="J3" s="2" t="s">
        <v>113</v>
      </c>
    </row>
    <row r="4" spans="1:17" x14ac:dyDescent="0.3">
      <c r="J4" t="s">
        <v>114</v>
      </c>
      <c r="K4" t="s">
        <v>115</v>
      </c>
      <c r="L4" t="s">
        <v>116</v>
      </c>
      <c r="M4" t="s">
        <v>117</v>
      </c>
      <c r="N4" t="s">
        <v>118</v>
      </c>
      <c r="O4" t="s">
        <v>119</v>
      </c>
      <c r="P4" t="s">
        <v>120</v>
      </c>
      <c r="Q4" t="s">
        <v>121</v>
      </c>
    </row>
    <row r="5" spans="1:17" x14ac:dyDescent="0.3">
      <c r="A5" s="52" t="s">
        <v>122</v>
      </c>
      <c r="J5">
        <f>10800*(1/0.092903)*7</f>
        <v>813751.97786939063</v>
      </c>
      <c r="K5">
        <f>G73</f>
        <v>31966</v>
      </c>
      <c r="L5">
        <f>10800*(1/0.092903)*0.5</f>
        <v>58125.141276385046</v>
      </c>
      <c r="M5">
        <f>F73</f>
        <v>309444.2</v>
      </c>
      <c r="N5">
        <f>10800*(1/0.092903)*2*(8/12)</f>
        <v>155000.37673702679</v>
      </c>
      <c r="O5">
        <f>10800*(1/0.092903)*2</f>
        <v>232500.56510554018</v>
      </c>
      <c r="Q5">
        <f>10800*(1/0.092903)*3*(4/12)</f>
        <v>116250.28255277008</v>
      </c>
    </row>
    <row r="6" spans="1:17" x14ac:dyDescent="0.3">
      <c r="L6" s="51"/>
      <c r="N6" s="51"/>
      <c r="O6" s="51"/>
    </row>
    <row r="7" spans="1:17" x14ac:dyDescent="0.3">
      <c r="J7" t="s">
        <v>123</v>
      </c>
    </row>
    <row r="8" spans="1:17" x14ac:dyDescent="0.3">
      <c r="A8" s="53" t="s">
        <v>124</v>
      </c>
      <c r="J8">
        <f>SUM(J5:R5)</f>
        <v>1717038.5435411127</v>
      </c>
    </row>
    <row r="10" spans="1:17" x14ac:dyDescent="0.3">
      <c r="A10" s="54" t="s">
        <v>125</v>
      </c>
      <c r="B10" s="55">
        <v>180</v>
      </c>
      <c r="C10" s="55">
        <f>B10*4.5</f>
        <v>810</v>
      </c>
      <c r="D10" s="55">
        <v>90</v>
      </c>
      <c r="F10" s="59"/>
      <c r="G10" s="59" t="s">
        <v>126</v>
      </c>
      <c r="H10" s="2"/>
      <c r="J10" s="2" t="s">
        <v>127</v>
      </c>
    </row>
    <row r="11" spans="1:17" x14ac:dyDescent="0.3">
      <c r="A11" s="54" t="s">
        <v>128</v>
      </c>
      <c r="B11" s="55">
        <v>210</v>
      </c>
      <c r="C11">
        <f>B11*(4.5)</f>
        <v>945</v>
      </c>
      <c r="D11" s="55" t="s">
        <v>129</v>
      </c>
      <c r="F11" s="59">
        <f>1.7*365*35</f>
        <v>21717.5</v>
      </c>
      <c r="G11" s="60"/>
      <c r="J11" t="s">
        <v>114</v>
      </c>
      <c r="K11" t="s">
        <v>115</v>
      </c>
      <c r="L11" t="s">
        <v>116</v>
      </c>
      <c r="M11" t="s">
        <v>117</v>
      </c>
      <c r="N11" t="s">
        <v>118</v>
      </c>
      <c r="O11" t="s">
        <v>119</v>
      </c>
      <c r="P11" t="s">
        <v>120</v>
      </c>
      <c r="Q11" t="s">
        <v>121</v>
      </c>
    </row>
    <row r="12" spans="1:17" x14ac:dyDescent="0.3">
      <c r="A12" s="54" t="s">
        <v>130</v>
      </c>
      <c r="B12" s="55">
        <v>98</v>
      </c>
      <c r="C12">
        <f t="shared" ref="C12:C17" si="0">B12*(4.5)</f>
        <v>441</v>
      </c>
      <c r="D12" s="55" t="s">
        <v>131</v>
      </c>
      <c r="F12" s="60"/>
      <c r="G12" s="59"/>
      <c r="J12">
        <f>1/2*J5</f>
        <v>406875.98893469531</v>
      </c>
      <c r="K12">
        <f>K5</f>
        <v>31966</v>
      </c>
      <c r="L12">
        <f>1/2*L5</f>
        <v>29062.570638192523</v>
      </c>
      <c r="M12">
        <f>M5</f>
        <v>309444.2</v>
      </c>
      <c r="N12">
        <f>1/2*N5</f>
        <v>77500.188368513394</v>
      </c>
      <c r="O12">
        <f>1/2*O5</f>
        <v>116250.28255277009</v>
      </c>
      <c r="Q12">
        <f>1/2*Q5</f>
        <v>58125.141276385039</v>
      </c>
    </row>
    <row r="13" spans="1:17" x14ac:dyDescent="0.3">
      <c r="A13" s="54" t="s">
        <v>132</v>
      </c>
      <c r="B13" s="55">
        <v>28</v>
      </c>
      <c r="C13">
        <f t="shared" si="0"/>
        <v>126</v>
      </c>
      <c r="D13" s="55" t="s">
        <v>133</v>
      </c>
      <c r="F13" s="60"/>
      <c r="G13" s="59">
        <f>15*253*8</f>
        <v>30360</v>
      </c>
    </row>
    <row r="14" spans="1:17" x14ac:dyDescent="0.3">
      <c r="A14" s="54" t="s">
        <v>134</v>
      </c>
      <c r="B14" s="55">
        <v>10</v>
      </c>
      <c r="C14">
        <f t="shared" si="0"/>
        <v>45</v>
      </c>
      <c r="D14" s="55" t="s">
        <v>135</v>
      </c>
      <c r="F14" s="60"/>
      <c r="G14" s="60"/>
      <c r="J14" t="s">
        <v>123</v>
      </c>
    </row>
    <row r="15" spans="1:17" x14ac:dyDescent="0.3">
      <c r="A15" s="54" t="s">
        <v>136</v>
      </c>
      <c r="B15" s="55">
        <v>8</v>
      </c>
      <c r="C15">
        <f t="shared" si="0"/>
        <v>36</v>
      </c>
      <c r="D15" s="55" t="s">
        <v>133</v>
      </c>
      <c r="F15" s="59">
        <f>1.7*253*4</f>
        <v>1720.3999999999999</v>
      </c>
      <c r="G15" s="60"/>
      <c r="J15">
        <f>SUM(J12:R12)</f>
        <v>1029224.3717705563</v>
      </c>
    </row>
    <row r="16" spans="1:17" x14ac:dyDescent="0.3">
      <c r="A16" s="54" t="s">
        <v>137</v>
      </c>
      <c r="B16" s="55">
        <v>98</v>
      </c>
      <c r="C16">
        <f t="shared" si="0"/>
        <v>441</v>
      </c>
      <c r="D16" s="55" t="s">
        <v>131</v>
      </c>
      <c r="F16" s="59"/>
      <c r="G16" s="60"/>
    </row>
    <row r="17" spans="1:7" x14ac:dyDescent="0.3">
      <c r="A17" s="54" t="s">
        <v>138</v>
      </c>
      <c r="B17" s="55">
        <v>30</v>
      </c>
      <c r="C17">
        <f t="shared" si="0"/>
        <v>135</v>
      </c>
      <c r="D17" s="55" t="s">
        <v>139</v>
      </c>
      <c r="F17" s="59"/>
      <c r="G17" s="60"/>
    </row>
    <row r="18" spans="1:7" x14ac:dyDescent="0.3">
      <c r="A18" s="52"/>
      <c r="B18" s="55"/>
      <c r="C18" s="55"/>
      <c r="D18" s="55"/>
      <c r="F18" s="59"/>
      <c r="G18" s="59"/>
    </row>
    <row r="19" spans="1:7" x14ac:dyDescent="0.3">
      <c r="A19" s="52"/>
      <c r="B19" s="55"/>
      <c r="C19" s="55"/>
      <c r="D19" s="55"/>
      <c r="F19" s="59"/>
      <c r="G19" s="59"/>
    </row>
    <row r="20" spans="1:7" x14ac:dyDescent="0.3">
      <c r="A20" s="53" t="s">
        <v>140</v>
      </c>
      <c r="B20" s="55"/>
      <c r="C20" s="55"/>
      <c r="D20" s="55"/>
      <c r="F20" s="59"/>
      <c r="G20" s="59"/>
    </row>
    <row r="21" spans="1:7" x14ac:dyDescent="0.3">
      <c r="A21" s="52"/>
      <c r="B21" s="55"/>
      <c r="C21" s="55"/>
      <c r="D21" s="55"/>
      <c r="F21" s="59"/>
      <c r="G21" s="59"/>
    </row>
    <row r="22" spans="1:7" x14ac:dyDescent="0.3">
      <c r="A22" s="56" t="s">
        <v>141</v>
      </c>
      <c r="B22" s="57">
        <v>70</v>
      </c>
      <c r="C22" s="55">
        <f>B22*4.5</f>
        <v>315</v>
      </c>
      <c r="D22" s="57" t="s">
        <v>142</v>
      </c>
      <c r="F22" s="59"/>
    </row>
    <row r="23" spans="1:7" x14ac:dyDescent="0.3">
      <c r="A23" s="56" t="s">
        <v>143</v>
      </c>
      <c r="B23" s="57">
        <v>300</v>
      </c>
      <c r="C23" s="55">
        <f t="shared" ref="C23:C29" si="1">B23*4.5</f>
        <v>1350</v>
      </c>
      <c r="D23" s="57" t="s">
        <v>144</v>
      </c>
      <c r="F23" s="59">
        <f>1.7*365*75</f>
        <v>46537.5</v>
      </c>
      <c r="G23" s="60"/>
    </row>
    <row r="24" spans="1:7" x14ac:dyDescent="0.3">
      <c r="A24" s="56" t="s">
        <v>145</v>
      </c>
      <c r="B24" s="57">
        <v>98</v>
      </c>
      <c r="C24" s="55">
        <f t="shared" si="1"/>
        <v>441</v>
      </c>
      <c r="D24" s="57" t="s">
        <v>146</v>
      </c>
      <c r="F24" s="60"/>
      <c r="G24" s="60"/>
    </row>
    <row r="25" spans="1:7" x14ac:dyDescent="0.3">
      <c r="A25" s="56" t="s">
        <v>147</v>
      </c>
      <c r="B25" s="57">
        <v>112</v>
      </c>
      <c r="C25" s="55">
        <f t="shared" si="1"/>
        <v>504</v>
      </c>
      <c r="D25" s="57" t="s">
        <v>148</v>
      </c>
      <c r="F25" s="59">
        <f>1.7*365*65</f>
        <v>40332.5</v>
      </c>
      <c r="G25" s="60"/>
    </row>
    <row r="26" spans="1:7" x14ac:dyDescent="0.3">
      <c r="A26" s="56" t="s">
        <v>149</v>
      </c>
      <c r="B26" s="57">
        <v>98</v>
      </c>
      <c r="C26" s="55">
        <f t="shared" si="1"/>
        <v>441</v>
      </c>
      <c r="D26" s="57" t="s">
        <v>150</v>
      </c>
      <c r="F26" s="60"/>
      <c r="G26" s="60"/>
    </row>
    <row r="27" spans="1:7" x14ac:dyDescent="0.3">
      <c r="A27" s="56" t="s">
        <v>151</v>
      </c>
      <c r="B27" s="57">
        <v>70</v>
      </c>
      <c r="C27" s="55">
        <f t="shared" si="1"/>
        <v>315</v>
      </c>
      <c r="D27" s="57" t="s">
        <v>152</v>
      </c>
      <c r="F27" s="60"/>
      <c r="G27" s="60"/>
    </row>
    <row r="28" spans="1:7" x14ac:dyDescent="0.3">
      <c r="A28" s="56" t="s">
        <v>153</v>
      </c>
      <c r="B28" s="57">
        <v>84</v>
      </c>
      <c r="C28" s="55">
        <f t="shared" si="1"/>
        <v>378</v>
      </c>
      <c r="D28" s="57" t="s">
        <v>154</v>
      </c>
      <c r="F28" s="60"/>
      <c r="G28" s="60"/>
    </row>
    <row r="29" spans="1:7" x14ac:dyDescent="0.3">
      <c r="A29" s="56" t="s">
        <v>155</v>
      </c>
      <c r="B29" s="57">
        <v>35</v>
      </c>
      <c r="C29" s="55">
        <f t="shared" si="1"/>
        <v>157.5</v>
      </c>
      <c r="D29" s="57" t="s">
        <v>156</v>
      </c>
      <c r="F29" s="60"/>
      <c r="G29" s="60"/>
    </row>
    <row r="30" spans="1:7" x14ac:dyDescent="0.3">
      <c r="A30" s="52"/>
      <c r="B30" s="55"/>
      <c r="C30" s="55"/>
      <c r="D30" s="55"/>
      <c r="F30" s="59"/>
      <c r="G30" s="59"/>
    </row>
    <row r="31" spans="1:7" x14ac:dyDescent="0.3">
      <c r="A31" s="52"/>
      <c r="B31" s="55"/>
      <c r="C31" s="55"/>
      <c r="D31" s="55"/>
      <c r="F31" s="59"/>
      <c r="G31" s="59"/>
    </row>
    <row r="32" spans="1:7" x14ac:dyDescent="0.3">
      <c r="A32" s="53" t="s">
        <v>157</v>
      </c>
      <c r="B32" s="55"/>
      <c r="C32" s="55"/>
      <c r="D32" s="55"/>
      <c r="F32" s="59"/>
      <c r="G32" s="59"/>
    </row>
    <row r="33" spans="1:10" x14ac:dyDescent="0.3">
      <c r="A33" s="52"/>
      <c r="B33" s="55"/>
      <c r="C33" s="55"/>
      <c r="D33" s="55"/>
      <c r="F33" s="59"/>
      <c r="G33" s="59"/>
    </row>
    <row r="34" spans="1:10" x14ac:dyDescent="0.3">
      <c r="A34" s="56" t="s">
        <v>158</v>
      </c>
      <c r="B34" s="57">
        <v>936</v>
      </c>
      <c r="C34" s="55">
        <f t="shared" ref="C34:C37" si="2">B34*4.5</f>
        <v>4212</v>
      </c>
      <c r="D34" s="57" t="s">
        <v>159</v>
      </c>
      <c r="F34" s="59">
        <f>1.7*253*160</f>
        <v>68816</v>
      </c>
      <c r="G34" s="60"/>
      <c r="J34" s="61" t="s">
        <v>160</v>
      </c>
    </row>
    <row r="35" spans="1:10" x14ac:dyDescent="0.3">
      <c r="A35" s="56" t="s">
        <v>161</v>
      </c>
      <c r="B35" s="57">
        <v>49</v>
      </c>
      <c r="C35" s="55">
        <f t="shared" si="2"/>
        <v>220.5</v>
      </c>
      <c r="D35" s="57" t="s">
        <v>162</v>
      </c>
      <c r="F35" s="60"/>
      <c r="G35">
        <f>365*2.2</f>
        <v>803.00000000000011</v>
      </c>
      <c r="J35" s="62" t="s">
        <v>163</v>
      </c>
    </row>
    <row r="36" spans="1:10" x14ac:dyDescent="0.3">
      <c r="A36" s="56" t="s">
        <v>164</v>
      </c>
      <c r="B36" s="57">
        <v>95</v>
      </c>
      <c r="C36" s="55">
        <f t="shared" si="2"/>
        <v>427.5</v>
      </c>
      <c r="D36" s="57" t="s">
        <v>165</v>
      </c>
      <c r="F36" s="60"/>
      <c r="G36" s="60"/>
      <c r="J36" s="62" t="s">
        <v>166</v>
      </c>
    </row>
    <row r="37" spans="1:10" x14ac:dyDescent="0.3">
      <c r="A37" s="56" t="s">
        <v>136</v>
      </c>
      <c r="B37" s="57">
        <v>16</v>
      </c>
      <c r="C37" s="55">
        <f t="shared" si="2"/>
        <v>72</v>
      </c>
      <c r="D37" s="57" t="s">
        <v>167</v>
      </c>
      <c r="F37" s="59">
        <f>1.7*253*8</f>
        <v>3440.7999999999997</v>
      </c>
      <c r="G37" s="60"/>
      <c r="J37" s="62" t="s">
        <v>168</v>
      </c>
    </row>
    <row r="38" spans="1:10" x14ac:dyDescent="0.3">
      <c r="A38" s="52"/>
      <c r="B38" s="55"/>
      <c r="C38" s="55"/>
      <c r="D38" s="55"/>
      <c r="F38" s="59"/>
      <c r="G38" s="59"/>
      <c r="J38" s="62" t="s">
        <v>169</v>
      </c>
    </row>
    <row r="39" spans="1:10" x14ac:dyDescent="0.3">
      <c r="A39" s="52"/>
      <c r="B39" s="55"/>
      <c r="C39" s="55"/>
      <c r="D39" s="55"/>
      <c r="F39" s="59"/>
      <c r="G39" s="59"/>
      <c r="J39" s="62" t="s">
        <v>170</v>
      </c>
    </row>
    <row r="40" spans="1:10" x14ac:dyDescent="0.3">
      <c r="A40" s="53" t="s">
        <v>171</v>
      </c>
      <c r="B40" s="55"/>
      <c r="C40" s="55"/>
      <c r="D40" s="55"/>
      <c r="F40" s="59"/>
      <c r="G40" s="59"/>
      <c r="J40" s="62" t="s">
        <v>172</v>
      </c>
    </row>
    <row r="41" spans="1:10" x14ac:dyDescent="0.3">
      <c r="A41" s="52"/>
      <c r="B41" s="55"/>
      <c r="C41" s="55"/>
      <c r="D41" s="55"/>
      <c r="F41" s="59"/>
      <c r="G41" s="59"/>
      <c r="J41" s="62" t="s">
        <v>173</v>
      </c>
    </row>
    <row r="42" spans="1:10" x14ac:dyDescent="0.3">
      <c r="A42" s="56" t="s">
        <v>158</v>
      </c>
      <c r="B42" s="57">
        <v>936</v>
      </c>
      <c r="C42" s="55">
        <f t="shared" ref="C42:C45" si="3">B42*4.5</f>
        <v>4212</v>
      </c>
      <c r="D42" s="57" t="s">
        <v>159</v>
      </c>
      <c r="F42" s="59">
        <f>1.7*253*160</f>
        <v>68816</v>
      </c>
      <c r="G42" s="60"/>
    </row>
    <row r="43" spans="1:10" x14ac:dyDescent="0.3">
      <c r="A43" s="56" t="s">
        <v>161</v>
      </c>
      <c r="B43" s="57">
        <v>49</v>
      </c>
      <c r="C43" s="55">
        <f t="shared" si="3"/>
        <v>220.5</v>
      </c>
      <c r="D43" s="57" t="s">
        <v>162</v>
      </c>
      <c r="F43" s="60"/>
      <c r="G43">
        <f>365*2.2</f>
        <v>803.00000000000011</v>
      </c>
      <c r="J43" s="61" t="s">
        <v>174</v>
      </c>
    </row>
    <row r="44" spans="1:10" x14ac:dyDescent="0.3">
      <c r="A44" s="56" t="s">
        <v>164</v>
      </c>
      <c r="B44" s="57">
        <v>95</v>
      </c>
      <c r="C44" s="55">
        <f t="shared" si="3"/>
        <v>427.5</v>
      </c>
      <c r="D44" s="57" t="s">
        <v>165</v>
      </c>
      <c r="F44" s="60"/>
      <c r="G44" s="60"/>
      <c r="J44" s="62" t="s">
        <v>175</v>
      </c>
    </row>
    <row r="45" spans="1:10" x14ac:dyDescent="0.3">
      <c r="A45" s="56" t="s">
        <v>136</v>
      </c>
      <c r="B45" s="57">
        <v>16</v>
      </c>
      <c r="C45" s="55">
        <f t="shared" si="3"/>
        <v>72</v>
      </c>
      <c r="D45" s="57" t="s">
        <v>167</v>
      </c>
      <c r="F45" s="59">
        <f>1.7*253*8</f>
        <v>3440.7999999999997</v>
      </c>
      <c r="G45" s="60"/>
    </row>
    <row r="46" spans="1:10" x14ac:dyDescent="0.3">
      <c r="A46" s="52"/>
      <c r="B46" s="55"/>
      <c r="C46" s="55"/>
      <c r="D46" s="55"/>
      <c r="F46" s="59"/>
      <c r="G46" s="59"/>
    </row>
    <row r="47" spans="1:10" x14ac:dyDescent="0.3">
      <c r="A47" s="52"/>
      <c r="B47" s="55"/>
      <c r="C47" s="55"/>
      <c r="D47" s="55"/>
      <c r="F47" s="59"/>
      <c r="G47" s="59"/>
    </row>
    <row r="48" spans="1:10" x14ac:dyDescent="0.3">
      <c r="A48" s="53" t="s">
        <v>176</v>
      </c>
      <c r="B48" s="55"/>
      <c r="C48" s="55"/>
      <c r="D48" s="55"/>
      <c r="F48" s="59"/>
      <c r="G48" s="59"/>
    </row>
    <row r="49" spans="1:10" x14ac:dyDescent="0.3">
      <c r="B49" s="55"/>
      <c r="C49" s="55"/>
      <c r="D49" s="55"/>
      <c r="F49" s="59"/>
      <c r="G49" s="59"/>
    </row>
    <row r="50" spans="1:10" x14ac:dyDescent="0.3">
      <c r="A50" s="56" t="s">
        <v>177</v>
      </c>
      <c r="B50" s="57">
        <v>300</v>
      </c>
      <c r="C50" s="55">
        <f t="shared" ref="C50:C58" si="4">B50*4.5</f>
        <v>1350</v>
      </c>
      <c r="D50" s="57" t="s">
        <v>146</v>
      </c>
      <c r="F50" s="60"/>
      <c r="G50" s="60"/>
    </row>
    <row r="51" spans="1:10" x14ac:dyDescent="0.3">
      <c r="A51" s="56" t="s">
        <v>178</v>
      </c>
      <c r="B51" s="57">
        <v>84</v>
      </c>
      <c r="C51" s="55">
        <f t="shared" si="4"/>
        <v>378</v>
      </c>
      <c r="D51" s="57" t="s">
        <v>179</v>
      </c>
      <c r="F51" s="59">
        <f>1.7*253*14</f>
        <v>6021.4</v>
      </c>
      <c r="G51" s="60"/>
    </row>
    <row r="52" spans="1:10" x14ac:dyDescent="0.3">
      <c r="A52" s="56" t="s">
        <v>180</v>
      </c>
      <c r="B52" s="57">
        <v>84</v>
      </c>
      <c r="C52" s="55">
        <f t="shared" si="4"/>
        <v>378</v>
      </c>
      <c r="D52" s="57" t="s">
        <v>181</v>
      </c>
      <c r="F52" s="60"/>
      <c r="G52" s="60"/>
    </row>
    <row r="53" spans="1:10" x14ac:dyDescent="0.3">
      <c r="A53" s="56" t="s">
        <v>182</v>
      </c>
      <c r="B53" s="57">
        <v>49</v>
      </c>
      <c r="C53" s="55">
        <f t="shared" si="4"/>
        <v>220.5</v>
      </c>
      <c r="D53" s="57" t="s">
        <v>183</v>
      </c>
      <c r="F53" s="60"/>
      <c r="G53" s="60"/>
      <c r="J53" t="s">
        <v>184</v>
      </c>
    </row>
    <row r="54" spans="1:10" x14ac:dyDescent="0.3">
      <c r="A54" s="56" t="s">
        <v>185</v>
      </c>
      <c r="B54" s="57">
        <v>35</v>
      </c>
      <c r="C54" s="55">
        <f t="shared" si="4"/>
        <v>157.5</v>
      </c>
      <c r="D54" s="57" t="s">
        <v>186</v>
      </c>
      <c r="F54" s="60"/>
      <c r="G54" s="60"/>
    </row>
    <row r="55" spans="1:10" x14ac:dyDescent="0.3">
      <c r="A55" s="56" t="s">
        <v>187</v>
      </c>
      <c r="B55" s="57">
        <v>42</v>
      </c>
      <c r="C55" s="55">
        <f t="shared" si="4"/>
        <v>189</v>
      </c>
      <c r="D55" s="57" t="s">
        <v>188</v>
      </c>
      <c r="F55" s="59">
        <f>1.7*253*42</f>
        <v>18064.199999999997</v>
      </c>
      <c r="G55" s="60"/>
    </row>
    <row r="56" spans="1:10" x14ac:dyDescent="0.3">
      <c r="A56" s="56" t="s">
        <v>189</v>
      </c>
      <c r="B56" s="57">
        <v>35</v>
      </c>
      <c r="C56" s="55">
        <f t="shared" si="4"/>
        <v>157.5</v>
      </c>
      <c r="D56" s="57" t="s">
        <v>186</v>
      </c>
      <c r="F56" s="60"/>
      <c r="G56" s="60"/>
    </row>
    <row r="57" spans="1:10" x14ac:dyDescent="0.3">
      <c r="A57" s="56" t="s">
        <v>190</v>
      </c>
      <c r="B57" s="57">
        <v>49</v>
      </c>
      <c r="C57" s="55">
        <f t="shared" si="4"/>
        <v>220.5</v>
      </c>
      <c r="D57" s="57" t="s">
        <v>142</v>
      </c>
      <c r="F57" s="60"/>
      <c r="G57" s="60"/>
    </row>
    <row r="58" spans="1:10" x14ac:dyDescent="0.3">
      <c r="A58" s="56" t="s">
        <v>149</v>
      </c>
      <c r="B58" s="57">
        <v>300</v>
      </c>
      <c r="C58" s="55">
        <f t="shared" si="4"/>
        <v>1350</v>
      </c>
      <c r="D58" s="57" t="s">
        <v>144</v>
      </c>
      <c r="F58" s="60"/>
      <c r="G58" s="60"/>
    </row>
    <row r="59" spans="1:10" x14ac:dyDescent="0.3">
      <c r="B59" s="55"/>
      <c r="C59" s="55"/>
      <c r="D59" s="55"/>
      <c r="F59" s="59"/>
      <c r="G59" s="59"/>
    </row>
    <row r="60" spans="1:10" x14ac:dyDescent="0.3">
      <c r="B60" s="55"/>
      <c r="C60" s="55"/>
      <c r="D60" s="55"/>
      <c r="F60" s="59"/>
      <c r="G60" s="59"/>
    </row>
    <row r="61" spans="1:10" x14ac:dyDescent="0.3">
      <c r="A61" s="58" t="s">
        <v>191</v>
      </c>
      <c r="B61" s="55"/>
      <c r="C61" s="55"/>
      <c r="D61" s="55"/>
      <c r="F61" s="59"/>
      <c r="G61" s="59"/>
    </row>
    <row r="62" spans="1:10" x14ac:dyDescent="0.3">
      <c r="B62" s="55"/>
      <c r="C62" s="55"/>
      <c r="D62" s="55"/>
      <c r="F62" s="59"/>
      <c r="G62" s="59"/>
    </row>
    <row r="63" spans="1:10" x14ac:dyDescent="0.3">
      <c r="A63" s="56" t="s">
        <v>192</v>
      </c>
      <c r="B63" s="57">
        <v>300</v>
      </c>
      <c r="C63" s="55">
        <f t="shared" ref="C63:C71" si="5">B63*4.5</f>
        <v>1350</v>
      </c>
      <c r="D63" s="57" t="s">
        <v>146</v>
      </c>
      <c r="F63" s="59">
        <f>1.7*253*15</f>
        <v>6451.4999999999991</v>
      </c>
      <c r="G63" s="60"/>
    </row>
    <row r="64" spans="1:10" x14ac:dyDescent="0.3">
      <c r="A64" s="56" t="s">
        <v>178</v>
      </c>
      <c r="B64" s="57">
        <v>84</v>
      </c>
      <c r="C64" s="55">
        <f t="shared" si="5"/>
        <v>378</v>
      </c>
      <c r="D64" s="57" t="s">
        <v>179</v>
      </c>
      <c r="F64" s="59">
        <f>1.7*253*14</f>
        <v>6021.4</v>
      </c>
      <c r="G64" s="60"/>
    </row>
    <row r="65" spans="1:7" x14ac:dyDescent="0.3">
      <c r="A65" s="56" t="s">
        <v>180</v>
      </c>
      <c r="B65" s="57">
        <v>84</v>
      </c>
      <c r="C65" s="55">
        <f t="shared" si="5"/>
        <v>378</v>
      </c>
      <c r="D65" s="57" t="s">
        <v>181</v>
      </c>
      <c r="F65" s="60"/>
      <c r="G65" s="60"/>
    </row>
    <row r="66" spans="1:7" x14ac:dyDescent="0.3">
      <c r="A66" s="56" t="s">
        <v>182</v>
      </c>
      <c r="B66" s="57">
        <v>49</v>
      </c>
      <c r="C66" s="55">
        <f t="shared" si="5"/>
        <v>220.5</v>
      </c>
      <c r="D66" s="57" t="s">
        <v>183</v>
      </c>
      <c r="F66" s="60"/>
      <c r="G66" s="60"/>
    </row>
    <row r="67" spans="1:7" x14ac:dyDescent="0.3">
      <c r="A67" s="56" t="s">
        <v>193</v>
      </c>
      <c r="B67" s="57">
        <v>35</v>
      </c>
      <c r="C67" s="55">
        <f t="shared" si="5"/>
        <v>157.5</v>
      </c>
      <c r="D67" s="57" t="s">
        <v>186</v>
      </c>
      <c r="F67" s="60"/>
      <c r="G67" s="60"/>
    </row>
    <row r="68" spans="1:7" x14ac:dyDescent="0.3">
      <c r="A68" s="56" t="s">
        <v>187</v>
      </c>
      <c r="B68" s="57">
        <v>42</v>
      </c>
      <c r="C68" s="55">
        <f t="shared" si="5"/>
        <v>189</v>
      </c>
      <c r="D68" s="57" t="s">
        <v>188</v>
      </c>
      <c r="F68" s="59">
        <f>1.7*253*42</f>
        <v>18064.199999999997</v>
      </c>
      <c r="G68" s="60"/>
    </row>
    <row r="69" spans="1:7" x14ac:dyDescent="0.3">
      <c r="A69" s="56" t="s">
        <v>194</v>
      </c>
      <c r="B69" s="57">
        <v>35</v>
      </c>
      <c r="C69" s="55">
        <f t="shared" si="5"/>
        <v>157.5</v>
      </c>
      <c r="D69" s="57" t="s">
        <v>186</v>
      </c>
      <c r="F69" s="60"/>
      <c r="G69" s="60"/>
    </row>
    <row r="70" spans="1:7" x14ac:dyDescent="0.3">
      <c r="A70" s="56" t="s">
        <v>190</v>
      </c>
      <c r="B70" s="57">
        <v>49</v>
      </c>
      <c r="C70" s="55">
        <f t="shared" si="5"/>
        <v>220.5</v>
      </c>
      <c r="D70" s="57" t="s">
        <v>142</v>
      </c>
      <c r="F70" s="60"/>
      <c r="G70" s="60"/>
    </row>
    <row r="71" spans="1:7" x14ac:dyDescent="0.3">
      <c r="A71" s="56" t="s">
        <v>149</v>
      </c>
      <c r="B71" s="57">
        <v>300</v>
      </c>
      <c r="C71" s="55">
        <f t="shared" si="5"/>
        <v>1350</v>
      </c>
      <c r="D71" s="57" t="s">
        <v>144</v>
      </c>
      <c r="F71" s="60"/>
      <c r="G71" s="60"/>
    </row>
    <row r="73" spans="1:7" x14ac:dyDescent="0.3">
      <c r="A73" t="s">
        <v>195</v>
      </c>
      <c r="F73" s="59">
        <f t="shared" ref="F73" si="6">SUM(F10:F71)</f>
        <v>309444.2</v>
      </c>
      <c r="G73" s="59">
        <f>SUM(G10:G71)</f>
        <v>31966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F47EF-2258-3F4E-96DB-FAF2137D19EF}">
  <dimension ref="A1"/>
  <sheetViews>
    <sheetView workbookViewId="0">
      <selection activeCell="O78" sqref="O78"/>
    </sheetView>
  </sheetViews>
  <sheetFormatPr defaultColWidth="11.44140625"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DC04-14EE-0840-A3F3-D9E4E658729A}">
  <dimension ref="A2:I20"/>
  <sheetViews>
    <sheetView workbookViewId="0">
      <selection activeCell="I23" sqref="I23"/>
    </sheetView>
  </sheetViews>
  <sheetFormatPr defaultColWidth="11.44140625" defaultRowHeight="14.4" x14ac:dyDescent="0.3"/>
  <cols>
    <col min="1" max="1" width="11.33203125" customWidth="1"/>
    <col min="9" max="9" width="13.88671875" customWidth="1"/>
  </cols>
  <sheetData>
    <row r="2" spans="1:9" x14ac:dyDescent="0.3">
      <c r="A2" t="s">
        <v>196</v>
      </c>
    </row>
    <row r="9" spans="1:9" x14ac:dyDescent="0.3">
      <c r="A9" s="61" t="s">
        <v>197</v>
      </c>
    </row>
    <row r="10" spans="1:9" x14ac:dyDescent="0.3">
      <c r="A10" t="s">
        <v>198</v>
      </c>
      <c r="B10" t="s">
        <v>199</v>
      </c>
      <c r="C10" t="s">
        <v>200</v>
      </c>
      <c r="D10" t="s">
        <v>111</v>
      </c>
      <c r="E10" t="s">
        <v>201</v>
      </c>
      <c r="F10" t="s">
        <v>202</v>
      </c>
      <c r="G10" t="s">
        <v>203</v>
      </c>
      <c r="I10" t="s">
        <v>204</v>
      </c>
    </row>
    <row r="11" spans="1:9" x14ac:dyDescent="0.3">
      <c r="A11">
        <f>(406875.9889*238)/1000</f>
        <v>96836.485358199992</v>
      </c>
      <c r="B11">
        <f>(31966*238)/1000</f>
        <v>7607.9080000000004</v>
      </c>
      <c r="C11">
        <f>(29062.57064*238)/1000</f>
        <v>6916.8918123200001</v>
      </c>
      <c r="D11">
        <f>(309444.2*238)/1000</f>
        <v>73647.719600000011</v>
      </c>
      <c r="E11">
        <f>(77500.18837*238)/1000</f>
        <v>18445.044832060001</v>
      </c>
      <c r="F11">
        <f>(116250.2826*238)/1000</f>
        <v>27667.567258800002</v>
      </c>
      <c r="G11">
        <f>(58125.14128*238)/1000</f>
        <v>13833.78362464</v>
      </c>
      <c r="I11">
        <f>SUM(A11:G11)</f>
        <v>244955.40048601999</v>
      </c>
    </row>
    <row r="15" spans="1:9" x14ac:dyDescent="0.3">
      <c r="A15" s="61" t="s">
        <v>205</v>
      </c>
    </row>
    <row r="16" spans="1:9" x14ac:dyDescent="0.3">
      <c r="A16" t="s">
        <v>198</v>
      </c>
      <c r="B16" t="s">
        <v>199</v>
      </c>
      <c r="C16" t="s">
        <v>200</v>
      </c>
      <c r="D16" t="s">
        <v>111</v>
      </c>
      <c r="E16" t="s">
        <v>201</v>
      </c>
      <c r="F16" t="s">
        <v>202</v>
      </c>
      <c r="G16" t="s">
        <v>203</v>
      </c>
      <c r="I16" t="s">
        <v>204</v>
      </c>
    </row>
    <row r="17" spans="1:9" x14ac:dyDescent="0.3">
      <c r="A17">
        <f>(73237.678*238)/1000</f>
        <v>17430.567363999999</v>
      </c>
      <c r="B17">
        <f>(31966*238)/1000</f>
        <v>7607.9080000000004</v>
      </c>
      <c r="C17">
        <f>(19809.04814*238)/1000</f>
        <v>4714.5534573200002</v>
      </c>
      <c r="D17">
        <f>(232083.15*238)/1000</f>
        <v>55235.789699999994</v>
      </c>
      <c r="E17">
        <f>(22709.1052*238)/1000</f>
        <v>5404.7670376000005</v>
      </c>
      <c r="F17">
        <f>(18845.3938*238)/1000</f>
        <v>4485.2037244000003</v>
      </c>
      <c r="G17">
        <f>(26202.8137*238)/1000</f>
        <v>6236.2696606</v>
      </c>
      <c r="I17">
        <f>SUM(A17:G17)</f>
        <v>101115.05894391998</v>
      </c>
    </row>
    <row r="19" spans="1:9" x14ac:dyDescent="0.3">
      <c r="A19" t="s">
        <v>206</v>
      </c>
    </row>
    <row r="20" spans="1:9" x14ac:dyDescent="0.3">
      <c r="A20">
        <f>I11-I17</f>
        <v>143840.34154210001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FE7F-0AD9-4F4C-9988-1EDEA3739F1D}">
  <dimension ref="A1"/>
  <sheetViews>
    <sheetView zoomScale="90" workbookViewId="0">
      <selection activeCell="H105" sqref="H105"/>
    </sheetView>
  </sheetViews>
  <sheetFormatPr defaultColWidth="11.44140625"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0B28-8572-9F4D-AD3C-8B8F771C2F22}">
  <dimension ref="A1:A81"/>
  <sheetViews>
    <sheetView workbookViewId="0">
      <selection activeCell="A82" sqref="A82"/>
    </sheetView>
  </sheetViews>
  <sheetFormatPr defaultColWidth="11.44140625" defaultRowHeight="14.4" x14ac:dyDescent="0.3"/>
  <sheetData>
    <row r="1" spans="1:1" x14ac:dyDescent="0.3">
      <c r="A1" s="61" t="s">
        <v>207</v>
      </c>
    </row>
    <row r="81" spans="1:1" x14ac:dyDescent="0.3">
      <c r="A81" s="61" t="s">
        <v>208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4abaec-1e8c-4e88-81fb-90f457645965" xsi:nil="true"/>
    <DESCRIPTION xmlns="0b6464cd-650f-4f8c-9e8a-87282f0d94c9" xsi:nil="true"/>
    <lcf76f155ced4ddcb4097134ff3c332f xmlns="0b6464cd-650f-4f8c-9e8a-87282f0d94c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4E45B0504B4D4493082F86C5A7E751" ma:contentTypeVersion="13" ma:contentTypeDescription="Create a new document." ma:contentTypeScope="" ma:versionID="db04d42a6716022b0b20f68ed6733a53">
  <xsd:schema xmlns:xsd="http://www.w3.org/2001/XMLSchema" xmlns:xs="http://www.w3.org/2001/XMLSchema" xmlns:p="http://schemas.microsoft.com/office/2006/metadata/properties" xmlns:ns2="0b6464cd-650f-4f8c-9e8a-87282f0d94c9" xmlns:ns3="6a4abaec-1e8c-4e88-81fb-90f457645965" targetNamespace="http://schemas.microsoft.com/office/2006/metadata/properties" ma:root="true" ma:fieldsID="e2ea7c12a5a608552151152ad6ad48f7" ns2:_="" ns3:_="">
    <xsd:import namespace="0b6464cd-650f-4f8c-9e8a-87282f0d94c9"/>
    <xsd:import namespace="6a4abaec-1e8c-4e88-81fb-90f4576459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464cd-650f-4f8c-9e8a-87282f0d94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a7a97d3-a1e8-4e72-aadf-490c0711cb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DESCRIPTION" ma:index="20" nillable="true" ma:displayName="DESCRIPTION" ma:format="Dropdown" ma:internalName="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4abaec-1e8c-4e88-81fb-90f4576459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3c95b7-6bb5-40f1-86df-523a029ab75f}" ma:internalName="TaxCatchAll" ma:showField="CatchAllData" ma:web="6a4abaec-1e8c-4e88-81fb-90f4576459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AEC344-CA76-4BE7-A284-7CF2D75EC6AD}">
  <ds:schemaRefs>
    <ds:schemaRef ds:uri="http://schemas.microsoft.com/office/2006/documentManagement/types"/>
    <ds:schemaRef ds:uri="http://purl.org/dc/terms/"/>
    <ds:schemaRef ds:uri="http://purl.org/dc/dcmitype/"/>
    <ds:schemaRef ds:uri="0b6464cd-650f-4f8c-9e8a-87282f0d94c9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6a4abaec-1e8c-4e88-81fb-90f457645965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FEC84F4-4635-45B8-B6D6-B6C182EC6F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FDA1F9-756E-4778-8650-5489DCC07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6464cd-650f-4f8c-9e8a-87282f0d94c9"/>
    <ds:schemaRef ds:uri="6a4abaec-1e8c-4e88-81fb-90f4576459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Water Baseline</vt:lpstr>
      <vt:lpstr>Water Intervention</vt:lpstr>
      <vt:lpstr>Energy Baseline </vt:lpstr>
      <vt:lpstr>Energy Intervention</vt:lpstr>
      <vt:lpstr>Carbon Emission</vt:lpstr>
      <vt:lpstr>Costs</vt:lpstr>
      <vt:lpstr>Solar Panels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Ethan Matuki Nyambu (UG)</dc:creator>
  <cp:keywords/>
  <dc:description/>
  <cp:lastModifiedBy>Ethan Matuki Nyambu (UG)</cp:lastModifiedBy>
  <cp:revision/>
  <dcterms:created xsi:type="dcterms:W3CDTF">2025-04-29T20:40:45Z</dcterms:created>
  <dcterms:modified xsi:type="dcterms:W3CDTF">2025-05-02T10:50:16Z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0x0101003B4E45B0504B4D4493082F86C5A7E751</vt:lpwstr>
  </property>
  <property fmtid="{D5CDD505-2E9C-101B-9397-08002B2CF9AE}" pid="3" name="MediaServiceImageTags">
    <vt:lpwstr/>
  </property>
</Properties>
</file>