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oensacadora\AppData\Local\Microsoft\Windows\INetCache\Content.Outlook\NIYDP1DR\"/>
    </mc:Choice>
  </mc:AlternateContent>
  <bookViews>
    <workbookView xWindow="0" yWindow="0" windowWidth="19200" windowHeight="8790" tabRatio="783" firstSheet="192" activeTab="207"/>
  </bookViews>
  <sheets>
    <sheet name="18" sheetId="2" r:id="rId1"/>
    <sheet name="19" sheetId="6" r:id="rId2"/>
    <sheet name="20" sheetId="7" r:id="rId3"/>
    <sheet name="21" sheetId="8" r:id="rId4"/>
    <sheet name="22" sheetId="9" r:id="rId5"/>
    <sheet name="25" sheetId="10" r:id="rId6"/>
    <sheet name="26" sheetId="11" r:id="rId7"/>
    <sheet name="27" sheetId="12" r:id="rId8"/>
    <sheet name="28" sheetId="13" r:id="rId9"/>
    <sheet name="29" sheetId="14" r:id="rId10"/>
    <sheet name="01.06" sheetId="15" r:id="rId11"/>
    <sheet name="02.06" sheetId="16" r:id="rId12"/>
    <sheet name="03.06" sheetId="17" r:id="rId13"/>
    <sheet name="08.06" sheetId="18" r:id="rId14"/>
    <sheet name="09.06" sheetId="19" r:id="rId15"/>
    <sheet name="10.06" sheetId="20" r:id="rId16"/>
    <sheet name="11.06" sheetId="21" r:id="rId17"/>
    <sheet name="12.06" sheetId="22" r:id="rId18"/>
    <sheet name="15.06" sheetId="23" r:id="rId19"/>
    <sheet name="16.06" sheetId="24" r:id="rId20"/>
    <sheet name="17.06" sheetId="25" r:id="rId21"/>
    <sheet name="18.06" sheetId="26" r:id="rId22"/>
    <sheet name="19.06" sheetId="27" r:id="rId23"/>
    <sheet name="22.06" sheetId="28" r:id="rId24"/>
    <sheet name="23.06" sheetId="29" r:id="rId25"/>
    <sheet name="24.06" sheetId="30" r:id="rId26"/>
    <sheet name="26.06" sheetId="31" r:id="rId27"/>
    <sheet name="29.06" sheetId="32" r:id="rId28"/>
    <sheet name="30.06" sheetId="33" r:id="rId29"/>
    <sheet name="01.07" sheetId="36" r:id="rId30"/>
    <sheet name="02.07" sheetId="37" r:id="rId31"/>
    <sheet name="Hoja4" sheetId="38" r:id="rId32"/>
    <sheet name="06.07" sheetId="39" r:id="rId33"/>
    <sheet name="09.07" sheetId="40" r:id="rId34"/>
    <sheet name="10.07" sheetId="41" r:id="rId35"/>
    <sheet name="13.07" sheetId="42" r:id="rId36"/>
    <sheet name="14.07" sheetId="43" r:id="rId37"/>
    <sheet name="15.07" sheetId="44" r:id="rId38"/>
    <sheet name="16.07" sheetId="45" r:id="rId39"/>
    <sheet name="17.07" sheetId="46" r:id="rId40"/>
    <sheet name="20.07" sheetId="47" r:id="rId41"/>
    <sheet name="21.07" sheetId="48" r:id="rId42"/>
    <sheet name="23.07" sheetId="49" r:id="rId43"/>
    <sheet name="24.07" sheetId="50" r:id="rId44"/>
    <sheet name="29.07" sheetId="51" r:id="rId45"/>
    <sheet name="30.07" sheetId="52" r:id="rId46"/>
    <sheet name="31.07" sheetId="53" r:id="rId47"/>
    <sheet name="03.08" sheetId="54" r:id="rId48"/>
    <sheet name="04.08" sheetId="55" r:id="rId49"/>
    <sheet name="05.08" sheetId="56" r:id="rId50"/>
    <sheet name="06.08" sheetId="57" r:id="rId51"/>
    <sheet name="07.08" sheetId="58" r:id="rId52"/>
    <sheet name="10.08" sheetId="59" r:id="rId53"/>
    <sheet name="12.08" sheetId="60" r:id="rId54"/>
    <sheet name="13.08" sheetId="61" r:id="rId55"/>
    <sheet name="17.08" sheetId="62" r:id="rId56"/>
    <sheet name="18.08" sheetId="63" r:id="rId57"/>
    <sheet name="19.08" sheetId="64" r:id="rId58"/>
    <sheet name="21.08" sheetId="65" r:id="rId59"/>
    <sheet name="24.08" sheetId="66" r:id="rId60"/>
    <sheet name="25.08" sheetId="67" r:id="rId61"/>
    <sheet name="26.08" sheetId="68" r:id="rId62"/>
    <sheet name="27.08" sheetId="69" r:id="rId63"/>
    <sheet name="31.08" sheetId="70" r:id="rId64"/>
    <sheet name="01.09" sheetId="71" r:id="rId65"/>
    <sheet name="02.09" sheetId="72" r:id="rId66"/>
    <sheet name="03.09" sheetId="73" r:id="rId67"/>
    <sheet name="04.09" sheetId="74" r:id="rId68"/>
    <sheet name="07.09" sheetId="75" r:id="rId69"/>
    <sheet name="08.09" sheetId="76" r:id="rId70"/>
    <sheet name="09.09" sheetId="77" r:id="rId71"/>
    <sheet name="10.09" sheetId="78" r:id="rId72"/>
    <sheet name="11.09" sheetId="79" r:id="rId73"/>
    <sheet name="14.09" sheetId="80" r:id="rId74"/>
    <sheet name="15.09" sheetId="81" r:id="rId75"/>
    <sheet name="16.09" sheetId="82" r:id="rId76"/>
    <sheet name="17.09" sheetId="83" r:id="rId77"/>
    <sheet name="18.09" sheetId="84" r:id="rId78"/>
    <sheet name="21.09" sheetId="85" r:id="rId79"/>
    <sheet name="22.09" sheetId="86" r:id="rId80"/>
    <sheet name="Hoja1" sheetId="87" r:id="rId81"/>
    <sheet name="Hoja2" sheetId="88" r:id="rId82"/>
    <sheet name="25.09" sheetId="89" r:id="rId83"/>
    <sheet name="28.09" sheetId="90" r:id="rId84"/>
    <sheet name="29.09" sheetId="91" r:id="rId85"/>
    <sheet name="30.09" sheetId="92" r:id="rId86"/>
    <sheet name="01.10" sheetId="93" r:id="rId87"/>
    <sheet name="02.10" sheetId="94" r:id="rId88"/>
    <sheet name="05.10" sheetId="95" r:id="rId89"/>
    <sheet name="06.10" sheetId="96" r:id="rId90"/>
    <sheet name="08.10" sheetId="97" r:id="rId91"/>
    <sheet name="09.10" sheetId="98" r:id="rId92"/>
    <sheet name="13.10" sheetId="99" r:id="rId93"/>
    <sheet name="14.10" sheetId="100" r:id="rId94"/>
    <sheet name="15.10" sheetId="101" r:id="rId95"/>
    <sheet name="16.10" sheetId="102" r:id="rId96"/>
    <sheet name="19.10" sheetId="103" r:id="rId97"/>
    <sheet name="20.10" sheetId="104" r:id="rId98"/>
    <sheet name="21.10" sheetId="105" r:id="rId99"/>
    <sheet name="22.10" sheetId="106" r:id="rId100"/>
    <sheet name="23.10" sheetId="107" r:id="rId101"/>
    <sheet name="Hoja3" sheetId="108" r:id="rId102"/>
    <sheet name="28.10" sheetId="109" r:id="rId103"/>
    <sheet name="29.10" sheetId="110" r:id="rId104"/>
    <sheet name="30.10" sheetId="111" r:id="rId105"/>
    <sheet name="Hoja5" sheetId="112" r:id="rId106"/>
    <sheet name="03.11" sheetId="113" r:id="rId107"/>
    <sheet name="04.11" sheetId="114" r:id="rId108"/>
    <sheet name="05.11" sheetId="115" r:id="rId109"/>
    <sheet name="06.11" sheetId="116" r:id="rId110"/>
    <sheet name="09.11" sheetId="117" r:id="rId111"/>
    <sheet name="10.11" sheetId="118" r:id="rId112"/>
    <sheet name="Hoja7" sheetId="119" r:id="rId113"/>
    <sheet name="Hoja8" sheetId="120" r:id="rId114"/>
    <sheet name="17.11" sheetId="121" r:id="rId115"/>
    <sheet name="Hoja6" sheetId="122" r:id="rId116"/>
    <sheet name="19.11" sheetId="123" r:id="rId117"/>
    <sheet name="23.11" sheetId="124" r:id="rId118"/>
    <sheet name="24.11" sheetId="125" r:id="rId119"/>
    <sheet name="25.11" sheetId="126" r:id="rId120"/>
    <sheet name="26.11" sheetId="127" r:id="rId121"/>
    <sheet name="27.11" sheetId="128" r:id="rId122"/>
    <sheet name="30.11" sheetId="129" r:id="rId123"/>
    <sheet name="1.12" sheetId="130" r:id="rId124"/>
    <sheet name="2.12" sheetId="131" r:id="rId125"/>
    <sheet name="10.12" sheetId="132" r:id="rId126"/>
    <sheet name="11.12" sheetId="133" r:id="rId127"/>
    <sheet name="14.12" sheetId="134" r:id="rId128"/>
    <sheet name="Hoja9" sheetId="135" r:id="rId129"/>
    <sheet name="16.12" sheetId="136" r:id="rId130"/>
    <sheet name="17.12" sheetId="137" r:id="rId131"/>
    <sheet name="18.12" sheetId="138" r:id="rId132"/>
    <sheet name="21.12" sheetId="140" r:id="rId133"/>
    <sheet name="22.12" sheetId="141" r:id="rId134"/>
    <sheet name="23.12" sheetId="142" r:id="rId135"/>
    <sheet name="28.12" sheetId="143" r:id="rId136"/>
    <sheet name="29.12" sheetId="144" r:id="rId137"/>
    <sheet name="01.01.26" sheetId="146" r:id="rId138"/>
    <sheet name="04.01.26" sheetId="148" r:id="rId139"/>
    <sheet name="05.01.26" sheetId="149" r:id="rId140"/>
    <sheet name="06.01.26" sheetId="150" r:id="rId141"/>
    <sheet name="07.01.26" sheetId="151" r:id="rId142"/>
    <sheet name="08.01.26" sheetId="152" r:id="rId143"/>
    <sheet name="11.01.26" sheetId="153" r:id="rId144"/>
    <sheet name="12.01.26" sheetId="154" r:id="rId145"/>
    <sheet name="13.01.26" sheetId="155" r:id="rId146"/>
    <sheet name="14.01.26" sheetId="156" r:id="rId147"/>
    <sheet name="15.01" sheetId="157" r:id="rId148"/>
    <sheet name="18.01" sheetId="158" r:id="rId149"/>
    <sheet name="19.01" sheetId="159" r:id="rId150"/>
    <sheet name="21.01" sheetId="160" r:id="rId151"/>
    <sheet name="22.01" sheetId="161" r:id="rId152"/>
    <sheet name="25.01" sheetId="162" r:id="rId153"/>
    <sheet name="26.01" sheetId="163" r:id="rId154"/>
    <sheet name="27.01" sheetId="164" r:id="rId155"/>
    <sheet name="28.01" sheetId="165" r:id="rId156"/>
    <sheet name="29.01" sheetId="166" r:id="rId157"/>
    <sheet name="22.02" sheetId="167" r:id="rId158"/>
    <sheet name="23.02" sheetId="168" r:id="rId159"/>
    <sheet name="24.02" sheetId="169" r:id="rId160"/>
    <sheet name="25.02" sheetId="170" r:id="rId161"/>
    <sheet name="26.02" sheetId="171" r:id="rId162"/>
    <sheet name="01.03" sheetId="172" r:id="rId163"/>
    <sheet name="02.03" sheetId="173" r:id="rId164"/>
    <sheet name="03.03" sheetId="174" r:id="rId165"/>
    <sheet name="04.03" sheetId="175" r:id="rId166"/>
    <sheet name="05.03" sheetId="176" r:id="rId167"/>
    <sheet name="08.03" sheetId="177" r:id="rId168"/>
    <sheet name="09.03" sheetId="178" r:id="rId169"/>
    <sheet name="10.03" sheetId="179" r:id="rId170"/>
    <sheet name="12.03" sheetId="180" r:id="rId171"/>
    <sheet name="16.03" sheetId="181" r:id="rId172"/>
    <sheet name="17.03" sheetId="182" r:id="rId173"/>
    <sheet name="18.03" sheetId="183" r:id="rId174"/>
    <sheet name="19.03" sheetId="184" r:id="rId175"/>
    <sheet name="22.03" sheetId="185" r:id="rId176"/>
    <sheet name="23.03" sheetId="186" r:id="rId177"/>
    <sheet name="24.03" sheetId="187" r:id="rId178"/>
    <sheet name="25.03" sheetId="188" r:id="rId179"/>
    <sheet name="26.03" sheetId="189" r:id="rId180"/>
    <sheet name="29.03" sheetId="190" r:id="rId181"/>
    <sheet name="30.03" sheetId="191" r:id="rId182"/>
    <sheet name="31.03" sheetId="192" r:id="rId183"/>
    <sheet name="05.04" sheetId="193" r:id="rId184"/>
    <sheet name="06.04" sheetId="195" r:id="rId185"/>
    <sheet name="08.04" sheetId="196" r:id="rId186"/>
    <sheet name="09.04" sheetId="197" r:id="rId187"/>
    <sheet name="12.04" sheetId="198" r:id="rId188"/>
    <sheet name="13.04" sheetId="199" r:id="rId189"/>
    <sheet name="15.04" sheetId="200" r:id="rId190"/>
    <sheet name="16.04" sheetId="201" r:id="rId191"/>
    <sheet name="19.04" sheetId="202" r:id="rId192"/>
    <sheet name="20.04" sheetId="203" r:id="rId193"/>
    <sheet name="21.04" sheetId="204" r:id="rId194"/>
    <sheet name="22.04" sheetId="205" r:id="rId195"/>
    <sheet name="23.04" sheetId="206" r:id="rId196"/>
    <sheet name="26.04" sheetId="207" r:id="rId197"/>
    <sheet name="27.04" sheetId="208" r:id="rId198"/>
    <sheet name="28.04" sheetId="209" r:id="rId199"/>
    <sheet name="29.04" sheetId="210" r:id="rId200"/>
    <sheet name="03.05" sheetId="211" r:id="rId201"/>
    <sheet name="04.05" sheetId="212" r:id="rId202"/>
    <sheet name="05.05" sheetId="213" r:id="rId203"/>
    <sheet name="06.05" sheetId="214" r:id="rId204"/>
    <sheet name="07.05" sheetId="215" r:id="rId205"/>
    <sheet name="19.05" sheetId="217" r:id="rId206"/>
    <sheet name="20.05" sheetId="218" r:id="rId207"/>
    <sheet name="21.05" sheetId="219" r:id="rId208"/>
    <sheet name="Plan ventas 2026" sheetId="145" r:id="rId209"/>
    <sheet name="DESPACHO POR MATERIAL" sheetId="4" state="hidden" r:id="rId210"/>
  </sheets>
  <definedNames>
    <definedName name="_xlnm._FilterDatabase" localSheetId="0" hidden="1">'18'!#REF!</definedName>
  </definedNames>
  <calcPr calcId="162913"/>
</workbook>
</file>

<file path=xl/calcChain.xml><?xml version="1.0" encoding="utf-8"?>
<calcChain xmlns="http://schemas.openxmlformats.org/spreadsheetml/2006/main">
  <c r="H37" i="219" l="1"/>
  <c r="E27" i="219" l="1"/>
  <c r="J71" i="219"/>
  <c r="K71" i="219" s="1"/>
  <c r="K70" i="219"/>
  <c r="G70" i="219"/>
  <c r="F70" i="219"/>
  <c r="K69" i="219"/>
  <c r="G69" i="219"/>
  <c r="K68" i="219"/>
  <c r="G68" i="219"/>
  <c r="K67" i="219"/>
  <c r="G67" i="219"/>
  <c r="K66" i="219"/>
  <c r="G66" i="219"/>
  <c r="K65" i="219"/>
  <c r="G65" i="219"/>
  <c r="K62" i="219"/>
  <c r="K59" i="219"/>
  <c r="J59" i="219"/>
  <c r="K55" i="219"/>
  <c r="K54" i="219"/>
  <c r="K53" i="219"/>
  <c r="K52" i="219"/>
  <c r="K51" i="219"/>
  <c r="K50" i="219"/>
  <c r="K49" i="219"/>
  <c r="B49" i="219"/>
  <c r="K48" i="219"/>
  <c r="F48" i="219"/>
  <c r="E48" i="219"/>
  <c r="K47" i="219"/>
  <c r="F47" i="219"/>
  <c r="E47" i="219"/>
  <c r="J46" i="219"/>
  <c r="F46" i="219"/>
  <c r="E46" i="219"/>
  <c r="F45" i="219"/>
  <c r="E45" i="219"/>
  <c r="F44" i="219"/>
  <c r="E44" i="219"/>
  <c r="F43" i="219"/>
  <c r="E43" i="219"/>
  <c r="I41" i="219"/>
  <c r="H41" i="219"/>
  <c r="I40" i="219"/>
  <c r="E40" i="219"/>
  <c r="I38" i="219"/>
  <c r="I37" i="219"/>
  <c r="I36" i="219"/>
  <c r="D36" i="219"/>
  <c r="C36" i="219"/>
  <c r="E36" i="219" s="1"/>
  <c r="I35" i="219"/>
  <c r="E35" i="219"/>
  <c r="I34" i="219"/>
  <c r="E34" i="219"/>
  <c r="E33" i="219"/>
  <c r="J31" i="219"/>
  <c r="K31" i="219" s="1"/>
  <c r="I31" i="219"/>
  <c r="J30" i="219"/>
  <c r="K30" i="219" s="1"/>
  <c r="I30" i="219"/>
  <c r="J29" i="219"/>
  <c r="I29" i="219"/>
  <c r="D29" i="219"/>
  <c r="E29" i="219" s="1"/>
  <c r="E30" i="219" s="1"/>
  <c r="J28" i="219"/>
  <c r="I28" i="219"/>
  <c r="H26" i="219"/>
  <c r="G26" i="219"/>
  <c r="K25" i="219"/>
  <c r="J25" i="219"/>
  <c r="K24" i="219"/>
  <c r="J24" i="219"/>
  <c r="K23" i="219"/>
  <c r="J23" i="219"/>
  <c r="K22" i="219"/>
  <c r="J22" i="219"/>
  <c r="K21" i="219"/>
  <c r="J21" i="219"/>
  <c r="K20" i="219"/>
  <c r="J20" i="219"/>
  <c r="K19" i="219"/>
  <c r="J19" i="219"/>
  <c r="J18" i="219"/>
  <c r="I18" i="219"/>
  <c r="I26" i="219" s="1"/>
  <c r="E18" i="219"/>
  <c r="K17" i="219"/>
  <c r="J17" i="219"/>
  <c r="K16" i="219"/>
  <c r="J16" i="219"/>
  <c r="K15" i="219"/>
  <c r="J15" i="219"/>
  <c r="K14" i="219"/>
  <c r="J14" i="219"/>
  <c r="I12" i="219"/>
  <c r="J12" i="219" s="1"/>
  <c r="H12" i="219"/>
  <c r="J11" i="219"/>
  <c r="J10" i="219"/>
  <c r="J9" i="219"/>
  <c r="J8" i="219"/>
  <c r="J7" i="219"/>
  <c r="J6" i="219"/>
  <c r="J5" i="219"/>
  <c r="G3" i="219"/>
  <c r="F3" i="219"/>
  <c r="K2" i="219"/>
  <c r="K3" i="219" s="1"/>
  <c r="J2" i="219"/>
  <c r="I2" i="219"/>
  <c r="I3" i="219" s="1"/>
  <c r="H2" i="219"/>
  <c r="H3" i="219" s="1"/>
  <c r="G2" i="219"/>
  <c r="F2" i="219"/>
  <c r="D23" i="219"/>
  <c r="D4" i="219" s="1"/>
  <c r="E21" i="219" s="1"/>
  <c r="B1" i="219"/>
  <c r="I32" i="219" l="1"/>
  <c r="J32" i="219"/>
  <c r="K32" i="219" s="1"/>
  <c r="E16" i="219"/>
  <c r="E23" i="219"/>
  <c r="E12" i="219"/>
  <c r="E5" i="219"/>
  <c r="E22" i="219"/>
  <c r="E11" i="219"/>
  <c r="E13" i="219"/>
  <c r="E19" i="219"/>
  <c r="E14" i="219"/>
  <c r="E10" i="219"/>
  <c r="E6" i="219"/>
  <c r="E9" i="219"/>
  <c r="E17" i="219"/>
  <c r="E7" i="219"/>
  <c r="E20" i="219"/>
  <c r="E15" i="219"/>
  <c r="E8" i="219"/>
  <c r="J37" i="219"/>
  <c r="D30" i="219"/>
  <c r="J27" i="219"/>
  <c r="K26" i="219"/>
  <c r="K18" i="219"/>
  <c r="J3" i="219"/>
  <c r="H37" i="218" l="1"/>
  <c r="I18" i="218" l="1"/>
  <c r="J71" i="218"/>
  <c r="K71" i="218" s="1"/>
  <c r="K70" i="218"/>
  <c r="G70" i="218"/>
  <c r="F70" i="218"/>
  <c r="K69" i="218"/>
  <c r="G69" i="218"/>
  <c r="K68" i="218"/>
  <c r="G68" i="218"/>
  <c r="K67" i="218"/>
  <c r="G67" i="218"/>
  <c r="K66" i="218"/>
  <c r="G66" i="218"/>
  <c r="K65" i="218"/>
  <c r="G65" i="218"/>
  <c r="K62" i="218"/>
  <c r="J59" i="218"/>
  <c r="K59" i="218" s="1"/>
  <c r="K55" i="218"/>
  <c r="K54" i="218"/>
  <c r="K53" i="218"/>
  <c r="K52" i="218"/>
  <c r="K51" i="218"/>
  <c r="K50" i="218"/>
  <c r="K49" i="218"/>
  <c r="B49" i="218"/>
  <c r="K48" i="218"/>
  <c r="F48" i="218"/>
  <c r="E48" i="218"/>
  <c r="K47" i="218"/>
  <c r="F47" i="218"/>
  <c r="E47" i="218"/>
  <c r="J46" i="218"/>
  <c r="F46" i="218"/>
  <c r="E46" i="218"/>
  <c r="F45" i="218"/>
  <c r="E45" i="218"/>
  <c r="F44" i="218"/>
  <c r="E44" i="218"/>
  <c r="F43" i="218"/>
  <c r="E43" i="218"/>
  <c r="H41" i="218"/>
  <c r="I41" i="218" s="1"/>
  <c r="I40" i="218"/>
  <c r="E40" i="218"/>
  <c r="I38" i="218"/>
  <c r="I37" i="218"/>
  <c r="J37" i="218" s="1"/>
  <c r="I36" i="218"/>
  <c r="D36" i="218"/>
  <c r="C36" i="218"/>
  <c r="E36" i="218" s="1"/>
  <c r="I35" i="218"/>
  <c r="E35" i="218"/>
  <c r="I34" i="218"/>
  <c r="E34" i="218"/>
  <c r="E33" i="218"/>
  <c r="J32" i="218"/>
  <c r="K32" i="218" s="1"/>
  <c r="I32" i="218"/>
  <c r="J31" i="218"/>
  <c r="I31" i="218"/>
  <c r="J30" i="218"/>
  <c r="K30" i="218" s="1"/>
  <c r="I30" i="218"/>
  <c r="J29" i="218"/>
  <c r="I29" i="218"/>
  <c r="D29" i="218"/>
  <c r="D30" i="218" s="1"/>
  <c r="J28" i="218"/>
  <c r="K31" i="218" s="1"/>
  <c r="I28" i="218"/>
  <c r="H26" i="218"/>
  <c r="G26" i="218"/>
  <c r="K25" i="218"/>
  <c r="J25" i="218"/>
  <c r="K24" i="218"/>
  <c r="J24" i="218"/>
  <c r="K23" i="218"/>
  <c r="J23" i="218"/>
  <c r="E23" i="218"/>
  <c r="K22" i="218"/>
  <c r="J22" i="218"/>
  <c r="E22" i="218"/>
  <c r="K21" i="218"/>
  <c r="J21" i="218"/>
  <c r="E21" i="218"/>
  <c r="K20" i="218"/>
  <c r="J20" i="218"/>
  <c r="E20" i="218"/>
  <c r="K19" i="218"/>
  <c r="J19" i="218"/>
  <c r="E19" i="218"/>
  <c r="J18" i="218"/>
  <c r="I26" i="218"/>
  <c r="E18" i="218"/>
  <c r="K17" i="218"/>
  <c r="J17" i="218"/>
  <c r="E17" i="218"/>
  <c r="K16" i="218"/>
  <c r="J16" i="218"/>
  <c r="E16" i="218"/>
  <c r="K15" i="218"/>
  <c r="J15" i="218"/>
  <c r="E15" i="218"/>
  <c r="K14" i="218"/>
  <c r="J14" i="218"/>
  <c r="E14" i="218"/>
  <c r="E13" i="218"/>
  <c r="I12" i="218"/>
  <c r="J12" i="218" s="1"/>
  <c r="H12" i="218"/>
  <c r="E12" i="218"/>
  <c r="J11" i="218"/>
  <c r="E11" i="218"/>
  <c r="J10" i="218"/>
  <c r="E10" i="218"/>
  <c r="J9" i="218"/>
  <c r="E9" i="218"/>
  <c r="J8" i="218"/>
  <c r="E8" i="218"/>
  <c r="J7" i="218"/>
  <c r="E7" i="218"/>
  <c r="J6" i="218"/>
  <c r="E6" i="218"/>
  <c r="J5" i="218"/>
  <c r="E5" i="218"/>
  <c r="K2" i="218"/>
  <c r="K3" i="218" s="1"/>
  <c r="J2" i="218"/>
  <c r="E27" i="218" s="1"/>
  <c r="I2" i="218"/>
  <c r="I3" i="218" s="1"/>
  <c r="H2" i="218"/>
  <c r="H3" i="218" s="1"/>
  <c r="G2" i="218"/>
  <c r="G3" i="218" s="1"/>
  <c r="F2" i="218"/>
  <c r="F3" i="218" s="1"/>
  <c r="D23" i="218"/>
  <c r="D4" i="218"/>
  <c r="B1" i="218"/>
  <c r="E29" i="218" l="1"/>
  <c r="E30" i="218" s="1"/>
  <c r="J27" i="218"/>
  <c r="K26" i="218"/>
  <c r="K18" i="218"/>
  <c r="J3" i="218"/>
  <c r="H37" i="217" l="1"/>
  <c r="D30" i="217" l="1"/>
  <c r="E29" i="217"/>
  <c r="D29" i="217"/>
  <c r="K32" i="217"/>
  <c r="J32" i="217"/>
  <c r="I32" i="217"/>
  <c r="E27" i="217"/>
  <c r="I18" i="217"/>
  <c r="J71" i="217" l="1"/>
  <c r="K71" i="217" s="1"/>
  <c r="K70" i="217"/>
  <c r="G70" i="217"/>
  <c r="F70" i="217" s="1"/>
  <c r="K69" i="217"/>
  <c r="G69" i="217"/>
  <c r="K68" i="217"/>
  <c r="G68" i="217"/>
  <c r="K67" i="217"/>
  <c r="G67" i="217"/>
  <c r="K66" i="217"/>
  <c r="G66" i="217"/>
  <c r="K65" i="217"/>
  <c r="G65" i="217"/>
  <c r="K62" i="217"/>
  <c r="J59" i="217"/>
  <c r="K59" i="217" s="1"/>
  <c r="K55" i="217"/>
  <c r="K54" i="217"/>
  <c r="K53" i="217"/>
  <c r="K52" i="217"/>
  <c r="K51" i="217"/>
  <c r="K50" i="217"/>
  <c r="K49" i="217"/>
  <c r="B49" i="217"/>
  <c r="K48" i="217"/>
  <c r="F48" i="217"/>
  <c r="E48" i="217"/>
  <c r="K47" i="217"/>
  <c r="F47" i="217"/>
  <c r="E47" i="217"/>
  <c r="J46" i="217"/>
  <c r="F46" i="217"/>
  <c r="E46" i="217"/>
  <c r="F45" i="217"/>
  <c r="E45" i="217"/>
  <c r="F44" i="217"/>
  <c r="E44" i="217"/>
  <c r="F43" i="217"/>
  <c r="E43" i="217"/>
  <c r="I41" i="217"/>
  <c r="H41" i="217"/>
  <c r="E40" i="217"/>
  <c r="I40" i="217"/>
  <c r="I38" i="217"/>
  <c r="I37" i="217"/>
  <c r="D36" i="217"/>
  <c r="C36" i="217"/>
  <c r="E36" i="217" s="1"/>
  <c r="I36" i="217"/>
  <c r="E35" i="217"/>
  <c r="I35" i="217"/>
  <c r="E34" i="217"/>
  <c r="I34" i="217"/>
  <c r="E33" i="217"/>
  <c r="J31" i="217"/>
  <c r="K31" i="217" s="1"/>
  <c r="I31" i="217"/>
  <c r="J30" i="217"/>
  <c r="K30" i="217" s="1"/>
  <c r="I30" i="217"/>
  <c r="J29" i="217"/>
  <c r="I29" i="217"/>
  <c r="J28" i="217"/>
  <c r="I28" i="217"/>
  <c r="I26" i="217"/>
  <c r="J27" i="217" s="1"/>
  <c r="H26" i="217"/>
  <c r="G26" i="217"/>
  <c r="K25" i="217"/>
  <c r="J25" i="217"/>
  <c r="K24" i="217"/>
  <c r="J24" i="217"/>
  <c r="K23" i="217"/>
  <c r="J23" i="217"/>
  <c r="E23" i="217"/>
  <c r="K22" i="217"/>
  <c r="J22" i="217"/>
  <c r="E22" i="217"/>
  <c r="K21" i="217"/>
  <c r="J21" i="217"/>
  <c r="E21" i="217"/>
  <c r="K20" i="217"/>
  <c r="J20" i="217"/>
  <c r="E20" i="217"/>
  <c r="K19" i="217"/>
  <c r="J19" i="217"/>
  <c r="E19" i="217"/>
  <c r="K18" i="217"/>
  <c r="J18" i="217"/>
  <c r="E18" i="217"/>
  <c r="K17" i="217"/>
  <c r="J17" i="217"/>
  <c r="E17" i="217"/>
  <c r="K16" i="217"/>
  <c r="J16" i="217"/>
  <c r="E16" i="217"/>
  <c r="K15" i="217"/>
  <c r="J15" i="217"/>
  <c r="E15" i="217"/>
  <c r="K14" i="217"/>
  <c r="J14" i="217"/>
  <c r="E14" i="217"/>
  <c r="E13" i="217"/>
  <c r="I12" i="217"/>
  <c r="H12" i="217"/>
  <c r="E12" i="217"/>
  <c r="J11" i="217"/>
  <c r="E11" i="217"/>
  <c r="J10" i="217"/>
  <c r="E10" i="217"/>
  <c r="J9" i="217"/>
  <c r="E9" i="217"/>
  <c r="J8" i="217"/>
  <c r="E8" i="217"/>
  <c r="J7" i="217"/>
  <c r="E7" i="217"/>
  <c r="J6" i="217"/>
  <c r="E6" i="217"/>
  <c r="J5" i="217"/>
  <c r="E5" i="217"/>
  <c r="H3" i="217"/>
  <c r="G3" i="217"/>
  <c r="F3" i="217"/>
  <c r="K2" i="217"/>
  <c r="K3" i="217" s="1"/>
  <c r="J2" i="217"/>
  <c r="I2" i="217"/>
  <c r="I3" i="217" s="1"/>
  <c r="H2" i="217"/>
  <c r="G2" i="217"/>
  <c r="F2" i="217"/>
  <c r="D23" i="217"/>
  <c r="D4" i="217"/>
  <c r="B1" i="217"/>
  <c r="J37" i="217" l="1"/>
  <c r="J12" i="217"/>
  <c r="E30" i="217"/>
  <c r="J3" i="217"/>
  <c r="K26" i="217"/>
  <c r="H33" i="215" l="1"/>
  <c r="I18" i="215" l="1"/>
  <c r="E30" i="215"/>
  <c r="D30" i="215"/>
  <c r="D29" i="215"/>
  <c r="J71" i="215"/>
  <c r="K71" i="215" s="1"/>
  <c r="K70" i="215"/>
  <c r="G70" i="215"/>
  <c r="F70" i="215"/>
  <c r="K69" i="215"/>
  <c r="G69" i="215"/>
  <c r="K68" i="215"/>
  <c r="G68" i="215"/>
  <c r="K67" i="215"/>
  <c r="G67" i="215"/>
  <c r="K66" i="215"/>
  <c r="G66" i="215"/>
  <c r="K65" i="215"/>
  <c r="G65" i="215"/>
  <c r="K62" i="215"/>
  <c r="J59" i="215"/>
  <c r="K59" i="215" s="1"/>
  <c r="K55" i="215"/>
  <c r="K54" i="215"/>
  <c r="K53" i="215"/>
  <c r="K52" i="215"/>
  <c r="K51" i="215"/>
  <c r="K50" i="215"/>
  <c r="K49" i="215"/>
  <c r="B49" i="215"/>
  <c r="K48" i="215"/>
  <c r="F48" i="215"/>
  <c r="E48" i="215"/>
  <c r="K47" i="215"/>
  <c r="F47" i="215"/>
  <c r="E47" i="215"/>
  <c r="J46" i="215"/>
  <c r="F46" i="215"/>
  <c r="E46" i="215"/>
  <c r="F45" i="215"/>
  <c r="E45" i="215"/>
  <c r="F44" i="215"/>
  <c r="E44" i="215"/>
  <c r="F43" i="215"/>
  <c r="E43" i="215"/>
  <c r="I40" i="215"/>
  <c r="H40" i="215"/>
  <c r="E40" i="215"/>
  <c r="I39" i="215"/>
  <c r="I37" i="215"/>
  <c r="I36" i="215"/>
  <c r="D36" i="215"/>
  <c r="C36" i="215"/>
  <c r="E36" i="215" s="1"/>
  <c r="I35" i="215"/>
  <c r="E35" i="215"/>
  <c r="I34" i="215"/>
  <c r="E34" i="215"/>
  <c r="I33" i="215"/>
  <c r="E33" i="215"/>
  <c r="J31" i="215"/>
  <c r="K31" i="215" s="1"/>
  <c r="I31" i="215"/>
  <c r="J30" i="215"/>
  <c r="K30" i="215" s="1"/>
  <c r="I30" i="215"/>
  <c r="J29" i="215"/>
  <c r="I29" i="215"/>
  <c r="J28" i="215"/>
  <c r="I28" i="215"/>
  <c r="I26" i="215"/>
  <c r="J27" i="215" s="1"/>
  <c r="H26" i="215"/>
  <c r="G26" i="215"/>
  <c r="K25" i="215"/>
  <c r="J25" i="215"/>
  <c r="K24" i="215"/>
  <c r="J24" i="215"/>
  <c r="E24" i="215"/>
  <c r="K23" i="215"/>
  <c r="J23" i="215"/>
  <c r="E23" i="215"/>
  <c r="K22" i="215"/>
  <c r="J22" i="215"/>
  <c r="E22" i="215"/>
  <c r="K21" i="215"/>
  <c r="J21" i="215"/>
  <c r="E21" i="215"/>
  <c r="K20" i="215"/>
  <c r="J20" i="215"/>
  <c r="E20" i="215"/>
  <c r="K19" i="215"/>
  <c r="J19" i="215"/>
  <c r="E19" i="215"/>
  <c r="K18" i="215"/>
  <c r="J18" i="215"/>
  <c r="E18" i="215"/>
  <c r="K17" i="215"/>
  <c r="J17" i="215"/>
  <c r="E17" i="215"/>
  <c r="K16" i="215"/>
  <c r="J16" i="215"/>
  <c r="E16" i="215"/>
  <c r="K15" i="215"/>
  <c r="J15" i="215"/>
  <c r="E15" i="215"/>
  <c r="K14" i="215"/>
  <c r="J14" i="215"/>
  <c r="E14" i="215"/>
  <c r="E13" i="215"/>
  <c r="I12" i="215"/>
  <c r="H12" i="215"/>
  <c r="E12" i="215"/>
  <c r="J11" i="215"/>
  <c r="E11" i="215"/>
  <c r="J10" i="215"/>
  <c r="E10" i="215"/>
  <c r="J9" i="215"/>
  <c r="E9" i="215"/>
  <c r="J8" i="215"/>
  <c r="E8" i="215"/>
  <c r="J7" i="215"/>
  <c r="E7" i="215"/>
  <c r="J6" i="215"/>
  <c r="E6" i="215"/>
  <c r="J5" i="215"/>
  <c r="E5" i="215"/>
  <c r="I3" i="215"/>
  <c r="H3" i="215"/>
  <c r="G3" i="215"/>
  <c r="F3" i="215"/>
  <c r="K2" i="215"/>
  <c r="K3" i="215" s="1"/>
  <c r="J2" i="215"/>
  <c r="E27" i="215" s="1"/>
  <c r="I2" i="215"/>
  <c r="H2" i="215"/>
  <c r="G2" i="215"/>
  <c r="F2" i="215"/>
  <c r="D24" i="215"/>
  <c r="D4" i="215"/>
  <c r="B1" i="215"/>
  <c r="J36" i="215" l="1"/>
  <c r="J12" i="215"/>
  <c r="E29" i="215"/>
  <c r="J3" i="215"/>
  <c r="K26" i="215"/>
  <c r="I18" i="214" l="1"/>
  <c r="E27" i="214"/>
  <c r="J71" i="214"/>
  <c r="K71" i="214" s="1"/>
  <c r="K70" i="214"/>
  <c r="G70" i="214"/>
  <c r="F70" i="214"/>
  <c r="K69" i="214"/>
  <c r="G69" i="214"/>
  <c r="K68" i="214"/>
  <c r="G68" i="214"/>
  <c r="K67" i="214"/>
  <c r="G67" i="214"/>
  <c r="K66" i="214"/>
  <c r="G66" i="214"/>
  <c r="K65" i="214"/>
  <c r="G65" i="214"/>
  <c r="K62" i="214"/>
  <c r="J59" i="214"/>
  <c r="K59" i="214" s="1"/>
  <c r="K55" i="214"/>
  <c r="K54" i="214"/>
  <c r="K53" i="214"/>
  <c r="K52" i="214"/>
  <c r="K51" i="214"/>
  <c r="K50" i="214"/>
  <c r="K49" i="214"/>
  <c r="B49" i="214"/>
  <c r="K48" i="214"/>
  <c r="F48" i="214"/>
  <c r="E48" i="214"/>
  <c r="K47" i="214"/>
  <c r="F47" i="214"/>
  <c r="E47" i="214"/>
  <c r="J46" i="214"/>
  <c r="F46" i="214"/>
  <c r="E46" i="214"/>
  <c r="F45" i="214"/>
  <c r="E45" i="214"/>
  <c r="F44" i="214"/>
  <c r="E44" i="214"/>
  <c r="F43" i="214"/>
  <c r="E43" i="214"/>
  <c r="I40" i="214"/>
  <c r="H40" i="214"/>
  <c r="E40" i="214"/>
  <c r="I39" i="214"/>
  <c r="I37" i="214"/>
  <c r="I36" i="214"/>
  <c r="J36" i="214" s="1"/>
  <c r="D36" i="214"/>
  <c r="C36" i="214"/>
  <c r="E36" i="214" s="1"/>
  <c r="I35" i="214"/>
  <c r="E35" i="214"/>
  <c r="I34" i="214"/>
  <c r="E34" i="214"/>
  <c r="I33" i="214"/>
  <c r="H33" i="214"/>
  <c r="E33" i="214"/>
  <c r="J31" i="214"/>
  <c r="K31" i="214" s="1"/>
  <c r="I31" i="214"/>
  <c r="J30" i="214"/>
  <c r="K30" i="214" s="1"/>
  <c r="I30" i="214"/>
  <c r="J29" i="214"/>
  <c r="I29" i="214"/>
  <c r="D29" i="214"/>
  <c r="E29" i="214" s="1"/>
  <c r="E30" i="214" s="1"/>
  <c r="J28" i="214"/>
  <c r="I28" i="214"/>
  <c r="I26" i="214"/>
  <c r="J27" i="214" s="1"/>
  <c r="H26" i="214"/>
  <c r="G26" i="214"/>
  <c r="K25" i="214"/>
  <c r="J25" i="214"/>
  <c r="K24" i="214"/>
  <c r="J24" i="214"/>
  <c r="E24" i="214"/>
  <c r="K23" i="214"/>
  <c r="J23" i="214"/>
  <c r="E23" i="214"/>
  <c r="K22" i="214"/>
  <c r="J22" i="214"/>
  <c r="E22" i="214"/>
  <c r="K21" i="214"/>
  <c r="J21" i="214"/>
  <c r="E21" i="214"/>
  <c r="K20" i="214"/>
  <c r="J20" i="214"/>
  <c r="E20" i="214"/>
  <c r="K19" i="214"/>
  <c r="J19" i="214"/>
  <c r="E19" i="214"/>
  <c r="K18" i="214"/>
  <c r="J18" i="214"/>
  <c r="E18" i="214"/>
  <c r="K17" i="214"/>
  <c r="J17" i="214"/>
  <c r="E17" i="214"/>
  <c r="K16" i="214"/>
  <c r="J16" i="214"/>
  <c r="E16" i="214"/>
  <c r="K15" i="214"/>
  <c r="J15" i="214"/>
  <c r="E15" i="214"/>
  <c r="K14" i="214"/>
  <c r="J14" i="214"/>
  <c r="E14" i="214"/>
  <c r="E13" i="214"/>
  <c r="I12" i="214"/>
  <c r="J12" i="214" s="1"/>
  <c r="H12" i="214"/>
  <c r="E12" i="214"/>
  <c r="J11" i="214"/>
  <c r="E11" i="214"/>
  <c r="J10" i="214"/>
  <c r="E10" i="214"/>
  <c r="J9" i="214"/>
  <c r="E9" i="214"/>
  <c r="J8" i="214"/>
  <c r="E8" i="214"/>
  <c r="J7" i="214"/>
  <c r="E7" i="214"/>
  <c r="J6" i="214"/>
  <c r="E6" i="214"/>
  <c r="J5" i="214"/>
  <c r="E5" i="214"/>
  <c r="H3" i="214"/>
  <c r="G3" i="214"/>
  <c r="F3" i="214"/>
  <c r="K2" i="214"/>
  <c r="K3" i="214" s="1"/>
  <c r="J2" i="214"/>
  <c r="I2" i="214"/>
  <c r="I3" i="214" s="1"/>
  <c r="H2" i="214"/>
  <c r="G2" i="214"/>
  <c r="F2" i="214"/>
  <c r="D24" i="214"/>
  <c r="D4" i="214"/>
  <c r="D30" i="214" l="1"/>
  <c r="J3" i="214"/>
  <c r="K26" i="214"/>
  <c r="E30" i="213" l="1"/>
  <c r="D30" i="213"/>
  <c r="I18" i="213"/>
  <c r="E27" i="213" l="1"/>
  <c r="J71" i="213"/>
  <c r="K71" i="213" s="1"/>
  <c r="K70" i="213"/>
  <c r="G70" i="213"/>
  <c r="F70" i="213"/>
  <c r="K69" i="213"/>
  <c r="G69" i="213"/>
  <c r="K68" i="213"/>
  <c r="G68" i="213"/>
  <c r="K67" i="213"/>
  <c r="G67" i="213"/>
  <c r="K66" i="213"/>
  <c r="G66" i="213"/>
  <c r="K65" i="213"/>
  <c r="G65" i="213"/>
  <c r="K62" i="213"/>
  <c r="J59" i="213"/>
  <c r="K59" i="213" s="1"/>
  <c r="K55" i="213"/>
  <c r="K54" i="213"/>
  <c r="K53" i="213"/>
  <c r="K52" i="213"/>
  <c r="K51" i="213"/>
  <c r="K50" i="213"/>
  <c r="K49" i="213"/>
  <c r="B49" i="213"/>
  <c r="K48" i="213"/>
  <c r="F48" i="213"/>
  <c r="E48" i="213"/>
  <c r="K47" i="213"/>
  <c r="F47" i="213"/>
  <c r="E47" i="213"/>
  <c r="J46" i="213"/>
  <c r="F46" i="213"/>
  <c r="E46" i="213"/>
  <c r="F45" i="213"/>
  <c r="E45" i="213"/>
  <c r="F44" i="213"/>
  <c r="E44" i="213"/>
  <c r="F43" i="213"/>
  <c r="E43" i="213"/>
  <c r="I40" i="213"/>
  <c r="H40" i="213"/>
  <c r="E40" i="213"/>
  <c r="I39" i="213"/>
  <c r="I37" i="213"/>
  <c r="I36" i="213"/>
  <c r="J36" i="213" s="1"/>
  <c r="D36" i="213"/>
  <c r="C36" i="213"/>
  <c r="E36" i="213" s="1"/>
  <c r="I35" i="213"/>
  <c r="E35" i="213"/>
  <c r="I34" i="213"/>
  <c r="E34" i="213"/>
  <c r="I33" i="213"/>
  <c r="H33" i="213"/>
  <c r="E33" i="213"/>
  <c r="J31" i="213"/>
  <c r="K31" i="213" s="1"/>
  <c r="I31" i="213"/>
  <c r="J30" i="213"/>
  <c r="K30" i="213" s="1"/>
  <c r="I30" i="213"/>
  <c r="J29" i="213"/>
  <c r="I29" i="213"/>
  <c r="D29" i="213"/>
  <c r="J28" i="213"/>
  <c r="I28" i="213"/>
  <c r="I26" i="213"/>
  <c r="J27" i="213" s="1"/>
  <c r="H26" i="213"/>
  <c r="G26" i="213"/>
  <c r="K25" i="213"/>
  <c r="J25" i="213"/>
  <c r="K24" i="213"/>
  <c r="J24" i="213"/>
  <c r="E24" i="213"/>
  <c r="K23" i="213"/>
  <c r="J23" i="213"/>
  <c r="E23" i="213"/>
  <c r="K22" i="213"/>
  <c r="J22" i="213"/>
  <c r="E22" i="213"/>
  <c r="K21" i="213"/>
  <c r="J21" i="213"/>
  <c r="E21" i="213"/>
  <c r="K20" i="213"/>
  <c r="J20" i="213"/>
  <c r="E20" i="213"/>
  <c r="K19" i="213"/>
  <c r="J19" i="213"/>
  <c r="E19" i="213"/>
  <c r="K18" i="213"/>
  <c r="J18" i="213"/>
  <c r="E18" i="213"/>
  <c r="K17" i="213"/>
  <c r="J17" i="213"/>
  <c r="E17" i="213"/>
  <c r="K16" i="213"/>
  <c r="J16" i="213"/>
  <c r="E16" i="213"/>
  <c r="K15" i="213"/>
  <c r="J15" i="213"/>
  <c r="E15" i="213"/>
  <c r="K14" i="213"/>
  <c r="J14" i="213"/>
  <c r="E14" i="213"/>
  <c r="E13" i="213"/>
  <c r="I12" i="213"/>
  <c r="H12" i="213"/>
  <c r="E12" i="213"/>
  <c r="J11" i="213"/>
  <c r="E11" i="213"/>
  <c r="J10" i="213"/>
  <c r="E10" i="213"/>
  <c r="J9" i="213"/>
  <c r="E9" i="213"/>
  <c r="J8" i="213"/>
  <c r="E8" i="213"/>
  <c r="J7" i="213"/>
  <c r="E7" i="213"/>
  <c r="J6" i="213"/>
  <c r="E6" i="213"/>
  <c r="J5" i="213"/>
  <c r="E5" i="213"/>
  <c r="I3" i="213"/>
  <c r="H3" i="213"/>
  <c r="G3" i="213"/>
  <c r="F3" i="213"/>
  <c r="K2" i="213"/>
  <c r="K3" i="213" s="1"/>
  <c r="J2" i="213"/>
  <c r="I2" i="213"/>
  <c r="H2" i="213"/>
  <c r="G2" i="213"/>
  <c r="F2" i="213"/>
  <c r="D24" i="213"/>
  <c r="D4" i="213" s="1"/>
  <c r="B1" i="213"/>
  <c r="J12" i="213" l="1"/>
  <c r="E29" i="213"/>
  <c r="J3" i="213"/>
  <c r="K26" i="213"/>
  <c r="J71" i="212" l="1"/>
  <c r="K70" i="212"/>
  <c r="H33" i="212"/>
  <c r="E27" i="212" l="1"/>
  <c r="K71" i="212" l="1"/>
  <c r="G70" i="212"/>
  <c r="F70" i="212"/>
  <c r="K69" i="212"/>
  <c r="G69" i="212"/>
  <c r="K68" i="212"/>
  <c r="G68" i="212"/>
  <c r="K67" i="212"/>
  <c r="G67" i="212"/>
  <c r="K66" i="212"/>
  <c r="G66" i="212"/>
  <c r="K65" i="212"/>
  <c r="G65" i="212"/>
  <c r="K62" i="212"/>
  <c r="K59" i="212"/>
  <c r="J59" i="212"/>
  <c r="K55" i="212"/>
  <c r="K54" i="212"/>
  <c r="K53" i="212"/>
  <c r="K52" i="212"/>
  <c r="K51" i="212"/>
  <c r="K50" i="212"/>
  <c r="K49" i="212"/>
  <c r="B49" i="212"/>
  <c r="K48" i="212"/>
  <c r="F48" i="212"/>
  <c r="E48" i="212"/>
  <c r="K47" i="212"/>
  <c r="F47" i="212"/>
  <c r="E47" i="212"/>
  <c r="J46" i="212"/>
  <c r="F46" i="212"/>
  <c r="E46" i="212"/>
  <c r="F45" i="212"/>
  <c r="E45" i="212"/>
  <c r="F44" i="212"/>
  <c r="E44" i="212"/>
  <c r="F43" i="212"/>
  <c r="E43" i="212"/>
  <c r="H40" i="212"/>
  <c r="I40" i="212" s="1"/>
  <c r="E40" i="212"/>
  <c r="I39" i="212"/>
  <c r="I37" i="212"/>
  <c r="I36" i="212"/>
  <c r="D36" i="212"/>
  <c r="C36" i="212"/>
  <c r="E36" i="212" s="1"/>
  <c r="I35" i="212"/>
  <c r="E35" i="212"/>
  <c r="I34" i="212"/>
  <c r="E34" i="212"/>
  <c r="I33" i="212"/>
  <c r="E33" i="212"/>
  <c r="J31" i="212"/>
  <c r="I31" i="212"/>
  <c r="J30" i="212"/>
  <c r="K30" i="212" s="1"/>
  <c r="I30" i="212"/>
  <c r="J29" i="212"/>
  <c r="I29" i="212"/>
  <c r="D29" i="212"/>
  <c r="E29" i="212" s="1"/>
  <c r="E30" i="212" s="1"/>
  <c r="J28" i="212"/>
  <c r="K31" i="212" s="1"/>
  <c r="I28" i="212"/>
  <c r="I26" i="212"/>
  <c r="J27" i="212" s="1"/>
  <c r="H26" i="212"/>
  <c r="G26" i="212"/>
  <c r="K25" i="212"/>
  <c r="J25" i="212"/>
  <c r="E25" i="212"/>
  <c r="K24" i="212"/>
  <c r="J24" i="212"/>
  <c r="E24" i="212"/>
  <c r="K23" i="212"/>
  <c r="J23" i="212"/>
  <c r="E23" i="212"/>
  <c r="K22" i="212"/>
  <c r="J22" i="212"/>
  <c r="E22" i="212"/>
  <c r="K21" i="212"/>
  <c r="J21" i="212"/>
  <c r="E21" i="212"/>
  <c r="K20" i="212"/>
  <c r="J20" i="212"/>
  <c r="E20" i="212"/>
  <c r="K19" i="212"/>
  <c r="J19" i="212"/>
  <c r="E19" i="212"/>
  <c r="K18" i="212"/>
  <c r="J18" i="212"/>
  <c r="I18" i="212"/>
  <c r="E18" i="212"/>
  <c r="K17" i="212"/>
  <c r="J17" i="212"/>
  <c r="E17" i="212"/>
  <c r="K16" i="212"/>
  <c r="J16" i="212"/>
  <c r="E16" i="212"/>
  <c r="K15" i="212"/>
  <c r="J15" i="212"/>
  <c r="E15" i="212"/>
  <c r="K14" i="212"/>
  <c r="J14" i="212"/>
  <c r="E14" i="212"/>
  <c r="E13" i="212"/>
  <c r="I12" i="212"/>
  <c r="H12" i="212"/>
  <c r="E12" i="212"/>
  <c r="J11" i="212"/>
  <c r="E11" i="212"/>
  <c r="J10" i="212"/>
  <c r="E10" i="212"/>
  <c r="J9" i="212"/>
  <c r="E9" i="212"/>
  <c r="J8" i="212"/>
  <c r="E8" i="212"/>
  <c r="J7" i="212"/>
  <c r="E7" i="212"/>
  <c r="J6" i="212"/>
  <c r="E6" i="212"/>
  <c r="J5" i="212"/>
  <c r="E5" i="212"/>
  <c r="I3" i="212"/>
  <c r="H3" i="212"/>
  <c r="G3" i="212"/>
  <c r="F3" i="212"/>
  <c r="K2" i="212"/>
  <c r="K3" i="212" s="1"/>
  <c r="J2" i="212"/>
  <c r="J3" i="212" s="1"/>
  <c r="I2" i="212"/>
  <c r="H2" i="212"/>
  <c r="G2" i="212"/>
  <c r="F2" i="212"/>
  <c r="D25" i="212"/>
  <c r="D4" i="212"/>
  <c r="B1" i="212"/>
  <c r="J12" i="212" l="1"/>
  <c r="J36" i="212"/>
  <c r="D30" i="212"/>
  <c r="K26" i="212"/>
  <c r="J59" i="211"/>
  <c r="K55" i="211"/>
  <c r="K54" i="211"/>
  <c r="K71" i="211"/>
  <c r="J71" i="211"/>
  <c r="K68" i="211"/>
  <c r="K69" i="211"/>
  <c r="H33" i="211"/>
  <c r="D30" i="211" l="1"/>
  <c r="D29" i="211"/>
  <c r="I18" i="211"/>
  <c r="I17" i="210"/>
  <c r="E27" i="211"/>
  <c r="J2" i="211"/>
  <c r="J3" i="211" s="1"/>
  <c r="K2" i="211"/>
  <c r="K3" i="211"/>
  <c r="G70" i="211"/>
  <c r="F70" i="211" s="1"/>
  <c r="G69" i="211"/>
  <c r="G68" i="211"/>
  <c r="K67" i="211"/>
  <c r="G67" i="211"/>
  <c r="K66" i="211"/>
  <c r="G66" i="211"/>
  <c r="K65" i="211"/>
  <c r="G65" i="211"/>
  <c r="K62" i="211"/>
  <c r="K59" i="211"/>
  <c r="K53" i="211"/>
  <c r="K52" i="211"/>
  <c r="K51" i="211"/>
  <c r="K50" i="211"/>
  <c r="K49" i="211"/>
  <c r="B49" i="211"/>
  <c r="K48" i="211"/>
  <c r="F48" i="211"/>
  <c r="E48" i="211"/>
  <c r="K47" i="211"/>
  <c r="F47" i="211"/>
  <c r="E47" i="211"/>
  <c r="J46" i="211"/>
  <c r="F46" i="211"/>
  <c r="E46" i="211"/>
  <c r="F45" i="211"/>
  <c r="E45" i="211"/>
  <c r="F44" i="211"/>
  <c r="E44" i="211"/>
  <c r="F43" i="211"/>
  <c r="E43" i="211"/>
  <c r="H40" i="211"/>
  <c r="I40" i="211" s="1"/>
  <c r="E40" i="211"/>
  <c r="I39" i="211"/>
  <c r="I37" i="211"/>
  <c r="I36" i="211"/>
  <c r="D36" i="211"/>
  <c r="C36" i="211"/>
  <c r="I35" i="211"/>
  <c r="E35" i="211"/>
  <c r="I34" i="211"/>
  <c r="E34" i="211"/>
  <c r="I33" i="211"/>
  <c r="E33" i="211"/>
  <c r="J31" i="211"/>
  <c r="K31" i="211" s="1"/>
  <c r="I31" i="211"/>
  <c r="J30" i="211"/>
  <c r="K30" i="211" s="1"/>
  <c r="I30" i="211"/>
  <c r="J29" i="211"/>
  <c r="I29" i="211"/>
  <c r="J28" i="211"/>
  <c r="I28" i="211"/>
  <c r="I26" i="211"/>
  <c r="J27" i="211" s="1"/>
  <c r="H26" i="211"/>
  <c r="G26" i="211"/>
  <c r="K25" i="211"/>
  <c r="J25" i="211"/>
  <c r="E25" i="211"/>
  <c r="K24" i="211"/>
  <c r="J24" i="211"/>
  <c r="E24" i="211"/>
  <c r="K23" i="211"/>
  <c r="J23" i="211"/>
  <c r="E23" i="211"/>
  <c r="K22" i="211"/>
  <c r="J22" i="211"/>
  <c r="E22" i="211"/>
  <c r="K21" i="211"/>
  <c r="J21" i="211"/>
  <c r="E21" i="211"/>
  <c r="K20" i="211"/>
  <c r="J20" i="211"/>
  <c r="E20" i="211"/>
  <c r="K19" i="211"/>
  <c r="J19" i="211"/>
  <c r="E19" i="211"/>
  <c r="K18" i="211"/>
  <c r="J18" i="211"/>
  <c r="E18" i="211"/>
  <c r="J17" i="211"/>
  <c r="K17" i="211"/>
  <c r="E17" i="211"/>
  <c r="K16" i="211"/>
  <c r="J16" i="211"/>
  <c r="E16" i="211"/>
  <c r="K15" i="211"/>
  <c r="J15" i="211"/>
  <c r="E15" i="211"/>
  <c r="K14" i="211"/>
  <c r="J14" i="211"/>
  <c r="E14" i="211"/>
  <c r="E13" i="211"/>
  <c r="I12" i="211"/>
  <c r="J12" i="211" s="1"/>
  <c r="H12" i="211"/>
  <c r="E12" i="211"/>
  <c r="J11" i="211"/>
  <c r="E11" i="211"/>
  <c r="J10" i="211"/>
  <c r="E10" i="211"/>
  <c r="J9" i="211"/>
  <c r="E9" i="211"/>
  <c r="J8" i="211"/>
  <c r="E8" i="211"/>
  <c r="J7" i="211"/>
  <c r="E7" i="211"/>
  <c r="J6" i="211"/>
  <c r="E6" i="211"/>
  <c r="J5" i="211"/>
  <c r="E5" i="211"/>
  <c r="H3" i="211"/>
  <c r="G3" i="211"/>
  <c r="F3" i="211"/>
  <c r="I2" i="211"/>
  <c r="H2" i="211"/>
  <c r="G2" i="211"/>
  <c r="F2" i="211"/>
  <c r="D25" i="211"/>
  <c r="D4" i="211"/>
  <c r="E36" i="211" l="1"/>
  <c r="J36" i="211"/>
  <c r="I3" i="211"/>
  <c r="K26" i="211"/>
  <c r="E29" i="211" l="1"/>
  <c r="E30" i="211" s="1"/>
  <c r="J59" i="210" l="1"/>
  <c r="K53" i="210"/>
  <c r="K52" i="210"/>
  <c r="J76" i="210" l="1"/>
  <c r="K76" i="210" s="1"/>
  <c r="G70" i="210"/>
  <c r="F70" i="210"/>
  <c r="F76" i="210" s="1"/>
  <c r="G76" i="210" s="1"/>
  <c r="G69" i="210"/>
  <c r="G68" i="210"/>
  <c r="K67" i="210"/>
  <c r="G67" i="210"/>
  <c r="K66" i="210"/>
  <c r="G66" i="210"/>
  <c r="K65" i="210"/>
  <c r="G65" i="210"/>
  <c r="K62" i="210"/>
  <c r="K59" i="210"/>
  <c r="K51" i="210"/>
  <c r="K50" i="210"/>
  <c r="K49" i="210"/>
  <c r="B49" i="210"/>
  <c r="K48" i="210"/>
  <c r="F48" i="210"/>
  <c r="E48" i="210"/>
  <c r="K47" i="210"/>
  <c r="F47" i="210"/>
  <c r="E47" i="210"/>
  <c r="J46" i="210"/>
  <c r="F46" i="210"/>
  <c r="E46" i="210"/>
  <c r="F45" i="210"/>
  <c r="E45" i="210"/>
  <c r="F44" i="210"/>
  <c r="E44" i="210"/>
  <c r="F43" i="210"/>
  <c r="E43" i="210"/>
  <c r="H40" i="210"/>
  <c r="I40" i="210" s="1"/>
  <c r="E40" i="210"/>
  <c r="I39" i="210"/>
  <c r="I37" i="210"/>
  <c r="I36" i="210"/>
  <c r="D36" i="210"/>
  <c r="C36" i="210"/>
  <c r="E36" i="210" s="1"/>
  <c r="I35" i="210"/>
  <c r="E35" i="210"/>
  <c r="I34" i="210"/>
  <c r="E34" i="210"/>
  <c r="H33" i="210"/>
  <c r="I33" i="210" s="1"/>
  <c r="E33" i="210"/>
  <c r="J31" i="210"/>
  <c r="K31" i="210" s="1"/>
  <c r="I31" i="210"/>
  <c r="J30" i="210"/>
  <c r="K30" i="210" s="1"/>
  <c r="I30" i="210"/>
  <c r="J29" i="210"/>
  <c r="I29" i="210"/>
  <c r="D29" i="210"/>
  <c r="D30" i="210" s="1"/>
  <c r="J28" i="210"/>
  <c r="I28" i="210"/>
  <c r="H26" i="210"/>
  <c r="G26" i="210"/>
  <c r="K25" i="210"/>
  <c r="J25" i="210"/>
  <c r="E25" i="210"/>
  <c r="K24" i="210"/>
  <c r="J24" i="210"/>
  <c r="E24" i="210"/>
  <c r="K23" i="210"/>
  <c r="J23" i="210"/>
  <c r="E23" i="210"/>
  <c r="K22" i="210"/>
  <c r="J22" i="210"/>
  <c r="E22" i="210"/>
  <c r="K21" i="210"/>
  <c r="J21" i="210"/>
  <c r="E21" i="210"/>
  <c r="K20" i="210"/>
  <c r="J20" i="210"/>
  <c r="E20" i="210"/>
  <c r="K19" i="210"/>
  <c r="J19" i="210"/>
  <c r="E19" i="210"/>
  <c r="K18" i="210"/>
  <c r="J18" i="210"/>
  <c r="E18" i="210"/>
  <c r="J17" i="210"/>
  <c r="K17" i="210"/>
  <c r="E17" i="210"/>
  <c r="K16" i="210"/>
  <c r="J16" i="210"/>
  <c r="E16" i="210"/>
  <c r="K15" i="210"/>
  <c r="J15" i="210"/>
  <c r="E15" i="210"/>
  <c r="K14" i="210"/>
  <c r="J14" i="210"/>
  <c r="E14" i="210"/>
  <c r="E13" i="210"/>
  <c r="I12" i="210"/>
  <c r="J12" i="210" s="1"/>
  <c r="H12" i="210"/>
  <c r="E12" i="210"/>
  <c r="J11" i="210"/>
  <c r="E11" i="210"/>
  <c r="J10" i="210"/>
  <c r="E10" i="210"/>
  <c r="J9" i="210"/>
  <c r="E9" i="210"/>
  <c r="J8" i="210"/>
  <c r="E8" i="210"/>
  <c r="J7" i="210"/>
  <c r="E7" i="210"/>
  <c r="J6" i="210"/>
  <c r="E6" i="210"/>
  <c r="J5" i="210"/>
  <c r="E5" i="210"/>
  <c r="J3" i="210"/>
  <c r="I3" i="210"/>
  <c r="H3" i="210"/>
  <c r="G3" i="210"/>
  <c r="F3" i="210"/>
  <c r="E3" i="210"/>
  <c r="K2" i="210"/>
  <c r="E27" i="210" s="1"/>
  <c r="J2" i="210"/>
  <c r="I2" i="210"/>
  <c r="H2" i="210"/>
  <c r="D25" i="210"/>
  <c r="D4" i="210" s="1"/>
  <c r="B1" i="210"/>
  <c r="J36" i="210" l="1"/>
  <c r="E29" i="210"/>
  <c r="E30" i="210" s="1"/>
  <c r="K3" i="210"/>
  <c r="I26" i="210"/>
  <c r="H33" i="209"/>
  <c r="J27" i="210" l="1"/>
  <c r="K26" i="210"/>
  <c r="D30" i="209"/>
  <c r="I17" i="209"/>
  <c r="E22" i="209"/>
  <c r="E23" i="209"/>
  <c r="E24" i="209"/>
  <c r="E25" i="209"/>
  <c r="E27" i="209"/>
  <c r="J76" i="209"/>
  <c r="K76" i="209" s="1"/>
  <c r="G70" i="209"/>
  <c r="F70" i="209"/>
  <c r="F76" i="209" s="1"/>
  <c r="G76" i="209" s="1"/>
  <c r="G69" i="209"/>
  <c r="G68" i="209"/>
  <c r="K67" i="209"/>
  <c r="G67" i="209"/>
  <c r="K66" i="209"/>
  <c r="G66" i="209"/>
  <c r="K65" i="209"/>
  <c r="G65" i="209"/>
  <c r="K62" i="209"/>
  <c r="J59" i="209"/>
  <c r="K59" i="209" s="1"/>
  <c r="K51" i="209"/>
  <c r="K50" i="209"/>
  <c r="K49" i="209"/>
  <c r="B49" i="209"/>
  <c r="K48" i="209"/>
  <c r="F48" i="209"/>
  <c r="E48" i="209"/>
  <c r="K47" i="209"/>
  <c r="F47" i="209"/>
  <c r="E47" i="209"/>
  <c r="J46" i="209"/>
  <c r="F46" i="209"/>
  <c r="E46" i="209"/>
  <c r="F45" i="209"/>
  <c r="E45" i="209"/>
  <c r="F44" i="209"/>
  <c r="E44" i="209"/>
  <c r="F43" i="209"/>
  <c r="E43" i="209"/>
  <c r="H40" i="209"/>
  <c r="I40" i="209" s="1"/>
  <c r="E40" i="209"/>
  <c r="I39" i="209"/>
  <c r="I37" i="209"/>
  <c r="I36" i="209"/>
  <c r="D36" i="209"/>
  <c r="C36" i="209"/>
  <c r="E36" i="209" s="1"/>
  <c r="I35" i="209"/>
  <c r="E35" i="209"/>
  <c r="I34" i="209"/>
  <c r="E34" i="209"/>
  <c r="I33" i="209"/>
  <c r="J36" i="209" s="1"/>
  <c r="E33" i="209"/>
  <c r="J31" i="209"/>
  <c r="K31" i="209" s="1"/>
  <c r="I31" i="209"/>
  <c r="J30" i="209"/>
  <c r="K30" i="209" s="1"/>
  <c r="I30" i="209"/>
  <c r="J29" i="209"/>
  <c r="I29" i="209"/>
  <c r="D29" i="209"/>
  <c r="J28" i="209"/>
  <c r="I28" i="209"/>
  <c r="I26" i="209"/>
  <c r="J27" i="209" s="1"/>
  <c r="H26" i="209"/>
  <c r="G26" i="209"/>
  <c r="K25" i="209"/>
  <c r="J25" i="209"/>
  <c r="K24" i="209"/>
  <c r="J24" i="209"/>
  <c r="K23" i="209"/>
  <c r="J23" i="209"/>
  <c r="K22" i="209"/>
  <c r="J22" i="209"/>
  <c r="K21" i="209"/>
  <c r="J21" i="209"/>
  <c r="E21" i="209"/>
  <c r="K20" i="209"/>
  <c r="J20" i="209"/>
  <c r="E20" i="209"/>
  <c r="K19" i="209"/>
  <c r="J19" i="209"/>
  <c r="E19" i="209"/>
  <c r="K18" i="209"/>
  <c r="J18" i="209"/>
  <c r="E18" i="209"/>
  <c r="K17" i="209"/>
  <c r="J17" i="209"/>
  <c r="E17" i="209"/>
  <c r="K16" i="209"/>
  <c r="J16" i="209"/>
  <c r="E16" i="209"/>
  <c r="L15" i="209"/>
  <c r="K15" i="209"/>
  <c r="J15" i="209"/>
  <c r="E15" i="209"/>
  <c r="L14" i="209"/>
  <c r="K14" i="209"/>
  <c r="J14" i="209"/>
  <c r="E14" i="209"/>
  <c r="E13" i="209"/>
  <c r="I12" i="209"/>
  <c r="J12" i="209" s="1"/>
  <c r="H12" i="209"/>
  <c r="E12" i="209"/>
  <c r="J11" i="209"/>
  <c r="E11" i="209"/>
  <c r="J10" i="209"/>
  <c r="E10" i="209"/>
  <c r="J9" i="209"/>
  <c r="E9" i="209"/>
  <c r="J8" i="209"/>
  <c r="E8" i="209"/>
  <c r="J7" i="209"/>
  <c r="E7" i="209"/>
  <c r="J6" i="209"/>
  <c r="E6" i="209"/>
  <c r="J5" i="209"/>
  <c r="E5" i="209"/>
  <c r="I3" i="209"/>
  <c r="H3" i="209"/>
  <c r="G3" i="209"/>
  <c r="F3" i="209"/>
  <c r="E3" i="209"/>
  <c r="K2" i="209"/>
  <c r="J2" i="209"/>
  <c r="L16" i="209" s="1"/>
  <c r="I2" i="209"/>
  <c r="H2" i="209"/>
  <c r="D25" i="209"/>
  <c r="D4" i="209"/>
  <c r="E29" i="209" l="1"/>
  <c r="E30" i="209" s="1"/>
  <c r="J3" i="209"/>
  <c r="K3" i="209"/>
  <c r="K26" i="209"/>
  <c r="H26" i="208"/>
  <c r="L16" i="208"/>
  <c r="L15" i="208"/>
  <c r="L14" i="208"/>
  <c r="F76" i="208" l="1"/>
  <c r="F70" i="208"/>
  <c r="G70" i="208"/>
  <c r="H33" i="208"/>
  <c r="I17" i="208" l="1"/>
  <c r="D30" i="208"/>
  <c r="E27" i="208"/>
  <c r="J76" i="208"/>
  <c r="K76" i="208" s="1"/>
  <c r="G76" i="208"/>
  <c r="G69" i="208"/>
  <c r="G68" i="208"/>
  <c r="K67" i="208"/>
  <c r="G67" i="208"/>
  <c r="K66" i="208"/>
  <c r="G66" i="208"/>
  <c r="K65" i="208"/>
  <c r="G65" i="208"/>
  <c r="K62" i="208"/>
  <c r="K59" i="208"/>
  <c r="J59" i="208"/>
  <c r="K51" i="208"/>
  <c r="K50" i="208"/>
  <c r="K49" i="208"/>
  <c r="B49" i="208"/>
  <c r="K48" i="208"/>
  <c r="F48" i="208"/>
  <c r="E48" i="208"/>
  <c r="K47" i="208"/>
  <c r="F47" i="208"/>
  <c r="E47" i="208"/>
  <c r="J46" i="208"/>
  <c r="F46" i="208"/>
  <c r="E46" i="208"/>
  <c r="F45" i="208"/>
  <c r="E45" i="208"/>
  <c r="F44" i="208"/>
  <c r="E44" i="208"/>
  <c r="F43" i="208"/>
  <c r="E43" i="208"/>
  <c r="H40" i="208"/>
  <c r="I40" i="208" s="1"/>
  <c r="E40" i="208"/>
  <c r="I39" i="208"/>
  <c r="I37" i="208"/>
  <c r="I36" i="208"/>
  <c r="D36" i="208"/>
  <c r="C36" i="208"/>
  <c r="E36" i="208" s="1"/>
  <c r="I35" i="208"/>
  <c r="E35" i="208"/>
  <c r="I34" i="208"/>
  <c r="E34" i="208"/>
  <c r="I33" i="208"/>
  <c r="J36" i="208" s="1"/>
  <c r="E33" i="208"/>
  <c r="J31" i="208"/>
  <c r="K31" i="208" s="1"/>
  <c r="I31" i="208"/>
  <c r="J30" i="208"/>
  <c r="K30" i="208" s="1"/>
  <c r="I30" i="208"/>
  <c r="J29" i="208"/>
  <c r="I29" i="208"/>
  <c r="D29" i="208"/>
  <c r="J28" i="208"/>
  <c r="I28" i="208"/>
  <c r="I26" i="208"/>
  <c r="J27" i="208" s="1"/>
  <c r="G26" i="208"/>
  <c r="K25" i="208"/>
  <c r="J25" i="208"/>
  <c r="K24" i="208"/>
  <c r="J24" i="208"/>
  <c r="K23" i="208"/>
  <c r="J23" i="208"/>
  <c r="K22" i="208"/>
  <c r="J22" i="208"/>
  <c r="K21" i="208"/>
  <c r="J21" i="208"/>
  <c r="E21" i="208"/>
  <c r="K20" i="208"/>
  <c r="J20" i="208"/>
  <c r="E20" i="208"/>
  <c r="K19" i="208"/>
  <c r="J19" i="208"/>
  <c r="E19" i="208"/>
  <c r="K18" i="208"/>
  <c r="J18" i="208"/>
  <c r="E18" i="208"/>
  <c r="K17" i="208"/>
  <c r="J17" i="208"/>
  <c r="E17" i="208"/>
  <c r="K16" i="208"/>
  <c r="J16" i="208"/>
  <c r="E16" i="208"/>
  <c r="K15" i="208"/>
  <c r="J15" i="208"/>
  <c r="E15" i="208"/>
  <c r="K14" i="208"/>
  <c r="J14" i="208"/>
  <c r="E14" i="208"/>
  <c r="E13" i="208"/>
  <c r="I12" i="208"/>
  <c r="H12" i="208"/>
  <c r="E12" i="208"/>
  <c r="J11" i="208"/>
  <c r="E11" i="208"/>
  <c r="J10" i="208"/>
  <c r="E10" i="208"/>
  <c r="J9" i="208"/>
  <c r="E9" i="208"/>
  <c r="J8" i="208"/>
  <c r="E8" i="208"/>
  <c r="J7" i="208"/>
  <c r="E7" i="208"/>
  <c r="J6" i="208"/>
  <c r="E6" i="208"/>
  <c r="J5" i="208"/>
  <c r="E5" i="208"/>
  <c r="G3" i="208"/>
  <c r="F3" i="208"/>
  <c r="E3" i="208"/>
  <c r="K2" i="208"/>
  <c r="K3" i="208" s="1"/>
  <c r="J2" i="208"/>
  <c r="J3" i="208" s="1"/>
  <c r="I2" i="208"/>
  <c r="I3" i="208" s="1"/>
  <c r="H2" i="208"/>
  <c r="H3" i="208" s="1"/>
  <c r="D23" i="208"/>
  <c r="D4" i="208"/>
  <c r="B1" i="208"/>
  <c r="J12" i="208" l="1"/>
  <c r="E29" i="208"/>
  <c r="E30" i="208" s="1"/>
  <c r="K26" i="208"/>
  <c r="H33" i="207" l="1"/>
  <c r="I17" i="207"/>
  <c r="J31" i="207" s="1"/>
  <c r="K31" i="207" s="1"/>
  <c r="D30" i="207"/>
  <c r="E27" i="207"/>
  <c r="J76" i="207"/>
  <c r="K76" i="207" s="1"/>
  <c r="F76" i="207"/>
  <c r="G76" i="207" s="1"/>
  <c r="G69" i="207"/>
  <c r="G68" i="207"/>
  <c r="K67" i="207"/>
  <c r="G67" i="207"/>
  <c r="K66" i="207"/>
  <c r="G66" i="207"/>
  <c r="K65" i="207"/>
  <c r="G65" i="207"/>
  <c r="K62" i="207"/>
  <c r="K59" i="207"/>
  <c r="J59" i="207"/>
  <c r="K51" i="207"/>
  <c r="K50" i="207"/>
  <c r="K49" i="207"/>
  <c r="B49" i="207"/>
  <c r="K48" i="207"/>
  <c r="F48" i="207"/>
  <c r="E48" i="207"/>
  <c r="K47" i="207"/>
  <c r="F47" i="207"/>
  <c r="E47" i="207"/>
  <c r="J46" i="207"/>
  <c r="F46" i="207"/>
  <c r="E46" i="207"/>
  <c r="F45" i="207"/>
  <c r="E45" i="207"/>
  <c r="F44" i="207"/>
  <c r="E44" i="207"/>
  <c r="F43" i="207"/>
  <c r="E43" i="207"/>
  <c r="H40" i="207"/>
  <c r="I40" i="207" s="1"/>
  <c r="E40" i="207"/>
  <c r="I39" i="207"/>
  <c r="I37" i="207"/>
  <c r="I36" i="207"/>
  <c r="E36" i="207"/>
  <c r="D36" i="207"/>
  <c r="C36" i="207"/>
  <c r="I35" i="207"/>
  <c r="E35" i="207"/>
  <c r="I34" i="207"/>
  <c r="E34" i="207"/>
  <c r="I33" i="207"/>
  <c r="E33" i="207"/>
  <c r="J30" i="207"/>
  <c r="K30" i="207" s="1"/>
  <c r="I30" i="207"/>
  <c r="J29" i="207"/>
  <c r="I29" i="207"/>
  <c r="D29" i="207"/>
  <c r="E29" i="207" s="1"/>
  <c r="E30" i="207" s="1"/>
  <c r="J28" i="207"/>
  <c r="I28" i="207"/>
  <c r="I31" i="207" l="1"/>
  <c r="J36" i="207"/>
  <c r="I26" i="207" l="1"/>
  <c r="J27" i="207" s="1"/>
  <c r="H26" i="207"/>
  <c r="G26" i="207"/>
  <c r="K25" i="207"/>
  <c r="J25" i="207"/>
  <c r="K24" i="207"/>
  <c r="J24" i="207"/>
  <c r="K23" i="207"/>
  <c r="J23" i="207"/>
  <c r="K22" i="207"/>
  <c r="J22" i="207"/>
  <c r="K21" i="207"/>
  <c r="J21" i="207"/>
  <c r="E21" i="207"/>
  <c r="K20" i="207"/>
  <c r="J20" i="207"/>
  <c r="E20" i="207"/>
  <c r="K19" i="207"/>
  <c r="J19" i="207"/>
  <c r="E19" i="207"/>
  <c r="K18" i="207"/>
  <c r="J18" i="207"/>
  <c r="E18" i="207"/>
  <c r="J17" i="207"/>
  <c r="K17" i="207"/>
  <c r="E17" i="207"/>
  <c r="K16" i="207"/>
  <c r="J16" i="207"/>
  <c r="E16" i="207"/>
  <c r="K15" i="207"/>
  <c r="J15" i="207"/>
  <c r="E15" i="207"/>
  <c r="K14" i="207"/>
  <c r="J14" i="207"/>
  <c r="E14" i="207"/>
  <c r="E13" i="207"/>
  <c r="I12" i="207"/>
  <c r="J12" i="207" s="1"/>
  <c r="H12" i="207"/>
  <c r="E12" i="207"/>
  <c r="J11" i="207"/>
  <c r="E11" i="207"/>
  <c r="J10" i="207"/>
  <c r="E10" i="207"/>
  <c r="J9" i="207"/>
  <c r="E9" i="207"/>
  <c r="J8" i="207"/>
  <c r="E8" i="207"/>
  <c r="J7" i="207"/>
  <c r="E7" i="207"/>
  <c r="J6" i="207"/>
  <c r="E6" i="207"/>
  <c r="J5" i="207"/>
  <c r="E5" i="207"/>
  <c r="G3" i="207"/>
  <c r="F3" i="207"/>
  <c r="E3" i="207"/>
  <c r="K2" i="207"/>
  <c r="J2" i="207"/>
  <c r="J3" i="207" s="1"/>
  <c r="I2" i="207"/>
  <c r="I3" i="207" s="1"/>
  <c r="H2" i="207"/>
  <c r="H3" i="207" s="1"/>
  <c r="D21" i="207"/>
  <c r="D4" i="207"/>
  <c r="B1" i="207"/>
  <c r="K26" i="207" l="1"/>
  <c r="K3" i="207"/>
  <c r="G69" i="206" l="1"/>
  <c r="G68" i="206"/>
  <c r="G67" i="206"/>
  <c r="G66" i="206"/>
  <c r="G65" i="206"/>
  <c r="H33" i="206"/>
  <c r="J76" i="206" l="1"/>
  <c r="K76" i="206" s="1"/>
  <c r="F76" i="206"/>
  <c r="G76" i="206" s="1"/>
  <c r="K67" i="206"/>
  <c r="K66" i="206"/>
  <c r="K65" i="206"/>
  <c r="K62" i="206"/>
  <c r="J59" i="206"/>
  <c r="K59" i="206" s="1"/>
  <c r="K51" i="206"/>
  <c r="K50" i="206"/>
  <c r="K49" i="206"/>
  <c r="B49" i="206"/>
  <c r="K48" i="206"/>
  <c r="F48" i="206"/>
  <c r="E48" i="206"/>
  <c r="K47" i="206"/>
  <c r="F47" i="206"/>
  <c r="E47" i="206"/>
  <c r="J46" i="206"/>
  <c r="F46" i="206"/>
  <c r="E46" i="206"/>
  <c r="F45" i="206"/>
  <c r="E45" i="206"/>
  <c r="F44" i="206"/>
  <c r="E44" i="206"/>
  <c r="F43" i="206"/>
  <c r="E43" i="206"/>
  <c r="H40" i="206"/>
  <c r="I40" i="206" s="1"/>
  <c r="E40" i="206"/>
  <c r="I39" i="206"/>
  <c r="I37" i="206"/>
  <c r="I36" i="206"/>
  <c r="J36" i="206" s="1"/>
  <c r="D36" i="206"/>
  <c r="C36" i="206"/>
  <c r="E36" i="206" s="1"/>
  <c r="I35" i="206"/>
  <c r="E35" i="206"/>
  <c r="I34" i="206"/>
  <c r="E34" i="206"/>
  <c r="I33" i="206"/>
  <c r="E33" i="206"/>
  <c r="J31" i="206"/>
  <c r="I31" i="206"/>
  <c r="J30" i="206"/>
  <c r="K30" i="206" s="1"/>
  <c r="I30" i="206"/>
  <c r="J29" i="206"/>
  <c r="I29" i="206"/>
  <c r="D29" i="206"/>
  <c r="D30" i="206" s="1"/>
  <c r="J28" i="206"/>
  <c r="K31" i="206" s="1"/>
  <c r="I28" i="206"/>
  <c r="I26" i="206"/>
  <c r="J27" i="206" s="1"/>
  <c r="H26" i="206"/>
  <c r="G26" i="206"/>
  <c r="K25" i="206"/>
  <c r="J25" i="206"/>
  <c r="K24" i="206"/>
  <c r="J24" i="206"/>
  <c r="K23" i="206"/>
  <c r="J23" i="206"/>
  <c r="E23" i="206"/>
  <c r="K22" i="206"/>
  <c r="J22" i="206"/>
  <c r="E22" i="206"/>
  <c r="K21" i="206"/>
  <c r="J21" i="206"/>
  <c r="E21" i="206"/>
  <c r="K20" i="206"/>
  <c r="J20" i="206"/>
  <c r="E20" i="206"/>
  <c r="K19" i="206"/>
  <c r="J19" i="206"/>
  <c r="E19" i="206"/>
  <c r="K18" i="206"/>
  <c r="J18" i="206"/>
  <c r="E18" i="206"/>
  <c r="J17" i="206"/>
  <c r="I17" i="206"/>
  <c r="K17" i="206" s="1"/>
  <c r="E17" i="206"/>
  <c r="K16" i="206"/>
  <c r="J16" i="206"/>
  <c r="E16" i="206"/>
  <c r="K15" i="206"/>
  <c r="J15" i="206"/>
  <c r="E15" i="206"/>
  <c r="K14" i="206"/>
  <c r="J14" i="206"/>
  <c r="E14" i="206"/>
  <c r="E13" i="206"/>
  <c r="I12" i="206"/>
  <c r="J12" i="206" s="1"/>
  <c r="H12" i="206"/>
  <c r="E12" i="206"/>
  <c r="J11" i="206"/>
  <c r="E11" i="206"/>
  <c r="J10" i="206"/>
  <c r="E10" i="206"/>
  <c r="J9" i="206"/>
  <c r="E9" i="206"/>
  <c r="J8" i="206"/>
  <c r="E8" i="206"/>
  <c r="J7" i="206"/>
  <c r="E7" i="206"/>
  <c r="J6" i="206"/>
  <c r="E6" i="206"/>
  <c r="J5" i="206"/>
  <c r="E5" i="206"/>
  <c r="H3" i="206"/>
  <c r="G3" i="206"/>
  <c r="F3" i="206"/>
  <c r="E3" i="206"/>
  <c r="K2" i="206"/>
  <c r="E27" i="206" s="1"/>
  <c r="J2" i="206"/>
  <c r="J3" i="206" s="1"/>
  <c r="I2" i="206"/>
  <c r="I3" i="206" s="1"/>
  <c r="H2" i="206"/>
  <c r="D23" i="206"/>
  <c r="D4" i="206"/>
  <c r="B1" i="206"/>
  <c r="E29" i="206" l="1"/>
  <c r="E30" i="206" s="1"/>
  <c r="K3" i="206"/>
  <c r="K26" i="206"/>
  <c r="K59" i="205" l="1"/>
  <c r="J59" i="205"/>
  <c r="K51" i="205"/>
  <c r="K50" i="205"/>
  <c r="I17" i="205" l="1"/>
  <c r="D30" i="205"/>
  <c r="E27" i="205"/>
  <c r="J76" i="205"/>
  <c r="K76" i="205" s="1"/>
  <c r="F76" i="205"/>
  <c r="G76" i="205" s="1"/>
  <c r="G75" i="205"/>
  <c r="G74" i="205"/>
  <c r="G73" i="205"/>
  <c r="G72" i="205"/>
  <c r="G71" i="205"/>
  <c r="G70" i="205"/>
  <c r="G69" i="205"/>
  <c r="G68" i="205"/>
  <c r="K67" i="205"/>
  <c r="G67" i="205"/>
  <c r="K66" i="205"/>
  <c r="G66" i="205"/>
  <c r="K65" i="205"/>
  <c r="G65" i="205"/>
  <c r="K62" i="205"/>
  <c r="K49" i="205"/>
  <c r="B49" i="205"/>
  <c r="K48" i="205"/>
  <c r="F48" i="205"/>
  <c r="E48" i="205"/>
  <c r="K47" i="205"/>
  <c r="F47" i="205"/>
  <c r="E47" i="205"/>
  <c r="J46" i="205"/>
  <c r="F46" i="205"/>
  <c r="E46" i="205"/>
  <c r="F45" i="205"/>
  <c r="E45" i="205"/>
  <c r="F44" i="205"/>
  <c r="E44" i="205"/>
  <c r="F43" i="205"/>
  <c r="E43" i="205"/>
  <c r="H40" i="205"/>
  <c r="I40" i="205" s="1"/>
  <c r="E40" i="205"/>
  <c r="I39" i="205"/>
  <c r="I37" i="205"/>
  <c r="I36" i="205"/>
  <c r="J36" i="205" s="1"/>
  <c r="D36" i="205"/>
  <c r="C36" i="205"/>
  <c r="I35" i="205"/>
  <c r="E35" i="205"/>
  <c r="I34" i="205"/>
  <c r="E34" i="205"/>
  <c r="H33" i="205"/>
  <c r="I33" i="205" s="1"/>
  <c r="E33" i="205"/>
  <c r="J31" i="205"/>
  <c r="K31" i="205" s="1"/>
  <c r="I31" i="205"/>
  <c r="J30" i="205"/>
  <c r="K30" i="205" s="1"/>
  <c r="I30" i="205"/>
  <c r="J29" i="205"/>
  <c r="I29" i="205"/>
  <c r="D29" i="205"/>
  <c r="J28" i="205"/>
  <c r="I28" i="205"/>
  <c r="H26" i="205"/>
  <c r="G26" i="205"/>
  <c r="K25" i="205"/>
  <c r="J25" i="205"/>
  <c r="K24" i="205"/>
  <c r="J24" i="205"/>
  <c r="K23" i="205"/>
  <c r="J23" i="205"/>
  <c r="E23" i="205"/>
  <c r="K22" i="205"/>
  <c r="J22" i="205"/>
  <c r="E22" i="205"/>
  <c r="K21" i="205"/>
  <c r="J21" i="205"/>
  <c r="E21" i="205"/>
  <c r="K20" i="205"/>
  <c r="J20" i="205"/>
  <c r="E20" i="205"/>
  <c r="K19" i="205"/>
  <c r="J19" i="205"/>
  <c r="E19" i="205"/>
  <c r="K18" i="205"/>
  <c r="J18" i="205"/>
  <c r="E18" i="205"/>
  <c r="J17" i="205"/>
  <c r="I26" i="205"/>
  <c r="E17" i="205"/>
  <c r="K16" i="205"/>
  <c r="J16" i="205"/>
  <c r="E16" i="205"/>
  <c r="K15" i="205"/>
  <c r="J15" i="205"/>
  <c r="E15" i="205"/>
  <c r="K14" i="205"/>
  <c r="J14" i="205"/>
  <c r="E14" i="205"/>
  <c r="E13" i="205"/>
  <c r="I12" i="205"/>
  <c r="J12" i="205" s="1"/>
  <c r="H12" i="205"/>
  <c r="E12" i="205"/>
  <c r="J11" i="205"/>
  <c r="E11" i="205"/>
  <c r="J10" i="205"/>
  <c r="E10" i="205"/>
  <c r="J9" i="205"/>
  <c r="E9" i="205"/>
  <c r="J8" i="205"/>
  <c r="E8" i="205"/>
  <c r="J7" i="205"/>
  <c r="E7" i="205"/>
  <c r="J6" i="205"/>
  <c r="E6" i="205"/>
  <c r="J5" i="205"/>
  <c r="E5" i="205"/>
  <c r="K3" i="205"/>
  <c r="I3" i="205"/>
  <c r="H3" i="205"/>
  <c r="G3" i="205"/>
  <c r="F3" i="205"/>
  <c r="E3" i="205"/>
  <c r="K2" i="205"/>
  <c r="J2" i="205"/>
  <c r="J3" i="205" s="1"/>
  <c r="I2" i="205"/>
  <c r="H2" i="205"/>
  <c r="D23" i="205"/>
  <c r="D4" i="205"/>
  <c r="B1" i="205"/>
  <c r="E36" i="205" l="1"/>
  <c r="E29" i="205"/>
  <c r="E30" i="205" s="1"/>
  <c r="J27" i="205"/>
  <c r="K26" i="205"/>
  <c r="K17" i="205"/>
  <c r="F11" i="145"/>
  <c r="F10" i="145"/>
  <c r="F8" i="145"/>
  <c r="F14" i="145"/>
  <c r="H33" i="204" l="1"/>
  <c r="I17" i="204" l="1"/>
  <c r="J76" i="204"/>
  <c r="K76" i="204" s="1"/>
  <c r="F76" i="204"/>
  <c r="G76" i="204" s="1"/>
  <c r="G75" i="204"/>
  <c r="G74" i="204"/>
  <c r="G73" i="204"/>
  <c r="G72" i="204"/>
  <c r="G71" i="204"/>
  <c r="G70" i="204"/>
  <c r="G69" i="204"/>
  <c r="G68" i="204"/>
  <c r="K67" i="204"/>
  <c r="G67" i="204"/>
  <c r="K66" i="204"/>
  <c r="G66" i="204"/>
  <c r="K65" i="204"/>
  <c r="G65" i="204"/>
  <c r="K62" i="204"/>
  <c r="J59" i="204"/>
  <c r="K59" i="204" s="1"/>
  <c r="K49" i="204"/>
  <c r="B49" i="204"/>
  <c r="K48" i="204"/>
  <c r="F48" i="204"/>
  <c r="E48" i="204"/>
  <c r="K47" i="204"/>
  <c r="F47" i="204"/>
  <c r="E47" i="204"/>
  <c r="J46" i="204"/>
  <c r="F46" i="204"/>
  <c r="E46" i="204"/>
  <c r="F45" i="204"/>
  <c r="E45" i="204"/>
  <c r="F44" i="204"/>
  <c r="E44" i="204"/>
  <c r="F43" i="204"/>
  <c r="E43" i="204"/>
  <c r="H40" i="204"/>
  <c r="I40" i="204" s="1"/>
  <c r="E40" i="204"/>
  <c r="I39" i="204"/>
  <c r="I37" i="204"/>
  <c r="I36" i="204"/>
  <c r="D36" i="204"/>
  <c r="C36" i="204"/>
  <c r="E36" i="204" s="1"/>
  <c r="I35" i="204"/>
  <c r="E35" i="204"/>
  <c r="I34" i="204"/>
  <c r="E34" i="204"/>
  <c r="I33" i="204"/>
  <c r="E33" i="204"/>
  <c r="K31" i="204"/>
  <c r="J31" i="204"/>
  <c r="I31" i="204"/>
  <c r="J30" i="204"/>
  <c r="K30" i="204" s="1"/>
  <c r="I30" i="204"/>
  <c r="J29" i="204"/>
  <c r="I29" i="204"/>
  <c r="J28" i="204"/>
  <c r="I28" i="204"/>
  <c r="H26" i="204"/>
  <c r="G26" i="204"/>
  <c r="K25" i="204"/>
  <c r="J25" i="204"/>
  <c r="K24" i="204"/>
  <c r="J24" i="204"/>
  <c r="E24" i="204"/>
  <c r="K23" i="204"/>
  <c r="J23" i="204"/>
  <c r="E23" i="204"/>
  <c r="K22" i="204"/>
  <c r="J22" i="204"/>
  <c r="E22" i="204"/>
  <c r="K21" i="204"/>
  <c r="J21" i="204"/>
  <c r="E21" i="204"/>
  <c r="K20" i="204"/>
  <c r="J20" i="204"/>
  <c r="E20" i="204"/>
  <c r="K19" i="204"/>
  <c r="J19" i="204"/>
  <c r="E19" i="204"/>
  <c r="K18" i="204"/>
  <c r="J18" i="204"/>
  <c r="E18" i="204"/>
  <c r="J17" i="204"/>
  <c r="K17" i="204"/>
  <c r="E17" i="204"/>
  <c r="K16" i="204"/>
  <c r="J16" i="204"/>
  <c r="E16" i="204"/>
  <c r="K15" i="204"/>
  <c r="J15" i="204"/>
  <c r="E15" i="204"/>
  <c r="K14" i="204"/>
  <c r="J14" i="204"/>
  <c r="E14" i="204"/>
  <c r="E13" i="204"/>
  <c r="I12" i="204"/>
  <c r="J12" i="204" s="1"/>
  <c r="H12" i="204"/>
  <c r="E12" i="204"/>
  <c r="J11" i="204"/>
  <c r="E11" i="204"/>
  <c r="J10" i="204"/>
  <c r="E10" i="204"/>
  <c r="J9" i="204"/>
  <c r="E9" i="204"/>
  <c r="J8" i="204"/>
  <c r="E8" i="204"/>
  <c r="J7" i="204"/>
  <c r="E7" i="204"/>
  <c r="J6" i="204"/>
  <c r="E6" i="204"/>
  <c r="J5" i="204"/>
  <c r="E5" i="204"/>
  <c r="G3" i="204"/>
  <c r="F3" i="204"/>
  <c r="E3" i="204"/>
  <c r="K2" i="204"/>
  <c r="K3" i="204" s="1"/>
  <c r="D29" i="204" s="1"/>
  <c r="D30" i="204" s="1"/>
  <c r="D25" i="204"/>
  <c r="D4" i="204"/>
  <c r="B1" i="204"/>
  <c r="J36" i="204" l="1"/>
  <c r="E29" i="204"/>
  <c r="I26" i="204"/>
  <c r="E27" i="204"/>
  <c r="E30" i="204" l="1"/>
  <c r="J27" i="204"/>
  <c r="K26" i="204"/>
  <c r="K76" i="203" l="1"/>
  <c r="J76" i="203"/>
  <c r="K66" i="203"/>
  <c r="K67" i="203"/>
  <c r="K65" i="203"/>
  <c r="H33" i="203"/>
  <c r="I17" i="203" l="1"/>
  <c r="F76" i="203"/>
  <c r="G76" i="203" s="1"/>
  <c r="G75" i="203"/>
  <c r="G74" i="203"/>
  <c r="G73" i="203"/>
  <c r="G72" i="203"/>
  <c r="G71" i="203"/>
  <c r="G70" i="203"/>
  <c r="G69" i="203"/>
  <c r="G68" i="203"/>
  <c r="G67" i="203"/>
  <c r="G66" i="203"/>
  <c r="G65" i="203"/>
  <c r="K62" i="203"/>
  <c r="J59" i="203"/>
  <c r="K59" i="203" s="1"/>
  <c r="K49" i="203"/>
  <c r="B49" i="203"/>
  <c r="K48" i="203"/>
  <c r="F48" i="203"/>
  <c r="E48" i="203"/>
  <c r="K47" i="203"/>
  <c r="F47" i="203"/>
  <c r="E47" i="203"/>
  <c r="J46" i="203"/>
  <c r="F46" i="203"/>
  <c r="E46" i="203"/>
  <c r="F45" i="203"/>
  <c r="E45" i="203"/>
  <c r="F44" i="203"/>
  <c r="E44" i="203"/>
  <c r="F43" i="203"/>
  <c r="E43" i="203"/>
  <c r="H40" i="203"/>
  <c r="I40" i="203" s="1"/>
  <c r="E40" i="203"/>
  <c r="I39" i="203"/>
  <c r="I37" i="203"/>
  <c r="I36" i="203"/>
  <c r="D36" i="203"/>
  <c r="C36" i="203"/>
  <c r="E36" i="203" s="1"/>
  <c r="I35" i="203"/>
  <c r="E35" i="203"/>
  <c r="I34" i="203"/>
  <c r="E34" i="203"/>
  <c r="I33" i="203"/>
  <c r="E33" i="203"/>
  <c r="J31" i="203"/>
  <c r="K31" i="203" s="1"/>
  <c r="I31" i="203"/>
  <c r="J30" i="203"/>
  <c r="K30" i="203" s="1"/>
  <c r="I30" i="203"/>
  <c r="J29" i="203"/>
  <c r="I29" i="203"/>
  <c r="J28" i="203"/>
  <c r="I28" i="203"/>
  <c r="H26" i="203"/>
  <c r="G26" i="203"/>
  <c r="K25" i="203"/>
  <c r="J25" i="203"/>
  <c r="K24" i="203"/>
  <c r="J24" i="203"/>
  <c r="E24" i="203"/>
  <c r="K23" i="203"/>
  <c r="J23" i="203"/>
  <c r="E23" i="203"/>
  <c r="K22" i="203"/>
  <c r="J22" i="203"/>
  <c r="E22" i="203"/>
  <c r="K21" i="203"/>
  <c r="J21" i="203"/>
  <c r="E21" i="203"/>
  <c r="K20" i="203"/>
  <c r="J20" i="203"/>
  <c r="E20" i="203"/>
  <c r="K19" i="203"/>
  <c r="J19" i="203"/>
  <c r="E19" i="203"/>
  <c r="K18" i="203"/>
  <c r="J18" i="203"/>
  <c r="E18" i="203"/>
  <c r="K17" i="203"/>
  <c r="J17" i="203"/>
  <c r="I26" i="203"/>
  <c r="E17" i="203"/>
  <c r="K16" i="203"/>
  <c r="J16" i="203"/>
  <c r="E16" i="203"/>
  <c r="K15" i="203"/>
  <c r="J15" i="203"/>
  <c r="E15" i="203"/>
  <c r="K14" i="203"/>
  <c r="J14" i="203"/>
  <c r="E14" i="203"/>
  <c r="E13" i="203"/>
  <c r="I12" i="203"/>
  <c r="H12" i="203"/>
  <c r="E12" i="203"/>
  <c r="J11" i="203"/>
  <c r="E11" i="203"/>
  <c r="J10" i="203"/>
  <c r="E10" i="203"/>
  <c r="J9" i="203"/>
  <c r="E9" i="203"/>
  <c r="J8" i="203"/>
  <c r="E8" i="203"/>
  <c r="J7" i="203"/>
  <c r="E7" i="203"/>
  <c r="J6" i="203"/>
  <c r="E6" i="203"/>
  <c r="J5" i="203"/>
  <c r="E5" i="203"/>
  <c r="G3" i="203"/>
  <c r="F3" i="203"/>
  <c r="E3" i="203"/>
  <c r="K2" i="203"/>
  <c r="K3" i="203" s="1"/>
  <c r="D29" i="203" s="1"/>
  <c r="D25" i="203"/>
  <c r="D4" i="203" s="1"/>
  <c r="B1" i="203"/>
  <c r="E29" i="203" l="1"/>
  <c r="D30" i="203"/>
  <c r="E27" i="203"/>
  <c r="J12" i="203"/>
  <c r="E30" i="203"/>
  <c r="J36" i="203"/>
  <c r="K26" i="203"/>
  <c r="J27" i="203"/>
  <c r="J59" i="202"/>
  <c r="K48" i="202"/>
  <c r="K49" i="202"/>
  <c r="K47" i="202"/>
  <c r="K31" i="202"/>
  <c r="H33" i="202"/>
  <c r="I17" i="202" l="1"/>
  <c r="J76" i="202"/>
  <c r="K76" i="202" s="1"/>
  <c r="F76" i="202"/>
  <c r="G76" i="202" s="1"/>
  <c r="G75" i="202"/>
  <c r="G74" i="202"/>
  <c r="G73" i="202"/>
  <c r="G72" i="202"/>
  <c r="G71" i="202"/>
  <c r="G70" i="202"/>
  <c r="G69" i="202"/>
  <c r="G68" i="202"/>
  <c r="G67" i="202"/>
  <c r="G66" i="202"/>
  <c r="G65" i="202"/>
  <c r="K62" i="202"/>
  <c r="B49" i="202"/>
  <c r="F48" i="202"/>
  <c r="E48" i="202"/>
  <c r="F47" i="202"/>
  <c r="E47" i="202"/>
  <c r="J46" i="202"/>
  <c r="K59" i="202" s="1"/>
  <c r="F46" i="202"/>
  <c r="E46" i="202"/>
  <c r="F45" i="202"/>
  <c r="E45" i="202"/>
  <c r="F44" i="202"/>
  <c r="E44" i="202"/>
  <c r="F43" i="202"/>
  <c r="E43" i="202"/>
  <c r="H40" i="202"/>
  <c r="I40" i="202" s="1"/>
  <c r="E40" i="202"/>
  <c r="I39" i="202"/>
  <c r="I37" i="202"/>
  <c r="I36" i="202"/>
  <c r="J36" i="202" s="1"/>
  <c r="D36" i="202"/>
  <c r="C36" i="202"/>
  <c r="E36" i="202" s="1"/>
  <c r="I35" i="202"/>
  <c r="E35" i="202"/>
  <c r="I34" i="202"/>
  <c r="E34" i="202"/>
  <c r="I33" i="202"/>
  <c r="E33" i="202"/>
  <c r="J31" i="202"/>
  <c r="I31" i="202"/>
  <c r="K30" i="202"/>
  <c r="J30" i="202"/>
  <c r="I30" i="202"/>
  <c r="J29" i="202"/>
  <c r="I29" i="202"/>
  <c r="J28" i="202"/>
  <c r="I28" i="202"/>
  <c r="H26" i="202"/>
  <c r="G26" i="202"/>
  <c r="K25" i="202"/>
  <c r="J25" i="202"/>
  <c r="K24" i="202"/>
  <c r="J24" i="202"/>
  <c r="E24" i="202"/>
  <c r="K23" i="202"/>
  <c r="J23" i="202"/>
  <c r="E23" i="202"/>
  <c r="K22" i="202"/>
  <c r="J22" i="202"/>
  <c r="E22" i="202"/>
  <c r="K21" i="202"/>
  <c r="J21" i="202"/>
  <c r="E21" i="202"/>
  <c r="K20" i="202"/>
  <c r="J20" i="202"/>
  <c r="E20" i="202"/>
  <c r="K19" i="202"/>
  <c r="J19" i="202"/>
  <c r="E19" i="202"/>
  <c r="K18" i="202"/>
  <c r="J18" i="202"/>
  <c r="E18" i="202"/>
  <c r="J17" i="202"/>
  <c r="K17" i="202"/>
  <c r="E17" i="202"/>
  <c r="K16" i="202"/>
  <c r="J16" i="202"/>
  <c r="E16" i="202"/>
  <c r="K15" i="202"/>
  <c r="J15" i="202"/>
  <c r="E15" i="202"/>
  <c r="K14" i="202"/>
  <c r="J14" i="202"/>
  <c r="E14" i="202"/>
  <c r="E13" i="202"/>
  <c r="I12" i="202"/>
  <c r="J12" i="202" s="1"/>
  <c r="H12" i="202"/>
  <c r="E12" i="202"/>
  <c r="J11" i="202"/>
  <c r="E11" i="202"/>
  <c r="J10" i="202"/>
  <c r="E10" i="202"/>
  <c r="J9" i="202"/>
  <c r="E9" i="202"/>
  <c r="J8" i="202"/>
  <c r="E8" i="202"/>
  <c r="J7" i="202"/>
  <c r="E7" i="202"/>
  <c r="J6" i="202"/>
  <c r="E6" i="202"/>
  <c r="J5" i="202"/>
  <c r="E5" i="202"/>
  <c r="G3" i="202"/>
  <c r="F3" i="202"/>
  <c r="E3" i="202"/>
  <c r="K2" i="202"/>
  <c r="E27" i="202" s="1"/>
  <c r="D24" i="202"/>
  <c r="D4" i="202" s="1"/>
  <c r="B1" i="202"/>
  <c r="K3" i="202" l="1"/>
  <c r="D29" i="202" s="1"/>
  <c r="I26" i="202"/>
  <c r="E29" i="202" l="1"/>
  <c r="E30" i="202" s="1"/>
  <c r="D30" i="202"/>
  <c r="J27" i="202"/>
  <c r="K26" i="202"/>
  <c r="I17" i="201" l="1"/>
  <c r="E25" i="201"/>
  <c r="E24" i="201"/>
  <c r="E23" i="201"/>
  <c r="E27" i="201"/>
  <c r="K76" i="201"/>
  <c r="J76" i="201"/>
  <c r="F76" i="201"/>
  <c r="G76" i="201" s="1"/>
  <c r="G75" i="201"/>
  <c r="G74" i="201"/>
  <c r="G73" i="201"/>
  <c r="G72" i="201"/>
  <c r="G71" i="201"/>
  <c r="G70" i="201"/>
  <c r="G69" i="201"/>
  <c r="G68" i="201"/>
  <c r="G67" i="201"/>
  <c r="G66" i="201"/>
  <c r="G65" i="201"/>
  <c r="K62" i="201"/>
  <c r="F60" i="201"/>
  <c r="F58" i="201"/>
  <c r="B49" i="201"/>
  <c r="F48" i="201"/>
  <c r="E48" i="201"/>
  <c r="F47" i="201"/>
  <c r="E47" i="201"/>
  <c r="J46" i="201"/>
  <c r="J59" i="201" s="1"/>
  <c r="K59" i="201" s="1"/>
  <c r="F46" i="201"/>
  <c r="E46" i="201"/>
  <c r="F45" i="201"/>
  <c r="E45" i="201"/>
  <c r="F44" i="201"/>
  <c r="E44" i="201"/>
  <c r="F43" i="201"/>
  <c r="E43" i="201"/>
  <c r="H40" i="201"/>
  <c r="I40" i="201" s="1"/>
  <c r="E40" i="201"/>
  <c r="I39" i="201"/>
  <c r="I37" i="201"/>
  <c r="I36" i="201"/>
  <c r="J36" i="201" s="1"/>
  <c r="D36" i="201"/>
  <c r="C36" i="201"/>
  <c r="E36" i="201" s="1"/>
  <c r="I35" i="201"/>
  <c r="E35" i="201"/>
  <c r="I34" i="201"/>
  <c r="E34" i="201"/>
  <c r="I33" i="201"/>
  <c r="E33" i="201"/>
  <c r="J31" i="201"/>
  <c r="K31" i="201" s="1"/>
  <c r="I31" i="201"/>
  <c r="J30" i="201"/>
  <c r="K30" i="201" s="1"/>
  <c r="I30" i="201"/>
  <c r="J29" i="201"/>
  <c r="I29" i="201"/>
  <c r="J28" i="201"/>
  <c r="I28" i="201"/>
  <c r="I26" i="201"/>
  <c r="J27" i="201" s="1"/>
  <c r="H26" i="201"/>
  <c r="G26" i="201"/>
  <c r="K25" i="201"/>
  <c r="J25" i="201"/>
  <c r="K24" i="201"/>
  <c r="J24" i="201"/>
  <c r="K23" i="201"/>
  <c r="J23" i="201"/>
  <c r="K22" i="201"/>
  <c r="J22" i="201"/>
  <c r="E22" i="201"/>
  <c r="K21" i="201"/>
  <c r="J21" i="201"/>
  <c r="E21" i="201"/>
  <c r="K20" i="201"/>
  <c r="J20" i="201"/>
  <c r="E20" i="201"/>
  <c r="K19" i="201"/>
  <c r="J19" i="201"/>
  <c r="E19" i="201"/>
  <c r="K18" i="201"/>
  <c r="J18" i="201"/>
  <c r="E18" i="201"/>
  <c r="K17" i="201"/>
  <c r="J17" i="201"/>
  <c r="E17" i="201"/>
  <c r="K16" i="201"/>
  <c r="J16" i="201"/>
  <c r="E16" i="201"/>
  <c r="K15" i="201"/>
  <c r="J15" i="201"/>
  <c r="E15" i="201"/>
  <c r="K14" i="201"/>
  <c r="J14" i="201"/>
  <c r="E14" i="201"/>
  <c r="E13" i="201"/>
  <c r="I12" i="201"/>
  <c r="J12" i="201" s="1"/>
  <c r="H12" i="201"/>
  <c r="E12" i="201"/>
  <c r="J11" i="201"/>
  <c r="E11" i="201"/>
  <c r="J10" i="201"/>
  <c r="E10" i="201"/>
  <c r="J9" i="201"/>
  <c r="E9" i="201"/>
  <c r="J8" i="201"/>
  <c r="E8" i="201"/>
  <c r="J7" i="201"/>
  <c r="E7" i="201"/>
  <c r="J6" i="201"/>
  <c r="E6" i="201"/>
  <c r="J5" i="201"/>
  <c r="E5" i="201"/>
  <c r="G3" i="201"/>
  <c r="F3" i="201"/>
  <c r="E3" i="201"/>
  <c r="K2" i="201"/>
  <c r="D25" i="201"/>
  <c r="D4" i="201"/>
  <c r="B1" i="201"/>
  <c r="K26" i="201" l="1"/>
  <c r="K3" i="201"/>
  <c r="D29" i="201" s="1"/>
  <c r="D30" i="201" s="1"/>
  <c r="I17" i="200"/>
  <c r="E10" i="200"/>
  <c r="E8" i="200"/>
  <c r="J76" i="200"/>
  <c r="K76" i="200" s="1"/>
  <c r="F76" i="200"/>
  <c r="G76" i="200" s="1"/>
  <c r="G75" i="200"/>
  <c r="G74" i="200"/>
  <c r="G73" i="200"/>
  <c r="G72" i="200"/>
  <c r="G71" i="200"/>
  <c r="G70" i="200"/>
  <c r="G69" i="200"/>
  <c r="G68" i="200"/>
  <c r="G67" i="200"/>
  <c r="G66" i="200"/>
  <c r="G65" i="200"/>
  <c r="K62" i="200"/>
  <c r="F60" i="200"/>
  <c r="J59" i="200"/>
  <c r="K59" i="200" s="1"/>
  <c r="F58" i="200"/>
  <c r="B49" i="200"/>
  <c r="F48" i="200"/>
  <c r="E48" i="200"/>
  <c r="F47" i="200"/>
  <c r="E47" i="200"/>
  <c r="J46" i="200"/>
  <c r="F46" i="200"/>
  <c r="E46" i="200"/>
  <c r="F45" i="200"/>
  <c r="E45" i="200"/>
  <c r="F44" i="200"/>
  <c r="E44" i="200"/>
  <c r="F43" i="200"/>
  <c r="E43" i="200"/>
  <c r="H40" i="200"/>
  <c r="I40" i="200" s="1"/>
  <c r="E40" i="200"/>
  <c r="I39" i="200"/>
  <c r="I37" i="200"/>
  <c r="I36" i="200"/>
  <c r="J36" i="200" s="1"/>
  <c r="D36" i="200"/>
  <c r="C36" i="200"/>
  <c r="E36" i="200" s="1"/>
  <c r="I35" i="200"/>
  <c r="E35" i="200"/>
  <c r="I34" i="200"/>
  <c r="E34" i="200"/>
  <c r="I33" i="200"/>
  <c r="E33" i="200"/>
  <c r="J31" i="200"/>
  <c r="K31" i="200" s="1"/>
  <c r="I31" i="200"/>
  <c r="J30" i="200"/>
  <c r="K30" i="200" s="1"/>
  <c r="I30" i="200"/>
  <c r="J29" i="200"/>
  <c r="I29" i="200"/>
  <c r="J28" i="200"/>
  <c r="I28" i="200"/>
  <c r="I26" i="200"/>
  <c r="J27" i="200" s="1"/>
  <c r="H26" i="200"/>
  <c r="G26" i="200"/>
  <c r="K25" i="200"/>
  <c r="J25" i="200"/>
  <c r="K24" i="200"/>
  <c r="J24" i="200"/>
  <c r="K23" i="200"/>
  <c r="J23" i="200"/>
  <c r="K22" i="200"/>
  <c r="J22" i="200"/>
  <c r="E22" i="200"/>
  <c r="K21" i="200"/>
  <c r="J21" i="200"/>
  <c r="E21" i="200"/>
  <c r="K20" i="200"/>
  <c r="J20" i="200"/>
  <c r="E20" i="200"/>
  <c r="K19" i="200"/>
  <c r="J19" i="200"/>
  <c r="E19" i="200"/>
  <c r="K18" i="200"/>
  <c r="J18" i="200"/>
  <c r="E18" i="200"/>
  <c r="J17" i="200"/>
  <c r="K17" i="200"/>
  <c r="E17" i="200"/>
  <c r="K16" i="200"/>
  <c r="J16" i="200"/>
  <c r="E16" i="200"/>
  <c r="K15" i="200"/>
  <c r="J15" i="200"/>
  <c r="E15" i="200"/>
  <c r="K14" i="200"/>
  <c r="J14" i="200"/>
  <c r="E14" i="200"/>
  <c r="E13" i="200"/>
  <c r="I12" i="200"/>
  <c r="H12" i="200"/>
  <c r="J12" i="200" s="1"/>
  <c r="E12" i="200"/>
  <c r="J11" i="200"/>
  <c r="E11" i="200"/>
  <c r="J10" i="200"/>
  <c r="J9" i="200"/>
  <c r="E9" i="200"/>
  <c r="J8" i="200"/>
  <c r="J7" i="200"/>
  <c r="E7" i="200"/>
  <c r="J6" i="200"/>
  <c r="E6" i="200"/>
  <c r="J5" i="200"/>
  <c r="E5" i="200"/>
  <c r="G3" i="200"/>
  <c r="F3" i="200"/>
  <c r="E3" i="200"/>
  <c r="K2" i="200"/>
  <c r="K3" i="200" s="1"/>
  <c r="D29" i="200" s="1"/>
  <c r="D30" i="200" s="1"/>
  <c r="D22" i="200"/>
  <c r="D4" i="200" s="1"/>
  <c r="E27" i="200" l="1"/>
  <c r="E29" i="201"/>
  <c r="E30" i="201" s="1"/>
  <c r="E29" i="200"/>
  <c r="E30" i="200" s="1"/>
  <c r="K26" i="200"/>
  <c r="F76" i="199" l="1"/>
  <c r="G75" i="199"/>
  <c r="I17" i="199" l="1"/>
  <c r="I31" i="199" s="1"/>
  <c r="E23" i="199"/>
  <c r="E22" i="199"/>
  <c r="E21" i="199"/>
  <c r="E20" i="199"/>
  <c r="E10" i="199"/>
  <c r="E11" i="199"/>
  <c r="E9" i="199"/>
  <c r="E8" i="199"/>
  <c r="K76" i="199"/>
  <c r="J76" i="199"/>
  <c r="G76" i="199"/>
  <c r="G74" i="199"/>
  <c r="G73" i="199"/>
  <c r="G72" i="199"/>
  <c r="G71" i="199"/>
  <c r="G70" i="199"/>
  <c r="G69" i="199"/>
  <c r="G68" i="199"/>
  <c r="G67" i="199"/>
  <c r="G66" i="199"/>
  <c r="G65" i="199"/>
  <c r="K62" i="199"/>
  <c r="F60" i="199"/>
  <c r="F58" i="199"/>
  <c r="B49" i="199"/>
  <c r="F48" i="199"/>
  <c r="E48" i="199"/>
  <c r="F47" i="199"/>
  <c r="E47" i="199"/>
  <c r="J46" i="199"/>
  <c r="J59" i="199" s="1"/>
  <c r="K59" i="199" s="1"/>
  <c r="F46" i="199"/>
  <c r="E46" i="199"/>
  <c r="F45" i="199"/>
  <c r="E45" i="199"/>
  <c r="F44" i="199"/>
  <c r="E44" i="199"/>
  <c r="F43" i="199"/>
  <c r="E43" i="199"/>
  <c r="H40" i="199"/>
  <c r="I40" i="199" s="1"/>
  <c r="E40" i="199"/>
  <c r="I39" i="199"/>
  <c r="I37" i="199"/>
  <c r="I36" i="199"/>
  <c r="D36" i="199"/>
  <c r="C36" i="199"/>
  <c r="E36" i="199" s="1"/>
  <c r="I35" i="199"/>
  <c r="E35" i="199"/>
  <c r="I34" i="199"/>
  <c r="E34" i="199"/>
  <c r="I33" i="199"/>
  <c r="E33" i="199"/>
  <c r="J31" i="199"/>
  <c r="K31" i="199" s="1"/>
  <c r="J30" i="199"/>
  <c r="K30" i="199" s="1"/>
  <c r="I30" i="199"/>
  <c r="J29" i="199"/>
  <c r="I29" i="199"/>
  <c r="J28" i="199"/>
  <c r="I28" i="199"/>
  <c r="H26" i="199"/>
  <c r="G26" i="199"/>
  <c r="K25" i="199"/>
  <c r="J25" i="199"/>
  <c r="K24" i="199"/>
  <c r="J24" i="199"/>
  <c r="K23" i="199"/>
  <c r="J23" i="199"/>
  <c r="K22" i="199"/>
  <c r="J22" i="199"/>
  <c r="K21" i="199"/>
  <c r="J21" i="199"/>
  <c r="K20" i="199"/>
  <c r="J20" i="199"/>
  <c r="K19" i="199"/>
  <c r="J19" i="199"/>
  <c r="E19" i="199"/>
  <c r="K18" i="199"/>
  <c r="J18" i="199"/>
  <c r="E18" i="199"/>
  <c r="J17" i="199"/>
  <c r="E17" i="199"/>
  <c r="K16" i="199"/>
  <c r="J16" i="199"/>
  <c r="E16" i="199"/>
  <c r="K15" i="199"/>
  <c r="J15" i="199"/>
  <c r="E15" i="199"/>
  <c r="K14" i="199"/>
  <c r="J14" i="199"/>
  <c r="E14" i="199"/>
  <c r="E13" i="199"/>
  <c r="I12" i="199"/>
  <c r="H12" i="199"/>
  <c r="E12" i="199"/>
  <c r="J11" i="199"/>
  <c r="J10" i="199"/>
  <c r="J9" i="199"/>
  <c r="J8" i="199"/>
  <c r="J7" i="199"/>
  <c r="E7" i="199"/>
  <c r="J6" i="199"/>
  <c r="E6" i="199"/>
  <c r="J5" i="199"/>
  <c r="E5" i="199"/>
  <c r="G3" i="199"/>
  <c r="F3" i="199"/>
  <c r="E3" i="199"/>
  <c r="K2" i="199"/>
  <c r="K3" i="199" s="1"/>
  <c r="D29" i="199" s="1"/>
  <c r="E29" i="199" s="1"/>
  <c r="D23" i="199"/>
  <c r="D4" i="199"/>
  <c r="B1" i="199"/>
  <c r="E27" i="199" l="1"/>
  <c r="E30" i="199"/>
  <c r="D30" i="199"/>
  <c r="J36" i="199"/>
  <c r="K17" i="199"/>
  <c r="J12" i="199"/>
  <c r="I26" i="199"/>
  <c r="F76" i="198"/>
  <c r="G74" i="198"/>
  <c r="G73" i="198"/>
  <c r="G72" i="198"/>
  <c r="G71" i="198"/>
  <c r="G70" i="198"/>
  <c r="G69" i="198"/>
  <c r="G68" i="198"/>
  <c r="G67" i="198"/>
  <c r="G66" i="198"/>
  <c r="G65" i="198"/>
  <c r="J27" i="199" l="1"/>
  <c r="K26" i="199"/>
  <c r="E13" i="198"/>
  <c r="E10" i="198"/>
  <c r="E11" i="198"/>
  <c r="E5" i="198"/>
  <c r="E6" i="198"/>
  <c r="I17" i="198"/>
  <c r="I26" i="198" s="1"/>
  <c r="D30" i="198"/>
  <c r="E27" i="198"/>
  <c r="E30" i="198" s="1"/>
  <c r="K76" i="198"/>
  <c r="J76" i="198"/>
  <c r="G76" i="198"/>
  <c r="K62" i="198"/>
  <c r="F60" i="198"/>
  <c r="J59" i="198"/>
  <c r="K59" i="198" s="1"/>
  <c r="F58" i="198"/>
  <c r="B49" i="198"/>
  <c r="F48" i="198"/>
  <c r="E48" i="198"/>
  <c r="F47" i="198"/>
  <c r="E47" i="198"/>
  <c r="J46" i="198"/>
  <c r="F46" i="198"/>
  <c r="E46" i="198"/>
  <c r="F45" i="198"/>
  <c r="E45" i="198"/>
  <c r="F44" i="198"/>
  <c r="E44" i="198"/>
  <c r="F43" i="198"/>
  <c r="E43" i="198"/>
  <c r="H40" i="198"/>
  <c r="I40" i="198" s="1"/>
  <c r="E40" i="198"/>
  <c r="I39" i="198"/>
  <c r="I37" i="198"/>
  <c r="I36" i="198"/>
  <c r="D36" i="198"/>
  <c r="C36" i="198"/>
  <c r="E36" i="198" s="1"/>
  <c r="I35" i="198"/>
  <c r="E35" i="198"/>
  <c r="I34" i="198"/>
  <c r="E34" i="198"/>
  <c r="I33" i="198"/>
  <c r="E33" i="198"/>
  <c r="J30" i="198"/>
  <c r="K30" i="198" s="1"/>
  <c r="I30" i="198"/>
  <c r="J29" i="198"/>
  <c r="I29" i="198"/>
  <c r="D29" i="198"/>
  <c r="E29" i="198" s="1"/>
  <c r="J28" i="198"/>
  <c r="I28" i="198"/>
  <c r="H26" i="198"/>
  <c r="G26" i="198"/>
  <c r="K25" i="198"/>
  <c r="J25" i="198"/>
  <c r="K24" i="198"/>
  <c r="J24" i="198"/>
  <c r="K23" i="198"/>
  <c r="J23" i="198"/>
  <c r="K22" i="198"/>
  <c r="J22" i="198"/>
  <c r="K21" i="198"/>
  <c r="J21" i="198"/>
  <c r="K20" i="198"/>
  <c r="J20" i="198"/>
  <c r="K19" i="198"/>
  <c r="J19" i="198"/>
  <c r="E19" i="198"/>
  <c r="K18" i="198"/>
  <c r="J18" i="198"/>
  <c r="E18" i="198"/>
  <c r="J17" i="198"/>
  <c r="E17" i="198"/>
  <c r="K16" i="198"/>
  <c r="J16" i="198"/>
  <c r="E16" i="198"/>
  <c r="K15" i="198"/>
  <c r="J15" i="198"/>
  <c r="E15" i="198"/>
  <c r="K14" i="198"/>
  <c r="J14" i="198"/>
  <c r="E14" i="198"/>
  <c r="I12" i="198"/>
  <c r="J12" i="198" s="1"/>
  <c r="H12" i="198"/>
  <c r="E12" i="198"/>
  <c r="J11" i="198"/>
  <c r="J10" i="198"/>
  <c r="J9" i="198"/>
  <c r="E9" i="198"/>
  <c r="J8" i="198"/>
  <c r="E8" i="198"/>
  <c r="J7" i="198"/>
  <c r="E7" i="198"/>
  <c r="J6" i="198"/>
  <c r="J5" i="198"/>
  <c r="G3" i="198"/>
  <c r="F3" i="198"/>
  <c r="E3" i="198"/>
  <c r="K2" i="198"/>
  <c r="K3" i="198" s="1"/>
  <c r="D19" i="198"/>
  <c r="D4" i="198"/>
  <c r="J36" i="198" l="1"/>
  <c r="K26" i="198"/>
  <c r="J27" i="198"/>
  <c r="J31" i="198"/>
  <c r="I31" i="198"/>
  <c r="K31" i="198"/>
  <c r="K17" i="198"/>
  <c r="I17" i="197" l="1"/>
  <c r="E13" i="197"/>
  <c r="E8" i="197"/>
  <c r="E9" i="197"/>
  <c r="E5" i="197"/>
  <c r="E6" i="197"/>
  <c r="J76" i="197"/>
  <c r="K76" i="197" s="1"/>
  <c r="G76" i="197"/>
  <c r="G73" i="197"/>
  <c r="G72" i="197"/>
  <c r="G71" i="197"/>
  <c r="G70" i="197"/>
  <c r="G69" i="197"/>
  <c r="G68" i="197"/>
  <c r="F67" i="197"/>
  <c r="G67" i="197" s="1"/>
  <c r="G66" i="197"/>
  <c r="G65" i="197"/>
  <c r="K62" i="197"/>
  <c r="F60" i="197"/>
  <c r="J59" i="197"/>
  <c r="K59" i="197" s="1"/>
  <c r="F58" i="197"/>
  <c r="B49" i="197"/>
  <c r="F48" i="197"/>
  <c r="E48" i="197"/>
  <c r="F47" i="197"/>
  <c r="E47" i="197"/>
  <c r="J46" i="197"/>
  <c r="F46" i="197"/>
  <c r="E46" i="197"/>
  <c r="F45" i="197"/>
  <c r="E45" i="197"/>
  <c r="F44" i="197"/>
  <c r="E44" i="197"/>
  <c r="F43" i="197"/>
  <c r="E43" i="197"/>
  <c r="H40" i="197"/>
  <c r="I40" i="197" s="1"/>
  <c r="E40" i="197"/>
  <c r="I39" i="197"/>
  <c r="I37" i="197"/>
  <c r="I36" i="197"/>
  <c r="J36" i="197" s="1"/>
  <c r="D36" i="197"/>
  <c r="C36" i="197"/>
  <c r="E36" i="197" s="1"/>
  <c r="I35" i="197"/>
  <c r="E35" i="197"/>
  <c r="I34" i="197"/>
  <c r="E34" i="197"/>
  <c r="I33" i="197"/>
  <c r="E33" i="197"/>
  <c r="J31" i="197"/>
  <c r="K31" i="197" s="1"/>
  <c r="I31" i="197"/>
  <c r="J30" i="197"/>
  <c r="K30" i="197" s="1"/>
  <c r="I30" i="197"/>
  <c r="J29" i="197"/>
  <c r="I29" i="197"/>
  <c r="J28" i="197"/>
  <c r="I28" i="197"/>
  <c r="H26" i="197"/>
  <c r="G26" i="197"/>
  <c r="K25" i="197"/>
  <c r="J25" i="197"/>
  <c r="K24" i="197"/>
  <c r="J24" i="197"/>
  <c r="K23" i="197"/>
  <c r="J23" i="197"/>
  <c r="E23" i="197"/>
  <c r="K22" i="197"/>
  <c r="J22" i="197"/>
  <c r="E22" i="197"/>
  <c r="K21" i="197"/>
  <c r="J21" i="197"/>
  <c r="E21" i="197"/>
  <c r="K20" i="197"/>
  <c r="J20" i="197"/>
  <c r="E20" i="197"/>
  <c r="K19" i="197"/>
  <c r="J19" i="197"/>
  <c r="E19" i="197"/>
  <c r="K18" i="197"/>
  <c r="J18" i="197"/>
  <c r="E18" i="197"/>
  <c r="J17" i="197"/>
  <c r="I26" i="197"/>
  <c r="E17" i="197"/>
  <c r="K16" i="197"/>
  <c r="J16" i="197"/>
  <c r="E16" i="197"/>
  <c r="K15" i="197"/>
  <c r="J15" i="197"/>
  <c r="E15" i="197"/>
  <c r="K14" i="197"/>
  <c r="J14" i="197"/>
  <c r="E14" i="197"/>
  <c r="I12" i="197"/>
  <c r="J12" i="197" s="1"/>
  <c r="H12" i="197"/>
  <c r="E12" i="197"/>
  <c r="J11" i="197"/>
  <c r="E11" i="197"/>
  <c r="J10" i="197"/>
  <c r="E10" i="197"/>
  <c r="J9" i="197"/>
  <c r="J8" i="197"/>
  <c r="J7" i="197"/>
  <c r="E7" i="197"/>
  <c r="J6" i="197"/>
  <c r="J5" i="197"/>
  <c r="G3" i="197"/>
  <c r="F3" i="197"/>
  <c r="E3" i="197"/>
  <c r="K2" i="197"/>
  <c r="E27" i="197" s="1"/>
  <c r="D23" i="197"/>
  <c r="D4" i="197"/>
  <c r="B1" i="197"/>
  <c r="J27" i="197" l="1"/>
  <c r="K26" i="197"/>
  <c r="K3" i="197"/>
  <c r="D29" i="197" s="1"/>
  <c r="K17" i="197"/>
  <c r="D30" i="197" l="1"/>
  <c r="E29" i="197"/>
  <c r="E30" i="197" s="1"/>
  <c r="I17" i="196"/>
  <c r="J76" i="196"/>
  <c r="K76" i="196" s="1"/>
  <c r="G76" i="196"/>
  <c r="G73" i="196"/>
  <c r="G72" i="196"/>
  <c r="G71" i="196"/>
  <c r="G70" i="196"/>
  <c r="G69" i="196"/>
  <c r="G68" i="196"/>
  <c r="F67" i="196"/>
  <c r="G67" i="196" s="1"/>
  <c r="G66" i="196"/>
  <c r="G65" i="196"/>
  <c r="K62" i="196"/>
  <c r="F60" i="196"/>
  <c r="F58" i="196"/>
  <c r="B49" i="196"/>
  <c r="F48" i="196"/>
  <c r="E48" i="196"/>
  <c r="F47" i="196"/>
  <c r="E47" i="196"/>
  <c r="J46" i="196"/>
  <c r="J59" i="196" s="1"/>
  <c r="K59" i="196" s="1"/>
  <c r="F46" i="196"/>
  <c r="E46" i="196"/>
  <c r="F45" i="196"/>
  <c r="E45" i="196"/>
  <c r="F44" i="196"/>
  <c r="E44" i="196"/>
  <c r="F43" i="196"/>
  <c r="E43" i="196"/>
  <c r="H40" i="196"/>
  <c r="I40" i="196" s="1"/>
  <c r="E40" i="196"/>
  <c r="I39" i="196"/>
  <c r="I37" i="196"/>
  <c r="I36" i="196"/>
  <c r="D36" i="196"/>
  <c r="C36" i="196"/>
  <c r="E36" i="196" s="1"/>
  <c r="I35" i="196"/>
  <c r="E35" i="196"/>
  <c r="I34" i="196"/>
  <c r="E34" i="196"/>
  <c r="I33" i="196"/>
  <c r="E33" i="196"/>
  <c r="J31" i="196"/>
  <c r="K31" i="196" s="1"/>
  <c r="I31" i="196"/>
  <c r="J30" i="196"/>
  <c r="K30" i="196" s="1"/>
  <c r="I30" i="196"/>
  <c r="J29" i="196"/>
  <c r="I29" i="196"/>
  <c r="J28" i="196"/>
  <c r="I28" i="196"/>
  <c r="H26" i="196"/>
  <c r="G26" i="196"/>
  <c r="K25" i="196"/>
  <c r="J25" i="196"/>
  <c r="K24" i="196"/>
  <c r="J24" i="196"/>
  <c r="E24" i="196"/>
  <c r="K23" i="196"/>
  <c r="J23" i="196"/>
  <c r="E23" i="196"/>
  <c r="K22" i="196"/>
  <c r="J22" i="196"/>
  <c r="E22" i="196"/>
  <c r="K21" i="196"/>
  <c r="J21" i="196"/>
  <c r="E21" i="196"/>
  <c r="K20" i="196"/>
  <c r="J20" i="196"/>
  <c r="E20" i="196"/>
  <c r="K19" i="196"/>
  <c r="J19" i="196"/>
  <c r="E19" i="196"/>
  <c r="K18" i="196"/>
  <c r="J18" i="196"/>
  <c r="E18" i="196"/>
  <c r="J17" i="196"/>
  <c r="K17" i="196"/>
  <c r="E17" i="196"/>
  <c r="K16" i="196"/>
  <c r="J16" i="196"/>
  <c r="E16" i="196"/>
  <c r="K15" i="196"/>
  <c r="J15" i="196"/>
  <c r="E15" i="196"/>
  <c r="K14" i="196"/>
  <c r="J14" i="196"/>
  <c r="E14" i="196"/>
  <c r="E13" i="196"/>
  <c r="I12" i="196"/>
  <c r="J12" i="196" s="1"/>
  <c r="H12" i="196"/>
  <c r="E12" i="196"/>
  <c r="J11" i="196"/>
  <c r="E11" i="196"/>
  <c r="J10" i="196"/>
  <c r="E10" i="196"/>
  <c r="J9" i="196"/>
  <c r="E9" i="196"/>
  <c r="J8" i="196"/>
  <c r="E8" i="196"/>
  <c r="J7" i="196"/>
  <c r="E7" i="196"/>
  <c r="J6" i="196"/>
  <c r="E6" i="196"/>
  <c r="J5" i="196"/>
  <c r="E5" i="196"/>
  <c r="G3" i="196"/>
  <c r="F3" i="196"/>
  <c r="E3" i="196"/>
  <c r="K2" i="196"/>
  <c r="E27" i="196" s="1"/>
  <c r="D24" i="196"/>
  <c r="D4" i="196"/>
  <c r="B1" i="196"/>
  <c r="J36" i="196" l="1"/>
  <c r="K3" i="196"/>
  <c r="D29" i="196" s="1"/>
  <c r="I26" i="196"/>
  <c r="J76" i="195"/>
  <c r="K76" i="195" s="1"/>
  <c r="G76" i="195"/>
  <c r="G73" i="195"/>
  <c r="G72" i="195"/>
  <c r="G71" i="195"/>
  <c r="G70" i="195"/>
  <c r="G69" i="195"/>
  <c r="G68" i="195"/>
  <c r="F67" i="195"/>
  <c r="G67" i="195" s="1"/>
  <c r="G66" i="195"/>
  <c r="G65" i="195"/>
  <c r="K62" i="195"/>
  <c r="F60" i="195"/>
  <c r="F58" i="195"/>
  <c r="B49" i="195"/>
  <c r="F48" i="195"/>
  <c r="E48" i="195"/>
  <c r="F47" i="195"/>
  <c r="E47" i="195"/>
  <c r="J46" i="195"/>
  <c r="J59" i="195" s="1"/>
  <c r="K59" i="195" s="1"/>
  <c r="F46" i="195"/>
  <c r="E46" i="195"/>
  <c r="F45" i="195"/>
  <c r="E45" i="195"/>
  <c r="F44" i="195"/>
  <c r="E44" i="195"/>
  <c r="F43" i="195"/>
  <c r="E43" i="195"/>
  <c r="H40" i="195"/>
  <c r="I40" i="195" s="1"/>
  <c r="E40" i="195"/>
  <c r="I39" i="195"/>
  <c r="I37" i="195"/>
  <c r="I36" i="195"/>
  <c r="D36" i="195"/>
  <c r="C36" i="195"/>
  <c r="E36" i="195" s="1"/>
  <c r="I35" i="195"/>
  <c r="E35" i="195"/>
  <c r="I34" i="195"/>
  <c r="E34" i="195"/>
  <c r="I33" i="195"/>
  <c r="E33" i="195"/>
  <c r="K31" i="195"/>
  <c r="J31" i="195"/>
  <c r="I31" i="195"/>
  <c r="J30" i="195"/>
  <c r="K30" i="195" s="1"/>
  <c r="I30" i="195"/>
  <c r="J29" i="195"/>
  <c r="I29" i="195"/>
  <c r="J28" i="195"/>
  <c r="I28" i="195"/>
  <c r="I26" i="195"/>
  <c r="H26" i="195"/>
  <c r="I17" i="195"/>
  <c r="E25" i="195"/>
  <c r="E24" i="195"/>
  <c r="E23" i="195"/>
  <c r="E22" i="195"/>
  <c r="E14" i="195"/>
  <c r="G26" i="195"/>
  <c r="K25" i="195"/>
  <c r="J25" i="195"/>
  <c r="K24" i="195"/>
  <c r="J24" i="195"/>
  <c r="K23" i="195"/>
  <c r="J23" i="195"/>
  <c r="K22" i="195"/>
  <c r="J22" i="195"/>
  <c r="K21" i="195"/>
  <c r="J21" i="195"/>
  <c r="E21" i="195"/>
  <c r="K20" i="195"/>
  <c r="J20" i="195"/>
  <c r="E20" i="195"/>
  <c r="K19" i="195"/>
  <c r="J19" i="195"/>
  <c r="E19" i="195"/>
  <c r="K18" i="195"/>
  <c r="J18" i="195"/>
  <c r="E18" i="195"/>
  <c r="J17" i="195"/>
  <c r="E17" i="195"/>
  <c r="K16" i="195"/>
  <c r="J16" i="195"/>
  <c r="E16" i="195"/>
  <c r="K15" i="195"/>
  <c r="J15" i="195"/>
  <c r="E15" i="195"/>
  <c r="K14" i="195"/>
  <c r="J14" i="195"/>
  <c r="E13" i="195"/>
  <c r="I12" i="195"/>
  <c r="J12" i="195" s="1"/>
  <c r="H12" i="195"/>
  <c r="E12" i="195"/>
  <c r="J11" i="195"/>
  <c r="E11" i="195"/>
  <c r="J10" i="195"/>
  <c r="E10" i="195"/>
  <c r="J9" i="195"/>
  <c r="E9" i="195"/>
  <c r="J8" i="195"/>
  <c r="E8" i="195"/>
  <c r="J7" i="195"/>
  <c r="E7" i="195"/>
  <c r="J6" i="195"/>
  <c r="E6" i="195"/>
  <c r="J5" i="195"/>
  <c r="E5" i="195"/>
  <c r="G3" i="195"/>
  <c r="F3" i="195"/>
  <c r="E3" i="195"/>
  <c r="K2" i="195"/>
  <c r="E27" i="195" s="1"/>
  <c r="D25" i="195"/>
  <c r="D4" i="195"/>
  <c r="E29" i="196" l="1"/>
  <c r="E30" i="196" s="1"/>
  <c r="D30" i="196"/>
  <c r="J27" i="196"/>
  <c r="K26" i="196"/>
  <c r="J36" i="195"/>
  <c r="K26" i="195"/>
  <c r="J27" i="195"/>
  <c r="K17" i="195"/>
  <c r="K3" i="195"/>
  <c r="D29" i="195" s="1"/>
  <c r="E29" i="195" l="1"/>
  <c r="E30" i="195" s="1"/>
  <c r="D30" i="195"/>
  <c r="J76" i="193"/>
  <c r="K62" i="193"/>
  <c r="J59" i="193"/>
  <c r="J46" i="193"/>
  <c r="H40" i="193"/>
  <c r="J36" i="193"/>
  <c r="J31" i="193" l="1"/>
  <c r="I31" i="193"/>
  <c r="K31" i="193"/>
  <c r="K30" i="193"/>
  <c r="I17" i="193"/>
  <c r="E14" i="193"/>
  <c r="E12" i="193"/>
  <c r="K76" i="193"/>
  <c r="G76" i="193"/>
  <c r="G73" i="193"/>
  <c r="G72" i="193"/>
  <c r="G71" i="193"/>
  <c r="G70" i="193"/>
  <c r="G69" i="193"/>
  <c r="G68" i="193"/>
  <c r="F67" i="193"/>
  <c r="G67" i="193" s="1"/>
  <c r="G66" i="193"/>
  <c r="G65" i="193"/>
  <c r="F60" i="193"/>
  <c r="K59" i="193"/>
  <c r="F58" i="193"/>
  <c r="B49" i="193"/>
  <c r="F48" i="193"/>
  <c r="E48" i="193"/>
  <c r="F47" i="193"/>
  <c r="E47" i="193"/>
  <c r="F46" i="193"/>
  <c r="E46" i="193"/>
  <c r="F45" i="193"/>
  <c r="E45" i="193"/>
  <c r="F44" i="193"/>
  <c r="E44" i="193"/>
  <c r="F43" i="193"/>
  <c r="E43" i="193"/>
  <c r="E40" i="193"/>
  <c r="I40" i="193"/>
  <c r="I39" i="193"/>
  <c r="I37" i="193"/>
  <c r="D36" i="193"/>
  <c r="C36" i="193"/>
  <c r="E36" i="193" s="1"/>
  <c r="I36" i="193"/>
  <c r="E35" i="193"/>
  <c r="I35" i="193"/>
  <c r="E34" i="193"/>
  <c r="I34" i="193"/>
  <c r="E33" i="193"/>
  <c r="I33" i="193"/>
  <c r="J30" i="193"/>
  <c r="I30" i="193"/>
  <c r="J29" i="193"/>
  <c r="I29" i="193"/>
  <c r="J28" i="193"/>
  <c r="I28" i="193"/>
  <c r="I26" i="193"/>
  <c r="J27" i="193" s="1"/>
  <c r="H26" i="193"/>
  <c r="G26" i="193"/>
  <c r="K25" i="193"/>
  <c r="J25" i="193"/>
  <c r="K24" i="193"/>
  <c r="J24" i="193"/>
  <c r="K23" i="193"/>
  <c r="J23" i="193"/>
  <c r="K22" i="193"/>
  <c r="J22" i="193"/>
  <c r="K21" i="193"/>
  <c r="J21" i="193"/>
  <c r="E21" i="193"/>
  <c r="K20" i="193"/>
  <c r="J20" i="193"/>
  <c r="E20" i="193"/>
  <c r="K19" i="193"/>
  <c r="J19" i="193"/>
  <c r="E19" i="193"/>
  <c r="K18" i="193"/>
  <c r="J18" i="193"/>
  <c r="E18" i="193"/>
  <c r="K17" i="193"/>
  <c r="J17" i="193"/>
  <c r="E17" i="193"/>
  <c r="K16" i="193"/>
  <c r="J16" i="193"/>
  <c r="E16" i="193"/>
  <c r="K15" i="193"/>
  <c r="J15" i="193"/>
  <c r="E15" i="193"/>
  <c r="K14" i="193"/>
  <c r="J14" i="193"/>
  <c r="E13" i="193"/>
  <c r="I12" i="193"/>
  <c r="J12" i="193" s="1"/>
  <c r="H12" i="193"/>
  <c r="J11" i="193"/>
  <c r="E11" i="193"/>
  <c r="J10" i="193"/>
  <c r="E10" i="193"/>
  <c r="J9" i="193"/>
  <c r="E9" i="193"/>
  <c r="J8" i="193"/>
  <c r="E8" i="193"/>
  <c r="J7" i="193"/>
  <c r="E7" i="193"/>
  <c r="J6" i="193"/>
  <c r="E6" i="193"/>
  <c r="J5" i="193"/>
  <c r="E5" i="193"/>
  <c r="G3" i="193"/>
  <c r="F3" i="193"/>
  <c r="E3" i="193"/>
  <c r="K2" i="193"/>
  <c r="K3" i="193" s="1"/>
  <c r="D29" i="193" s="1"/>
  <c r="D24" i="193"/>
  <c r="D4" i="193"/>
  <c r="B1" i="193"/>
  <c r="D30" i="193" l="1"/>
  <c r="E27" i="193"/>
  <c r="K26" i="193"/>
  <c r="H26" i="192" l="1"/>
  <c r="K2" i="192"/>
  <c r="K3" i="192" s="1"/>
  <c r="E15" i="192" l="1"/>
  <c r="E12" i="192"/>
  <c r="I26" i="192" l="1"/>
  <c r="J76" i="192"/>
  <c r="K76" i="192" s="1"/>
  <c r="G76" i="192"/>
  <c r="K75" i="192"/>
  <c r="K74" i="192"/>
  <c r="K73" i="192"/>
  <c r="G73" i="192"/>
  <c r="K72" i="192"/>
  <c r="G72" i="192"/>
  <c r="K71" i="192"/>
  <c r="G71" i="192"/>
  <c r="K70" i="192"/>
  <c r="G70" i="192"/>
  <c r="K69" i="192"/>
  <c r="G69" i="192"/>
  <c r="K68" i="192"/>
  <c r="G68" i="192"/>
  <c r="K67" i="192"/>
  <c r="F67" i="192"/>
  <c r="G67" i="192" s="1"/>
  <c r="K66" i="192"/>
  <c r="G66" i="192"/>
  <c r="K65" i="192"/>
  <c r="G65" i="192"/>
  <c r="K64" i="192"/>
  <c r="K63" i="192"/>
  <c r="F60" i="192"/>
  <c r="K59" i="192"/>
  <c r="J59" i="192"/>
  <c r="F58" i="192"/>
  <c r="K57" i="192"/>
  <c r="K56" i="192"/>
  <c r="K55" i="192"/>
  <c r="K54" i="192"/>
  <c r="K53" i="192"/>
  <c r="K52" i="192"/>
  <c r="K51" i="192"/>
  <c r="K50" i="192"/>
  <c r="K49" i="192"/>
  <c r="B49" i="192"/>
  <c r="K48" i="192"/>
  <c r="F48" i="192"/>
  <c r="E48" i="192"/>
  <c r="K47" i="192"/>
  <c r="F47" i="192"/>
  <c r="E47" i="192"/>
  <c r="K46" i="192"/>
  <c r="F46" i="192"/>
  <c r="E46" i="192"/>
  <c r="F45" i="192"/>
  <c r="E45" i="192"/>
  <c r="F44" i="192"/>
  <c r="E44" i="192"/>
  <c r="F43" i="192"/>
  <c r="E43" i="192"/>
  <c r="E40" i="192"/>
  <c r="I39" i="192"/>
  <c r="I38" i="192"/>
  <c r="I36" i="192"/>
  <c r="D36" i="192"/>
  <c r="C36" i="192"/>
  <c r="E36" i="192" s="1"/>
  <c r="I35" i="192"/>
  <c r="J35" i="192" s="1"/>
  <c r="E35" i="192"/>
  <c r="I34" i="192"/>
  <c r="E34" i="192"/>
  <c r="I33" i="192"/>
  <c r="E33" i="192"/>
  <c r="I32" i="192"/>
  <c r="J29" i="192"/>
  <c r="I29" i="192"/>
  <c r="J28" i="192"/>
  <c r="I28" i="192"/>
  <c r="G26" i="192"/>
  <c r="K25" i="192"/>
  <c r="J25" i="192"/>
  <c r="K24" i="192"/>
  <c r="J24" i="192"/>
  <c r="K23" i="192"/>
  <c r="J23" i="192"/>
  <c r="K22" i="192"/>
  <c r="J22" i="192"/>
  <c r="K21" i="192"/>
  <c r="J21" i="192"/>
  <c r="E21" i="192"/>
  <c r="K20" i="192"/>
  <c r="J20" i="192"/>
  <c r="E20" i="192"/>
  <c r="K19" i="192"/>
  <c r="J19" i="192"/>
  <c r="E19" i="192"/>
  <c r="K18" i="192"/>
  <c r="J18" i="192"/>
  <c r="E18" i="192"/>
  <c r="K17" i="192"/>
  <c r="J17" i="192"/>
  <c r="E17" i="192"/>
  <c r="J16" i="192"/>
  <c r="E16" i="192"/>
  <c r="K15" i="192"/>
  <c r="J15" i="192"/>
  <c r="K14" i="192"/>
  <c r="J14" i="192"/>
  <c r="E14" i="192"/>
  <c r="E13" i="192"/>
  <c r="I12" i="192"/>
  <c r="J12" i="192" s="1"/>
  <c r="H12" i="192"/>
  <c r="J11" i="192"/>
  <c r="E11" i="192"/>
  <c r="J10" i="192"/>
  <c r="E10" i="192"/>
  <c r="J9" i="192"/>
  <c r="E9" i="192"/>
  <c r="J8" i="192"/>
  <c r="E8" i="192"/>
  <c r="J7" i="192"/>
  <c r="E7" i="192"/>
  <c r="J6" i="192"/>
  <c r="E6" i="192"/>
  <c r="J5" i="192"/>
  <c r="E5" i="192"/>
  <c r="G3" i="192"/>
  <c r="F3" i="192"/>
  <c r="E3" i="192"/>
  <c r="D21" i="192"/>
  <c r="D4" i="192" s="1"/>
  <c r="B1" i="192"/>
  <c r="J30" i="192" l="1"/>
  <c r="K30" i="192" s="1"/>
  <c r="I30" i="192"/>
  <c r="J27" i="192"/>
  <c r="K26" i="192"/>
  <c r="K16" i="192"/>
  <c r="D26" i="190" l="1"/>
  <c r="D25" i="190"/>
  <c r="I16" i="191" l="1"/>
  <c r="E23" i="191"/>
  <c r="E24" i="191"/>
  <c r="E15" i="191"/>
  <c r="E14" i="191"/>
  <c r="E10" i="191"/>
  <c r="E8" i="191"/>
  <c r="J76" i="191"/>
  <c r="K76" i="191" s="1"/>
  <c r="G76" i="191"/>
  <c r="K75" i="191"/>
  <c r="K74" i="191"/>
  <c r="K73" i="191"/>
  <c r="G73" i="191"/>
  <c r="K72" i="191"/>
  <c r="G72" i="191"/>
  <c r="K71" i="191"/>
  <c r="G71" i="191"/>
  <c r="K70" i="191"/>
  <c r="G70" i="191"/>
  <c r="K69" i="191"/>
  <c r="G69" i="191"/>
  <c r="K68" i="191"/>
  <c r="G68" i="191"/>
  <c r="K67" i="191"/>
  <c r="F67" i="191"/>
  <c r="G67" i="191" s="1"/>
  <c r="K66" i="191"/>
  <c r="G66" i="191"/>
  <c r="K65" i="191"/>
  <c r="G65" i="191"/>
  <c r="K64" i="191"/>
  <c r="K63" i="191"/>
  <c r="F60" i="191"/>
  <c r="J59" i="191"/>
  <c r="K59" i="191" s="1"/>
  <c r="F58" i="191"/>
  <c r="K57" i="191"/>
  <c r="K56" i="191"/>
  <c r="K55" i="191"/>
  <c r="K54" i="191"/>
  <c r="K53" i="191"/>
  <c r="K52" i="191"/>
  <c r="K51" i="191"/>
  <c r="K50" i="191"/>
  <c r="K49" i="191"/>
  <c r="B49" i="191"/>
  <c r="K48" i="191"/>
  <c r="F48" i="191"/>
  <c r="E48" i="191"/>
  <c r="K47" i="191"/>
  <c r="F47" i="191"/>
  <c r="E47" i="191"/>
  <c r="K46" i="191"/>
  <c r="F46" i="191"/>
  <c r="E46" i="191"/>
  <c r="F45" i="191"/>
  <c r="E45" i="191"/>
  <c r="F44" i="191"/>
  <c r="E44" i="191"/>
  <c r="F43" i="191"/>
  <c r="E43" i="191"/>
  <c r="E40" i="191"/>
  <c r="I39" i="191"/>
  <c r="I38" i="191"/>
  <c r="I36" i="191"/>
  <c r="D36" i="191"/>
  <c r="C36" i="191"/>
  <c r="E36" i="191" s="1"/>
  <c r="I35" i="191"/>
  <c r="E35" i="191"/>
  <c r="I34" i="191"/>
  <c r="E34" i="191"/>
  <c r="I33" i="191"/>
  <c r="E33" i="191"/>
  <c r="I32" i="191"/>
  <c r="J30" i="191"/>
  <c r="K30" i="191" s="1"/>
  <c r="I30" i="191"/>
  <c r="J29" i="191"/>
  <c r="I29" i="191"/>
  <c r="J28" i="191"/>
  <c r="I28" i="191"/>
  <c r="H26" i="191"/>
  <c r="G26" i="191"/>
  <c r="K25" i="191"/>
  <c r="J25" i="191"/>
  <c r="K24" i="191"/>
  <c r="J24" i="191"/>
  <c r="K23" i="191"/>
  <c r="J23" i="191"/>
  <c r="K22" i="191"/>
  <c r="J22" i="191"/>
  <c r="E22" i="191"/>
  <c r="K21" i="191"/>
  <c r="J21" i="191"/>
  <c r="E21" i="191"/>
  <c r="K20" i="191"/>
  <c r="J20" i="191"/>
  <c r="E20" i="191"/>
  <c r="K19" i="191"/>
  <c r="J19" i="191"/>
  <c r="E19" i="191"/>
  <c r="K18" i="191"/>
  <c r="J18" i="191"/>
  <c r="E18" i="191"/>
  <c r="K17" i="191"/>
  <c r="J17" i="191"/>
  <c r="E17" i="191"/>
  <c r="J16" i="191"/>
  <c r="K16" i="191"/>
  <c r="E16" i="191"/>
  <c r="K15" i="191"/>
  <c r="J15" i="191"/>
  <c r="K14" i="191"/>
  <c r="J14" i="191"/>
  <c r="E13" i="191"/>
  <c r="I12" i="191"/>
  <c r="H12" i="191"/>
  <c r="E12" i="191"/>
  <c r="J11" i="191"/>
  <c r="E11" i="191"/>
  <c r="J10" i="191"/>
  <c r="J9" i="191"/>
  <c r="E9" i="191"/>
  <c r="J8" i="191"/>
  <c r="J7" i="191"/>
  <c r="E7" i="191"/>
  <c r="J6" i="191"/>
  <c r="E6" i="191"/>
  <c r="J5" i="191"/>
  <c r="E5" i="191"/>
  <c r="G3" i="191"/>
  <c r="F3" i="191"/>
  <c r="E3" i="191"/>
  <c r="D25" i="191"/>
  <c r="D4" i="191"/>
  <c r="B1" i="191"/>
  <c r="J12" i="191" l="1"/>
  <c r="J35" i="191"/>
  <c r="I26" i="191"/>
  <c r="J59" i="190"/>
  <c r="J76" i="190"/>
  <c r="F76" i="190"/>
  <c r="G73" i="190"/>
  <c r="G72" i="190"/>
  <c r="K72" i="190"/>
  <c r="K73" i="190"/>
  <c r="K74" i="190"/>
  <c r="K75" i="190"/>
  <c r="K57" i="190"/>
  <c r="K56" i="190"/>
  <c r="K55" i="190"/>
  <c r="K54" i="190"/>
  <c r="J27" i="191" l="1"/>
  <c r="K26" i="191"/>
  <c r="E14" i="190"/>
  <c r="H26" i="190"/>
  <c r="I26" i="190"/>
  <c r="I16" i="190"/>
  <c r="I30" i="190" s="1"/>
  <c r="G76" i="190"/>
  <c r="G71" i="190"/>
  <c r="G70" i="190"/>
  <c r="G69" i="190"/>
  <c r="G68" i="190"/>
  <c r="F67" i="190"/>
  <c r="G67" i="190" s="1"/>
  <c r="G66" i="190"/>
  <c r="G65" i="190"/>
  <c r="K76" i="190"/>
  <c r="K71" i="190"/>
  <c r="K70" i="190"/>
  <c r="K69" i="190"/>
  <c r="K68" i="190"/>
  <c r="K67" i="190"/>
  <c r="K66" i="190"/>
  <c r="K65" i="190"/>
  <c r="F60" i="190"/>
  <c r="K64" i="190"/>
  <c r="K63" i="190"/>
  <c r="F58" i="190"/>
  <c r="K59" i="190"/>
  <c r="K53" i="190"/>
  <c r="K52" i="190"/>
  <c r="K51" i="190"/>
  <c r="K50" i="190"/>
  <c r="K49" i="190"/>
  <c r="B49" i="190"/>
  <c r="K48" i="190"/>
  <c r="F48" i="190"/>
  <c r="E48" i="190"/>
  <c r="K47" i="190"/>
  <c r="F47" i="190"/>
  <c r="E47" i="190"/>
  <c r="K46" i="190"/>
  <c r="F46" i="190"/>
  <c r="E46" i="190"/>
  <c r="F45" i="190"/>
  <c r="E45" i="190"/>
  <c r="F44" i="190"/>
  <c r="E44" i="190"/>
  <c r="F43" i="190"/>
  <c r="E43" i="190"/>
  <c r="E40" i="190"/>
  <c r="I39" i="190"/>
  <c r="I38" i="190"/>
  <c r="I36" i="190"/>
  <c r="D36" i="190"/>
  <c r="C36" i="190"/>
  <c r="E36" i="190" s="1"/>
  <c r="I35" i="190"/>
  <c r="E35" i="190"/>
  <c r="I34" i="190"/>
  <c r="E34" i="190"/>
  <c r="I33" i="190"/>
  <c r="E33" i="190"/>
  <c r="I32" i="190"/>
  <c r="J29" i="190"/>
  <c r="I29" i="190"/>
  <c r="J28" i="190"/>
  <c r="I28" i="190"/>
  <c r="G26" i="190"/>
  <c r="K25" i="190"/>
  <c r="J25" i="190"/>
  <c r="K24" i="190"/>
  <c r="J24" i="190"/>
  <c r="K23" i="190"/>
  <c r="J23" i="190"/>
  <c r="K22" i="190"/>
  <c r="J22" i="190"/>
  <c r="E22" i="190"/>
  <c r="K21" i="190"/>
  <c r="J21" i="190"/>
  <c r="E21" i="190"/>
  <c r="K20" i="190"/>
  <c r="J20" i="190"/>
  <c r="E20" i="190"/>
  <c r="K19" i="190"/>
  <c r="J19" i="190"/>
  <c r="E19" i="190"/>
  <c r="K18" i="190"/>
  <c r="J18" i="190"/>
  <c r="E18" i="190"/>
  <c r="K17" i="190"/>
  <c r="J17" i="190"/>
  <c r="E17" i="190"/>
  <c r="J16" i="190"/>
  <c r="E16" i="190"/>
  <c r="K15" i="190"/>
  <c r="J15" i="190"/>
  <c r="E15" i="190"/>
  <c r="K14" i="190"/>
  <c r="J14" i="190"/>
  <c r="E13" i="190"/>
  <c r="I12" i="190"/>
  <c r="J12" i="190" s="1"/>
  <c r="H12" i="190"/>
  <c r="E12" i="190"/>
  <c r="J11" i="190"/>
  <c r="E11" i="190"/>
  <c r="J10" i="190"/>
  <c r="E10" i="190"/>
  <c r="J9" i="190"/>
  <c r="E9" i="190"/>
  <c r="J8" i="190"/>
  <c r="E8" i="190"/>
  <c r="J7" i="190"/>
  <c r="E7" i="190"/>
  <c r="J6" i="190"/>
  <c r="E6" i="190"/>
  <c r="J5" i="190"/>
  <c r="E5" i="190"/>
  <c r="G3" i="190"/>
  <c r="F3" i="190"/>
  <c r="E3" i="190"/>
  <c r="D22" i="190"/>
  <c r="D4" i="190"/>
  <c r="B1" i="190"/>
  <c r="J35" i="190" l="1"/>
  <c r="J30" i="190"/>
  <c r="K30" i="190" s="1"/>
  <c r="J27" i="190"/>
  <c r="K26" i="190"/>
  <c r="K16" i="190"/>
  <c r="I30" i="189" l="1"/>
  <c r="J78" i="189"/>
  <c r="K78" i="189" s="1"/>
  <c r="K77" i="189"/>
  <c r="K76" i="189"/>
  <c r="K75" i="189"/>
  <c r="K74" i="189"/>
  <c r="J73" i="189"/>
  <c r="K73" i="189" s="1"/>
  <c r="K72" i="189"/>
  <c r="K71" i="189"/>
  <c r="J67" i="189"/>
  <c r="K67" i="189" s="1"/>
  <c r="K66" i="189"/>
  <c r="K65" i="189"/>
  <c r="K64" i="189"/>
  <c r="K63" i="189"/>
  <c r="K62" i="189"/>
  <c r="K61" i="189"/>
  <c r="K60" i="189"/>
  <c r="F60" i="189"/>
  <c r="K59" i="189"/>
  <c r="K58" i="189"/>
  <c r="F58" i="189"/>
  <c r="J55" i="189"/>
  <c r="K55" i="189" s="1"/>
  <c r="K53" i="189"/>
  <c r="K52" i="189"/>
  <c r="K51" i="189"/>
  <c r="K50" i="189"/>
  <c r="K49" i="189"/>
  <c r="B49" i="189"/>
  <c r="K48" i="189"/>
  <c r="F48" i="189"/>
  <c r="E48" i="189"/>
  <c r="K47" i="189"/>
  <c r="F47" i="189"/>
  <c r="E47" i="189"/>
  <c r="K46" i="189"/>
  <c r="F46" i="189"/>
  <c r="E46" i="189"/>
  <c r="F45" i="189"/>
  <c r="E45" i="189"/>
  <c r="F44" i="189"/>
  <c r="E44" i="189"/>
  <c r="F43" i="189"/>
  <c r="E43" i="189"/>
  <c r="E40" i="189"/>
  <c r="I39" i="189"/>
  <c r="I38" i="189"/>
  <c r="I36" i="189"/>
  <c r="D36" i="189"/>
  <c r="C36" i="189"/>
  <c r="E36" i="189" s="1"/>
  <c r="I35" i="189"/>
  <c r="J35" i="189" s="1"/>
  <c r="E35" i="189"/>
  <c r="I34" i="189"/>
  <c r="E34" i="189"/>
  <c r="I33" i="189"/>
  <c r="E33" i="189"/>
  <c r="I32" i="189"/>
  <c r="J30" i="189"/>
  <c r="K30" i="189" s="1"/>
  <c r="J29" i="189"/>
  <c r="I29" i="189"/>
  <c r="J28" i="189"/>
  <c r="I28" i="189"/>
  <c r="H26" i="189"/>
  <c r="G26" i="189"/>
  <c r="K25" i="189"/>
  <c r="J25" i="189"/>
  <c r="E25" i="189"/>
  <c r="K24" i="189"/>
  <c r="J24" i="189"/>
  <c r="E24" i="189"/>
  <c r="K23" i="189"/>
  <c r="J23" i="189"/>
  <c r="E23" i="189"/>
  <c r="K22" i="189"/>
  <c r="J22" i="189"/>
  <c r="E22" i="189"/>
  <c r="K21" i="189"/>
  <c r="J21" i="189"/>
  <c r="E21" i="189"/>
  <c r="K20" i="189"/>
  <c r="J20" i="189"/>
  <c r="E20" i="189"/>
  <c r="K19" i="189"/>
  <c r="J19" i="189"/>
  <c r="E19" i="189"/>
  <c r="K18" i="189"/>
  <c r="J18" i="189"/>
  <c r="E18" i="189"/>
  <c r="K17" i="189"/>
  <c r="J17" i="189"/>
  <c r="E17" i="189"/>
  <c r="J16" i="189"/>
  <c r="I16" i="189"/>
  <c r="I26" i="189" s="1"/>
  <c r="E16" i="189"/>
  <c r="K15" i="189"/>
  <c r="J15" i="189"/>
  <c r="E15" i="189"/>
  <c r="K14" i="189"/>
  <c r="J14" i="189"/>
  <c r="E14" i="189"/>
  <c r="E13" i="189"/>
  <c r="I12" i="189"/>
  <c r="J12" i="189" s="1"/>
  <c r="H12" i="189"/>
  <c r="E12" i="189"/>
  <c r="J11" i="189"/>
  <c r="E11" i="189"/>
  <c r="J10" i="189"/>
  <c r="E10" i="189"/>
  <c r="J9" i="189"/>
  <c r="E9" i="189"/>
  <c r="J8" i="189"/>
  <c r="E8" i="189"/>
  <c r="J7" i="189"/>
  <c r="E7" i="189"/>
  <c r="J6" i="189"/>
  <c r="E6" i="189"/>
  <c r="J5" i="189"/>
  <c r="E5" i="189"/>
  <c r="G3" i="189"/>
  <c r="F3" i="189"/>
  <c r="E3" i="189"/>
  <c r="D25" i="189"/>
  <c r="D4" i="189" s="1"/>
  <c r="J27" i="189" l="1"/>
  <c r="K26" i="189"/>
  <c r="K16" i="189"/>
  <c r="K30" i="188" l="1"/>
  <c r="J30" i="188"/>
  <c r="I30" i="188"/>
  <c r="J29" i="188"/>
  <c r="I29" i="188"/>
  <c r="J28" i="188"/>
  <c r="I28" i="188"/>
  <c r="K26" i="188"/>
  <c r="J27" i="188"/>
  <c r="I26" i="188"/>
  <c r="H26" i="188"/>
  <c r="J55" i="188" l="1"/>
  <c r="K53" i="188"/>
  <c r="K52" i="188"/>
  <c r="I16" i="188" l="1"/>
  <c r="J78" i="188"/>
  <c r="K78" i="188" s="1"/>
  <c r="K77" i="188"/>
  <c r="K76" i="188"/>
  <c r="K75" i="188"/>
  <c r="K74" i="188"/>
  <c r="J73" i="188"/>
  <c r="K73" i="188" s="1"/>
  <c r="K72" i="188"/>
  <c r="K71" i="188"/>
  <c r="J67" i="188"/>
  <c r="K67" i="188" s="1"/>
  <c r="K66" i="188"/>
  <c r="K65" i="188"/>
  <c r="K64" i="188"/>
  <c r="K63" i="188"/>
  <c r="K62" i="188"/>
  <c r="K61" i="188"/>
  <c r="K60" i="188"/>
  <c r="F60" i="188"/>
  <c r="K59" i="188"/>
  <c r="K58" i="188"/>
  <c r="F58" i="188"/>
  <c r="K55" i="188"/>
  <c r="K51" i="188"/>
  <c r="K50" i="188"/>
  <c r="K49" i="188"/>
  <c r="B49" i="188"/>
  <c r="K48" i="188"/>
  <c r="F48" i="188"/>
  <c r="E48" i="188"/>
  <c r="K47" i="188"/>
  <c r="F47" i="188"/>
  <c r="E47" i="188"/>
  <c r="K46" i="188"/>
  <c r="F46" i="188"/>
  <c r="E46" i="188"/>
  <c r="F45" i="188"/>
  <c r="E45" i="188"/>
  <c r="F44" i="188"/>
  <c r="E44" i="188"/>
  <c r="F43" i="188"/>
  <c r="E43" i="188"/>
  <c r="E40" i="188"/>
  <c r="I39" i="188"/>
  <c r="I38" i="188"/>
  <c r="I36" i="188"/>
  <c r="D36" i="188"/>
  <c r="C36" i="188"/>
  <c r="E36" i="188" s="1"/>
  <c r="I35" i="188"/>
  <c r="J35" i="188" s="1"/>
  <c r="E35" i="188"/>
  <c r="I34" i="188"/>
  <c r="E34" i="188"/>
  <c r="I33" i="188"/>
  <c r="E33" i="188"/>
  <c r="I32" i="188"/>
  <c r="G26" i="188"/>
  <c r="K25" i="188"/>
  <c r="J25" i="188"/>
  <c r="E25" i="188"/>
  <c r="K24" i="188"/>
  <c r="J24" i="188"/>
  <c r="E24" i="188"/>
  <c r="K23" i="188"/>
  <c r="J23" i="188"/>
  <c r="E23" i="188"/>
  <c r="K22" i="188"/>
  <c r="J22" i="188"/>
  <c r="E22" i="188"/>
  <c r="K21" i="188"/>
  <c r="J21" i="188"/>
  <c r="E21" i="188"/>
  <c r="K20" i="188"/>
  <c r="J20" i="188"/>
  <c r="E20" i="188"/>
  <c r="K19" i="188"/>
  <c r="J19" i="188"/>
  <c r="E19" i="188"/>
  <c r="K18" i="188"/>
  <c r="J18" i="188"/>
  <c r="E18" i="188"/>
  <c r="K17" i="188"/>
  <c r="J17" i="188"/>
  <c r="E17" i="188"/>
  <c r="J16" i="188"/>
  <c r="E16" i="188"/>
  <c r="K15" i="188"/>
  <c r="J15" i="188"/>
  <c r="E15" i="188"/>
  <c r="K14" i="188"/>
  <c r="J14" i="188"/>
  <c r="E14" i="188"/>
  <c r="E13" i="188"/>
  <c r="I12" i="188"/>
  <c r="J12" i="188" s="1"/>
  <c r="H12" i="188"/>
  <c r="E12" i="188"/>
  <c r="J11" i="188"/>
  <c r="E11" i="188"/>
  <c r="J10" i="188"/>
  <c r="E10" i="188"/>
  <c r="J9" i="188"/>
  <c r="E9" i="188"/>
  <c r="J8" i="188"/>
  <c r="E8" i="188"/>
  <c r="J7" i="188"/>
  <c r="E7" i="188"/>
  <c r="J6" i="188"/>
  <c r="E6" i="188"/>
  <c r="J5" i="188"/>
  <c r="E5" i="188"/>
  <c r="G3" i="188"/>
  <c r="F3" i="188"/>
  <c r="E3" i="188"/>
  <c r="D25" i="188"/>
  <c r="D4" i="188"/>
  <c r="K16" i="188" l="1"/>
  <c r="I16" i="187"/>
  <c r="E26" i="187"/>
  <c r="E25" i="187"/>
  <c r="E24" i="187"/>
  <c r="E7" i="187"/>
  <c r="J79" i="187"/>
  <c r="K79" i="187" s="1"/>
  <c r="K78" i="187"/>
  <c r="K77" i="187"/>
  <c r="K76" i="187"/>
  <c r="K75" i="187"/>
  <c r="J74" i="187"/>
  <c r="K74" i="187" s="1"/>
  <c r="K73" i="187"/>
  <c r="K72" i="187"/>
  <c r="J68" i="187"/>
  <c r="K68" i="187" s="1"/>
  <c r="K67" i="187"/>
  <c r="K66" i="187"/>
  <c r="K65" i="187"/>
  <c r="K64" i="187"/>
  <c r="K63" i="187"/>
  <c r="K62" i="187"/>
  <c r="K61" i="187"/>
  <c r="F61" i="187"/>
  <c r="K60" i="187"/>
  <c r="K59" i="187"/>
  <c r="F59" i="187"/>
  <c r="J56" i="187"/>
  <c r="K56" i="187" s="1"/>
  <c r="K52" i="187"/>
  <c r="K51" i="187"/>
  <c r="K50" i="187"/>
  <c r="K49" i="187"/>
  <c r="B50" i="187"/>
  <c r="K48" i="187"/>
  <c r="F49" i="187"/>
  <c r="E49" i="187"/>
  <c r="K47" i="187"/>
  <c r="F48" i="187"/>
  <c r="E48" i="187"/>
  <c r="F47" i="187"/>
  <c r="E47" i="187"/>
  <c r="F46" i="187"/>
  <c r="E46" i="187"/>
  <c r="F45" i="187"/>
  <c r="E45" i="187"/>
  <c r="F44" i="187"/>
  <c r="E44" i="187"/>
  <c r="E41" i="187"/>
  <c r="I40" i="187"/>
  <c r="I39" i="187"/>
  <c r="I37" i="187"/>
  <c r="D37" i="187"/>
  <c r="C37" i="187"/>
  <c r="E37" i="187" s="1"/>
  <c r="I36" i="187"/>
  <c r="E36" i="187"/>
  <c r="I35" i="187"/>
  <c r="E35" i="187"/>
  <c r="I34" i="187"/>
  <c r="E34" i="187"/>
  <c r="I33" i="187"/>
  <c r="I26" i="187"/>
  <c r="J27" i="187" s="1"/>
  <c r="H26" i="187"/>
  <c r="G26" i="187"/>
  <c r="K25" i="187"/>
  <c r="J25" i="187"/>
  <c r="K24" i="187"/>
  <c r="J24" i="187"/>
  <c r="K23" i="187"/>
  <c r="J23" i="187"/>
  <c r="E23" i="187"/>
  <c r="K22" i="187"/>
  <c r="J22" i="187"/>
  <c r="E22" i="187"/>
  <c r="K21" i="187"/>
  <c r="J21" i="187"/>
  <c r="E21" i="187"/>
  <c r="K20" i="187"/>
  <c r="J20" i="187"/>
  <c r="E20" i="187"/>
  <c r="K19" i="187"/>
  <c r="J19" i="187"/>
  <c r="E19" i="187"/>
  <c r="K18" i="187"/>
  <c r="J18" i="187"/>
  <c r="E18" i="187"/>
  <c r="K17" i="187"/>
  <c r="J17" i="187"/>
  <c r="E17" i="187"/>
  <c r="K16" i="187"/>
  <c r="J16" i="187"/>
  <c r="E16" i="187"/>
  <c r="K15" i="187"/>
  <c r="J15" i="187"/>
  <c r="E15" i="187"/>
  <c r="K14" i="187"/>
  <c r="J14" i="187"/>
  <c r="E14" i="187"/>
  <c r="E13" i="187"/>
  <c r="I12" i="187"/>
  <c r="J12" i="187" s="1"/>
  <c r="H12" i="187"/>
  <c r="E12" i="187"/>
  <c r="J11" i="187"/>
  <c r="E11" i="187"/>
  <c r="J10" i="187"/>
  <c r="E10" i="187"/>
  <c r="J9" i="187"/>
  <c r="E9" i="187"/>
  <c r="J8" i="187"/>
  <c r="E8" i="187"/>
  <c r="J7" i="187"/>
  <c r="J6" i="187"/>
  <c r="E6" i="187"/>
  <c r="J5" i="187"/>
  <c r="E5" i="187"/>
  <c r="G3" i="187"/>
  <c r="F3" i="187"/>
  <c r="E3" i="187"/>
  <c r="D27" i="187"/>
  <c r="D4" i="187" s="1"/>
  <c r="B1" i="187"/>
  <c r="J36" i="187" l="1"/>
  <c r="K26" i="187"/>
  <c r="E16" i="186" l="1"/>
  <c r="E6" i="186"/>
  <c r="E7" i="186"/>
  <c r="I16" i="186"/>
  <c r="K16" i="186" s="1"/>
  <c r="J79" i="186"/>
  <c r="K79" i="186" s="1"/>
  <c r="K78" i="186"/>
  <c r="K77" i="186"/>
  <c r="K76" i="186"/>
  <c r="K75" i="186"/>
  <c r="J74" i="186"/>
  <c r="K74" i="186" s="1"/>
  <c r="K73" i="186"/>
  <c r="K72" i="186"/>
  <c r="J68" i="186"/>
  <c r="K68" i="186" s="1"/>
  <c r="K67" i="186"/>
  <c r="K66" i="186"/>
  <c r="K65" i="186"/>
  <c r="K64" i="186"/>
  <c r="K63" i="186"/>
  <c r="K62" i="186"/>
  <c r="K61" i="186"/>
  <c r="F61" i="186"/>
  <c r="K60" i="186"/>
  <c r="K59" i="186"/>
  <c r="F59" i="186"/>
  <c r="J56" i="186"/>
  <c r="K56" i="186" s="1"/>
  <c r="K52" i="186"/>
  <c r="K51" i="186"/>
  <c r="K50" i="186"/>
  <c r="K49" i="186"/>
  <c r="B49" i="186"/>
  <c r="K48" i="186"/>
  <c r="F48" i="186"/>
  <c r="E48" i="186"/>
  <c r="K47" i="186"/>
  <c r="F47" i="186"/>
  <c r="E47" i="186"/>
  <c r="F46" i="186"/>
  <c r="E46" i="186"/>
  <c r="F45" i="186"/>
  <c r="E45" i="186"/>
  <c r="F44" i="186"/>
  <c r="E44" i="186"/>
  <c r="F43" i="186"/>
  <c r="E43" i="186"/>
  <c r="E40" i="186"/>
  <c r="I39" i="186"/>
  <c r="I38" i="186"/>
  <c r="I36" i="186"/>
  <c r="D36" i="186"/>
  <c r="C36" i="186"/>
  <c r="E36" i="186" s="1"/>
  <c r="I35" i="186"/>
  <c r="J35" i="186" s="1"/>
  <c r="E35" i="186"/>
  <c r="I34" i="186"/>
  <c r="E34" i="186"/>
  <c r="I33" i="186"/>
  <c r="E33" i="186"/>
  <c r="I32" i="186"/>
  <c r="H26" i="186"/>
  <c r="G26" i="186"/>
  <c r="K25" i="186"/>
  <c r="J25" i="186"/>
  <c r="K24" i="186"/>
  <c r="J24" i="186"/>
  <c r="K23" i="186"/>
  <c r="J23" i="186"/>
  <c r="E23" i="186"/>
  <c r="K22" i="186"/>
  <c r="J22" i="186"/>
  <c r="E22" i="186"/>
  <c r="K21" i="186"/>
  <c r="J21" i="186"/>
  <c r="E21" i="186"/>
  <c r="K20" i="186"/>
  <c r="J20" i="186"/>
  <c r="E20" i="186"/>
  <c r="K19" i="186"/>
  <c r="J19" i="186"/>
  <c r="E19" i="186"/>
  <c r="K18" i="186"/>
  <c r="J18" i="186"/>
  <c r="E18" i="186"/>
  <c r="K17" i="186"/>
  <c r="J17" i="186"/>
  <c r="E17" i="186"/>
  <c r="J16" i="186"/>
  <c r="K15" i="186"/>
  <c r="J15" i="186"/>
  <c r="E15" i="186"/>
  <c r="K14" i="186"/>
  <c r="J14" i="186"/>
  <c r="E14" i="186"/>
  <c r="E13" i="186"/>
  <c r="I12" i="186"/>
  <c r="H12" i="186"/>
  <c r="E12" i="186"/>
  <c r="J11" i="186"/>
  <c r="E11" i="186"/>
  <c r="J10" i="186"/>
  <c r="E10" i="186"/>
  <c r="J9" i="186"/>
  <c r="E9" i="186"/>
  <c r="J8" i="186"/>
  <c r="E8" i="186"/>
  <c r="J7" i="186"/>
  <c r="J6" i="186"/>
  <c r="J5" i="186"/>
  <c r="E5" i="186"/>
  <c r="G3" i="186"/>
  <c r="F3" i="186"/>
  <c r="E3" i="186"/>
  <c r="D26" i="186"/>
  <c r="D4" i="186" s="1"/>
  <c r="B1" i="186"/>
  <c r="J12" i="186" l="1"/>
  <c r="I26" i="186"/>
  <c r="J27" i="186" l="1"/>
  <c r="K26" i="186"/>
  <c r="J79" i="185" l="1"/>
  <c r="K78" i="185"/>
  <c r="K77" i="185"/>
  <c r="K76" i="185"/>
  <c r="K75" i="185"/>
  <c r="K67" i="185"/>
  <c r="K66" i="185"/>
  <c r="J74" i="185" l="1"/>
  <c r="K79" i="185" s="1"/>
  <c r="K73" i="185"/>
  <c r="K72" i="185"/>
  <c r="J68" i="185"/>
  <c r="K68" i="185" s="1"/>
  <c r="K65" i="185"/>
  <c r="K64" i="185"/>
  <c r="K63" i="185"/>
  <c r="K62" i="185"/>
  <c r="K61" i="185"/>
  <c r="F61" i="185"/>
  <c r="K60" i="185"/>
  <c r="K59" i="185"/>
  <c r="F59" i="185"/>
  <c r="J56" i="185"/>
  <c r="K56" i="185" s="1"/>
  <c r="K52" i="185"/>
  <c r="K51" i="185"/>
  <c r="K50" i="185"/>
  <c r="K49" i="185"/>
  <c r="B49" i="185"/>
  <c r="K48" i="185"/>
  <c r="F48" i="185"/>
  <c r="E48" i="185"/>
  <c r="K47" i="185"/>
  <c r="F47" i="185"/>
  <c r="E47" i="185"/>
  <c r="F46" i="185"/>
  <c r="E46" i="185"/>
  <c r="F45" i="185"/>
  <c r="E45" i="185"/>
  <c r="F44" i="185"/>
  <c r="E44" i="185"/>
  <c r="F43" i="185"/>
  <c r="E43" i="185"/>
  <c r="E40" i="185"/>
  <c r="I39" i="185"/>
  <c r="I38" i="185"/>
  <c r="I36" i="185"/>
  <c r="D36" i="185"/>
  <c r="C36" i="185"/>
  <c r="I35" i="185"/>
  <c r="E35" i="185"/>
  <c r="I34" i="185"/>
  <c r="E34" i="185"/>
  <c r="I33" i="185"/>
  <c r="E33" i="185"/>
  <c r="I32" i="185"/>
  <c r="J35" i="185" s="1"/>
  <c r="H26" i="185"/>
  <c r="G26" i="185"/>
  <c r="K25" i="185"/>
  <c r="J25" i="185"/>
  <c r="K24" i="185"/>
  <c r="J24" i="185"/>
  <c r="K23" i="185"/>
  <c r="J23" i="185"/>
  <c r="K22" i="185"/>
  <c r="J22" i="185"/>
  <c r="K21" i="185"/>
  <c r="J21" i="185"/>
  <c r="K20" i="185"/>
  <c r="J20" i="185"/>
  <c r="E20" i="185"/>
  <c r="K19" i="185"/>
  <c r="J19" i="185"/>
  <c r="K18" i="185"/>
  <c r="J18" i="185"/>
  <c r="K17" i="185"/>
  <c r="J17" i="185"/>
  <c r="J16" i="185"/>
  <c r="I16" i="185"/>
  <c r="I26" i="185" s="1"/>
  <c r="K15" i="185"/>
  <c r="J15" i="185"/>
  <c r="K14" i="185"/>
  <c r="J14" i="185"/>
  <c r="I12" i="185"/>
  <c r="H12" i="185"/>
  <c r="J11" i="185"/>
  <c r="J10" i="185"/>
  <c r="J9" i="185"/>
  <c r="J8" i="185"/>
  <c r="E8" i="185"/>
  <c r="J7" i="185"/>
  <c r="E7" i="185"/>
  <c r="J6" i="185"/>
  <c r="J5" i="185"/>
  <c r="G3" i="185"/>
  <c r="F3" i="185"/>
  <c r="E3" i="185"/>
  <c r="D25" i="185"/>
  <c r="D4" i="185" s="1"/>
  <c r="E9" i="185" s="1"/>
  <c r="B1" i="185"/>
  <c r="E21" i="185" l="1"/>
  <c r="E10" i="185"/>
  <c r="E17" i="185"/>
  <c r="E11" i="185"/>
  <c r="E22" i="185"/>
  <c r="E12" i="185"/>
  <c r="E18" i="185"/>
  <c r="E23" i="185"/>
  <c r="E6" i="185"/>
  <c r="E5" i="185"/>
  <c r="E15" i="185"/>
  <c r="E13" i="185"/>
  <c r="E19" i="185"/>
  <c r="E16" i="185"/>
  <c r="E14" i="185"/>
  <c r="E36" i="185"/>
  <c r="J12" i="185"/>
  <c r="K74" i="185"/>
  <c r="J27" i="185"/>
  <c r="K26" i="185"/>
  <c r="K16" i="185"/>
  <c r="O3" i="145" l="1"/>
  <c r="E15" i="184" l="1"/>
  <c r="J76" i="184"/>
  <c r="J78" i="184" s="1"/>
  <c r="K78" i="184" s="1"/>
  <c r="K75" i="184"/>
  <c r="K74" i="184"/>
  <c r="J69" i="184"/>
  <c r="K69" i="184" s="1"/>
  <c r="K68" i="184"/>
  <c r="K67" i="184"/>
  <c r="K66" i="184"/>
  <c r="K65" i="184"/>
  <c r="K64" i="184"/>
  <c r="F64" i="184"/>
  <c r="K63" i="184"/>
  <c r="K62" i="184"/>
  <c r="F62" i="184"/>
  <c r="J59" i="184"/>
  <c r="K59" i="184" s="1"/>
  <c r="K52" i="184"/>
  <c r="K51" i="184"/>
  <c r="K50" i="184"/>
  <c r="K49" i="184"/>
  <c r="B49" i="184"/>
  <c r="K48" i="184"/>
  <c r="F48" i="184"/>
  <c r="E48" i="184"/>
  <c r="K47" i="184"/>
  <c r="F47" i="184"/>
  <c r="E47" i="184"/>
  <c r="F46" i="184"/>
  <c r="E46" i="184"/>
  <c r="F45" i="184"/>
  <c r="E45" i="184"/>
  <c r="F44" i="184"/>
  <c r="E44" i="184"/>
  <c r="F43" i="184"/>
  <c r="E43" i="184"/>
  <c r="E40" i="184"/>
  <c r="I39" i="184"/>
  <c r="I38" i="184"/>
  <c r="I36" i="184"/>
  <c r="D36" i="184"/>
  <c r="C36" i="184"/>
  <c r="E36" i="184" s="1"/>
  <c r="I35" i="184"/>
  <c r="E35" i="184"/>
  <c r="I34" i="184"/>
  <c r="E34" i="184"/>
  <c r="I33" i="184"/>
  <c r="E33" i="184"/>
  <c r="I32" i="184"/>
  <c r="I26" i="184"/>
  <c r="J27" i="184" s="1"/>
  <c r="H26" i="184"/>
  <c r="G26" i="184"/>
  <c r="K25" i="184"/>
  <c r="J25" i="184"/>
  <c r="K24" i="184"/>
  <c r="J24" i="184"/>
  <c r="K23" i="184"/>
  <c r="J23" i="184"/>
  <c r="E23" i="184"/>
  <c r="K22" i="184"/>
  <c r="J22" i="184"/>
  <c r="E22" i="184"/>
  <c r="K21" i="184"/>
  <c r="J21" i="184"/>
  <c r="E21" i="184"/>
  <c r="K20" i="184"/>
  <c r="J20" i="184"/>
  <c r="E20" i="184"/>
  <c r="K19" i="184"/>
  <c r="J19" i="184"/>
  <c r="E19" i="184"/>
  <c r="K18" i="184"/>
  <c r="J18" i="184"/>
  <c r="E18" i="184"/>
  <c r="K17" i="184"/>
  <c r="J17" i="184"/>
  <c r="E17" i="184"/>
  <c r="K16" i="184"/>
  <c r="J16" i="184"/>
  <c r="I16" i="184"/>
  <c r="E16" i="184"/>
  <c r="K15" i="184"/>
  <c r="J15" i="184"/>
  <c r="K14" i="184"/>
  <c r="J14" i="184"/>
  <c r="E14" i="184"/>
  <c r="E13" i="184"/>
  <c r="I12" i="184"/>
  <c r="J12" i="184" s="1"/>
  <c r="H12" i="184"/>
  <c r="E12" i="184"/>
  <c r="J11" i="184"/>
  <c r="E11" i="184"/>
  <c r="J10" i="184"/>
  <c r="E10" i="184"/>
  <c r="J9" i="184"/>
  <c r="E9" i="184"/>
  <c r="J8" i="184"/>
  <c r="E8" i="184"/>
  <c r="J7" i="184"/>
  <c r="E7" i="184"/>
  <c r="J6" i="184"/>
  <c r="E6" i="184"/>
  <c r="J5" i="184"/>
  <c r="E5" i="184"/>
  <c r="G3" i="184"/>
  <c r="F3" i="184"/>
  <c r="E3" i="184"/>
  <c r="D25" i="184"/>
  <c r="D4" i="184"/>
  <c r="B1" i="184"/>
  <c r="J35" i="184" l="1"/>
  <c r="K76" i="184"/>
  <c r="K26" i="184"/>
  <c r="J69" i="183" l="1"/>
  <c r="K68" i="183"/>
  <c r="K67" i="183"/>
  <c r="K65" i="183" l="1"/>
  <c r="K66" i="183"/>
  <c r="J76" i="183" l="1"/>
  <c r="K76" i="183" s="1"/>
  <c r="K75" i="183"/>
  <c r="K74" i="183"/>
  <c r="K69" i="183"/>
  <c r="K64" i="183"/>
  <c r="F64" i="183"/>
  <c r="K63" i="183"/>
  <c r="K62" i="183"/>
  <c r="F62" i="183"/>
  <c r="J59" i="183"/>
  <c r="K59" i="183" s="1"/>
  <c r="K52" i="183"/>
  <c r="K51" i="183"/>
  <c r="K50" i="183"/>
  <c r="K49" i="183"/>
  <c r="B49" i="183"/>
  <c r="K48" i="183"/>
  <c r="F48" i="183"/>
  <c r="E48" i="183"/>
  <c r="K47" i="183"/>
  <c r="F47" i="183"/>
  <c r="E47" i="183"/>
  <c r="F46" i="183"/>
  <c r="E46" i="183"/>
  <c r="F45" i="183"/>
  <c r="E45" i="183"/>
  <c r="F44" i="183"/>
  <c r="E44" i="183"/>
  <c r="F43" i="183"/>
  <c r="E43" i="183"/>
  <c r="E40" i="183"/>
  <c r="I39" i="183"/>
  <c r="I38" i="183"/>
  <c r="I36" i="183"/>
  <c r="D36" i="183"/>
  <c r="C36" i="183"/>
  <c r="E36" i="183" s="1"/>
  <c r="I35" i="183"/>
  <c r="E35" i="183"/>
  <c r="I34" i="183"/>
  <c r="E34" i="183"/>
  <c r="I33" i="183"/>
  <c r="E33" i="183"/>
  <c r="I32" i="183"/>
  <c r="H26" i="183"/>
  <c r="G26" i="183"/>
  <c r="K25" i="183"/>
  <c r="J25" i="183"/>
  <c r="K24" i="183"/>
  <c r="J24" i="183"/>
  <c r="K23" i="183"/>
  <c r="J23" i="183"/>
  <c r="E23" i="183"/>
  <c r="K22" i="183"/>
  <c r="J22" i="183"/>
  <c r="E22" i="183"/>
  <c r="K21" i="183"/>
  <c r="J21" i="183"/>
  <c r="E21" i="183"/>
  <c r="K20" i="183"/>
  <c r="J20" i="183"/>
  <c r="E20" i="183"/>
  <c r="K19" i="183"/>
  <c r="J19" i="183"/>
  <c r="E19" i="183"/>
  <c r="K18" i="183"/>
  <c r="J18" i="183"/>
  <c r="E18" i="183"/>
  <c r="K17" i="183"/>
  <c r="J17" i="183"/>
  <c r="E17" i="183"/>
  <c r="J16" i="183"/>
  <c r="I16" i="183"/>
  <c r="I26" i="183" s="1"/>
  <c r="E16" i="183"/>
  <c r="K15" i="183"/>
  <c r="J15" i="183"/>
  <c r="E15" i="183"/>
  <c r="K14" i="183"/>
  <c r="J14" i="183"/>
  <c r="E14" i="183"/>
  <c r="E13" i="183"/>
  <c r="I12" i="183"/>
  <c r="J12" i="183" s="1"/>
  <c r="H12" i="183"/>
  <c r="E12" i="183"/>
  <c r="J11" i="183"/>
  <c r="E11" i="183"/>
  <c r="J10" i="183"/>
  <c r="E10" i="183"/>
  <c r="J9" i="183"/>
  <c r="E9" i="183"/>
  <c r="J8" i="183"/>
  <c r="E8" i="183"/>
  <c r="J7" i="183"/>
  <c r="E7" i="183"/>
  <c r="J6" i="183"/>
  <c r="E6" i="183"/>
  <c r="J5" i="183"/>
  <c r="E5" i="183"/>
  <c r="G3" i="183"/>
  <c r="F3" i="183"/>
  <c r="E3" i="183"/>
  <c r="D25" i="183"/>
  <c r="D4" i="183" s="1"/>
  <c r="J35" i="183" l="1"/>
  <c r="J78" i="183"/>
  <c r="K78" i="183" s="1"/>
  <c r="J27" i="183"/>
  <c r="K26" i="183"/>
  <c r="K16" i="183"/>
  <c r="J59" i="182" l="1"/>
  <c r="K52" i="182"/>
  <c r="I16" i="182" l="1"/>
  <c r="E10" i="182"/>
  <c r="J76" i="182"/>
  <c r="K76" i="182" s="1"/>
  <c r="J74" i="182"/>
  <c r="K74" i="182" s="1"/>
  <c r="K73" i="182"/>
  <c r="K72" i="182"/>
  <c r="J67" i="182"/>
  <c r="K67" i="182" s="1"/>
  <c r="K64" i="182"/>
  <c r="F64" i="182"/>
  <c r="K63" i="182"/>
  <c r="K62" i="182"/>
  <c r="F62" i="182"/>
  <c r="K59" i="182"/>
  <c r="K51" i="182"/>
  <c r="K50" i="182"/>
  <c r="K49" i="182"/>
  <c r="B49" i="182"/>
  <c r="K48" i="182"/>
  <c r="F48" i="182"/>
  <c r="E48" i="182"/>
  <c r="K47" i="182"/>
  <c r="F47" i="182"/>
  <c r="E47" i="182"/>
  <c r="F46" i="182"/>
  <c r="E46" i="182"/>
  <c r="F45" i="182"/>
  <c r="E45" i="182"/>
  <c r="F44" i="182"/>
  <c r="E44" i="182"/>
  <c r="F43" i="182"/>
  <c r="E43" i="182"/>
  <c r="E40" i="182"/>
  <c r="I39" i="182"/>
  <c r="I38" i="182"/>
  <c r="I36" i="182"/>
  <c r="D36" i="182"/>
  <c r="C36" i="182"/>
  <c r="E36" i="182" s="1"/>
  <c r="I35" i="182"/>
  <c r="E35" i="182"/>
  <c r="I34" i="182"/>
  <c r="E34" i="182"/>
  <c r="I33" i="182"/>
  <c r="E33" i="182"/>
  <c r="I32" i="182"/>
  <c r="H26" i="182"/>
  <c r="G26" i="182"/>
  <c r="K25" i="182"/>
  <c r="J25" i="182"/>
  <c r="K24" i="182"/>
  <c r="J24" i="182"/>
  <c r="K23" i="182"/>
  <c r="J23" i="182"/>
  <c r="E23" i="182"/>
  <c r="K22" i="182"/>
  <c r="J22" i="182"/>
  <c r="E22" i="182"/>
  <c r="K21" i="182"/>
  <c r="J21" i="182"/>
  <c r="E21" i="182"/>
  <c r="K20" i="182"/>
  <c r="J20" i="182"/>
  <c r="E20" i="182"/>
  <c r="K19" i="182"/>
  <c r="J19" i="182"/>
  <c r="E19" i="182"/>
  <c r="K18" i="182"/>
  <c r="J18" i="182"/>
  <c r="E18" i="182"/>
  <c r="K17" i="182"/>
  <c r="J17" i="182"/>
  <c r="E17" i="182"/>
  <c r="J16" i="182"/>
  <c r="K16" i="182"/>
  <c r="E16" i="182"/>
  <c r="K15" i="182"/>
  <c r="J15" i="182"/>
  <c r="E15" i="182"/>
  <c r="K14" i="182"/>
  <c r="J14" i="182"/>
  <c r="E14" i="182"/>
  <c r="E13" i="182"/>
  <c r="I12" i="182"/>
  <c r="J12" i="182" s="1"/>
  <c r="H12" i="182"/>
  <c r="E12" i="182"/>
  <c r="J11" i="182"/>
  <c r="E11" i="182"/>
  <c r="J10" i="182"/>
  <c r="J9" i="182"/>
  <c r="E9" i="182"/>
  <c r="J8" i="182"/>
  <c r="E8" i="182"/>
  <c r="J7" i="182"/>
  <c r="E7" i="182"/>
  <c r="J6" i="182"/>
  <c r="E6" i="182"/>
  <c r="J5" i="182"/>
  <c r="E5" i="182"/>
  <c r="G3" i="182"/>
  <c r="F3" i="182"/>
  <c r="E3" i="182"/>
  <c r="D25" i="182"/>
  <c r="D4" i="182" s="1"/>
  <c r="B1" i="182"/>
  <c r="J35" i="182" l="1"/>
  <c r="I26" i="182"/>
  <c r="J27" i="182" l="1"/>
  <c r="K26" i="182"/>
  <c r="I16" i="181" l="1"/>
  <c r="I26" i="181" s="1"/>
  <c r="E8" i="181"/>
  <c r="J74" i="181"/>
  <c r="J76" i="181" s="1"/>
  <c r="K76" i="181" s="1"/>
  <c r="K73" i="181"/>
  <c r="K72" i="181"/>
  <c r="J67" i="181"/>
  <c r="K67" i="181" s="1"/>
  <c r="K64" i="181"/>
  <c r="F64" i="181"/>
  <c r="K63" i="181"/>
  <c r="K62" i="181"/>
  <c r="F62" i="181"/>
  <c r="J59" i="181"/>
  <c r="K59" i="181" s="1"/>
  <c r="K51" i="181"/>
  <c r="K50" i="181"/>
  <c r="K49" i="181"/>
  <c r="B49" i="181"/>
  <c r="K48" i="181"/>
  <c r="F48" i="181"/>
  <c r="E48" i="181"/>
  <c r="K47" i="181"/>
  <c r="F47" i="181"/>
  <c r="E47" i="181"/>
  <c r="F46" i="181"/>
  <c r="E46" i="181"/>
  <c r="F45" i="181"/>
  <c r="E45" i="181"/>
  <c r="F44" i="181"/>
  <c r="E44" i="181"/>
  <c r="F43" i="181"/>
  <c r="E43" i="181"/>
  <c r="E40" i="181"/>
  <c r="I39" i="181"/>
  <c r="I38" i="181"/>
  <c r="I36" i="181"/>
  <c r="D36" i="181"/>
  <c r="C36" i="181"/>
  <c r="E36" i="181" s="1"/>
  <c r="I35" i="181"/>
  <c r="E35" i="181"/>
  <c r="I34" i="181"/>
  <c r="E34" i="181"/>
  <c r="I33" i="181"/>
  <c r="E33" i="181"/>
  <c r="I32" i="181"/>
  <c r="H26" i="181"/>
  <c r="G26" i="181"/>
  <c r="K25" i="181"/>
  <c r="J25" i="181"/>
  <c r="K24" i="181"/>
  <c r="J24" i="181"/>
  <c r="K23" i="181"/>
  <c r="J23" i="181"/>
  <c r="E23" i="181"/>
  <c r="K22" i="181"/>
  <c r="J22" i="181"/>
  <c r="E22" i="181"/>
  <c r="K21" i="181"/>
  <c r="J21" i="181"/>
  <c r="E21" i="181"/>
  <c r="K20" i="181"/>
  <c r="J20" i="181"/>
  <c r="E20" i="181"/>
  <c r="K19" i="181"/>
  <c r="J19" i="181"/>
  <c r="E19" i="181"/>
  <c r="K18" i="181"/>
  <c r="J18" i="181"/>
  <c r="E18" i="181"/>
  <c r="K17" i="181"/>
  <c r="J17" i="181"/>
  <c r="E17" i="181"/>
  <c r="J16" i="181"/>
  <c r="E16" i="181"/>
  <c r="K15" i="181"/>
  <c r="J15" i="181"/>
  <c r="E15" i="181"/>
  <c r="K14" i="181"/>
  <c r="J14" i="181"/>
  <c r="E14" i="181"/>
  <c r="E13" i="181"/>
  <c r="I12" i="181"/>
  <c r="J12" i="181" s="1"/>
  <c r="H12" i="181"/>
  <c r="E12" i="181"/>
  <c r="J11" i="181"/>
  <c r="E11" i="181"/>
  <c r="J10" i="181"/>
  <c r="E10" i="181"/>
  <c r="J9" i="181"/>
  <c r="E9" i="181"/>
  <c r="J8" i="181"/>
  <c r="J7" i="181"/>
  <c r="E7" i="181"/>
  <c r="J6" i="181"/>
  <c r="E6" i="181"/>
  <c r="J5" i="181"/>
  <c r="E5" i="181"/>
  <c r="G3" i="181"/>
  <c r="F3" i="181"/>
  <c r="E3" i="181"/>
  <c r="D23" i="181"/>
  <c r="D4" i="181"/>
  <c r="B1" i="181"/>
  <c r="J35" i="181" l="1"/>
  <c r="K74" i="181"/>
  <c r="J27" i="181"/>
  <c r="K26" i="181"/>
  <c r="K16" i="181"/>
  <c r="J67" i="180" l="1"/>
  <c r="K64" i="180"/>
  <c r="K51" i="180" l="1"/>
  <c r="E8" i="180"/>
  <c r="E10" i="180"/>
  <c r="E17" i="180"/>
  <c r="J74" i="180"/>
  <c r="J76" i="180" s="1"/>
  <c r="K76" i="180" s="1"/>
  <c r="K73" i="180"/>
  <c r="K72" i="180"/>
  <c r="K67" i="180"/>
  <c r="F64" i="180"/>
  <c r="K63" i="180"/>
  <c r="K62" i="180"/>
  <c r="F62" i="180"/>
  <c r="J59" i="180"/>
  <c r="K59" i="180" s="1"/>
  <c r="K50" i="180"/>
  <c r="K49" i="180"/>
  <c r="B49" i="180"/>
  <c r="K48" i="180"/>
  <c r="F48" i="180"/>
  <c r="E48" i="180"/>
  <c r="K47" i="180"/>
  <c r="F47" i="180"/>
  <c r="E47" i="180"/>
  <c r="F46" i="180"/>
  <c r="E46" i="180"/>
  <c r="F45" i="180"/>
  <c r="E45" i="180"/>
  <c r="F44" i="180"/>
  <c r="E44" i="180"/>
  <c r="F43" i="180"/>
  <c r="E43" i="180"/>
  <c r="E40" i="180"/>
  <c r="I39" i="180"/>
  <c r="I38" i="180"/>
  <c r="I36" i="180"/>
  <c r="D36" i="180"/>
  <c r="C36" i="180"/>
  <c r="E36" i="180" s="1"/>
  <c r="I35" i="180"/>
  <c r="J35" i="180" s="1"/>
  <c r="E35" i="180"/>
  <c r="I34" i="180"/>
  <c r="E34" i="180"/>
  <c r="I33" i="180"/>
  <c r="E33" i="180"/>
  <c r="I32" i="180"/>
  <c r="I26" i="180"/>
  <c r="J27" i="180" s="1"/>
  <c r="H26" i="180"/>
  <c r="G26" i="180"/>
  <c r="K25" i="180"/>
  <c r="J25" i="180"/>
  <c r="E25" i="180"/>
  <c r="K24" i="180"/>
  <c r="J24" i="180"/>
  <c r="E24" i="180"/>
  <c r="K23" i="180"/>
  <c r="J23" i="180"/>
  <c r="E23" i="180"/>
  <c r="K22" i="180"/>
  <c r="J22" i="180"/>
  <c r="E22" i="180"/>
  <c r="K21" i="180"/>
  <c r="J21" i="180"/>
  <c r="E21" i="180"/>
  <c r="K20" i="180"/>
  <c r="J20" i="180"/>
  <c r="E20" i="180"/>
  <c r="K19" i="180"/>
  <c r="J19" i="180"/>
  <c r="E19" i="180"/>
  <c r="K18" i="180"/>
  <c r="J18" i="180"/>
  <c r="E18" i="180"/>
  <c r="K17" i="180"/>
  <c r="J17" i="180"/>
  <c r="K16" i="180"/>
  <c r="J16" i="180"/>
  <c r="I16" i="180"/>
  <c r="E16" i="180"/>
  <c r="K15" i="180"/>
  <c r="J15" i="180"/>
  <c r="E15" i="180"/>
  <c r="K14" i="180"/>
  <c r="J14" i="180"/>
  <c r="E14" i="180"/>
  <c r="E13" i="180"/>
  <c r="I12" i="180"/>
  <c r="J12" i="180" s="1"/>
  <c r="H12" i="180"/>
  <c r="E12" i="180"/>
  <c r="J11" i="180"/>
  <c r="E11" i="180"/>
  <c r="J10" i="180"/>
  <c r="J9" i="180"/>
  <c r="E9" i="180"/>
  <c r="J8" i="180"/>
  <c r="J7" i="180"/>
  <c r="E7" i="180"/>
  <c r="J6" i="180"/>
  <c r="E6" i="180"/>
  <c r="J5" i="180"/>
  <c r="E5" i="180"/>
  <c r="G3" i="180"/>
  <c r="F3" i="180"/>
  <c r="E3" i="180"/>
  <c r="D26" i="180"/>
  <c r="D4" i="180"/>
  <c r="K74" i="180" l="1"/>
  <c r="K26" i="180"/>
  <c r="C8" i="145" l="1"/>
  <c r="H26" i="179"/>
  <c r="E17" i="179" l="1"/>
  <c r="E10" i="179"/>
  <c r="E8" i="179"/>
  <c r="J76" i="179" l="1"/>
  <c r="K76" i="179" s="1"/>
  <c r="K74" i="179"/>
  <c r="J74" i="179"/>
  <c r="K73" i="179"/>
  <c r="K72" i="179"/>
  <c r="J67" i="179"/>
  <c r="K67" i="179" s="1"/>
  <c r="F64" i="179"/>
  <c r="K63" i="179"/>
  <c r="K62" i="179"/>
  <c r="F62" i="179"/>
  <c r="J59" i="179"/>
  <c r="K59" i="179" s="1"/>
  <c r="K50" i="179"/>
  <c r="K49" i="179"/>
  <c r="B49" i="179"/>
  <c r="K48" i="179"/>
  <c r="F48" i="179"/>
  <c r="E48" i="179"/>
  <c r="K47" i="179"/>
  <c r="F47" i="179"/>
  <c r="E47" i="179"/>
  <c r="F46" i="179"/>
  <c r="E46" i="179"/>
  <c r="F45" i="179"/>
  <c r="E45" i="179"/>
  <c r="F44" i="179"/>
  <c r="E44" i="179"/>
  <c r="F43" i="179"/>
  <c r="E43" i="179"/>
  <c r="E40" i="179"/>
  <c r="I39" i="179"/>
  <c r="I38" i="179"/>
  <c r="I36" i="179"/>
  <c r="D36" i="179"/>
  <c r="C36" i="179"/>
  <c r="E36" i="179" s="1"/>
  <c r="I35" i="179"/>
  <c r="J35" i="179" s="1"/>
  <c r="E35" i="179"/>
  <c r="I34" i="179"/>
  <c r="E34" i="179"/>
  <c r="I33" i="179"/>
  <c r="E33" i="179"/>
  <c r="I32" i="179"/>
  <c r="E24" i="179"/>
  <c r="E25" i="179"/>
  <c r="G26" i="179"/>
  <c r="K25" i="179"/>
  <c r="J25" i="179"/>
  <c r="K24" i="179"/>
  <c r="J24" i="179"/>
  <c r="K23" i="179"/>
  <c r="J23" i="179"/>
  <c r="E23" i="179"/>
  <c r="K22" i="179"/>
  <c r="J22" i="179"/>
  <c r="E22" i="179"/>
  <c r="K21" i="179"/>
  <c r="J21" i="179"/>
  <c r="E21" i="179"/>
  <c r="K20" i="179"/>
  <c r="J20" i="179"/>
  <c r="E20" i="179"/>
  <c r="K19" i="179"/>
  <c r="J19" i="179"/>
  <c r="E19" i="179"/>
  <c r="K18" i="179"/>
  <c r="J18" i="179"/>
  <c r="E18" i="179"/>
  <c r="K17" i="179"/>
  <c r="J17" i="179"/>
  <c r="J16" i="179"/>
  <c r="I16" i="179"/>
  <c r="I26" i="179" s="1"/>
  <c r="E16" i="179"/>
  <c r="K15" i="179"/>
  <c r="J15" i="179"/>
  <c r="E15" i="179"/>
  <c r="K14" i="179"/>
  <c r="J14" i="179"/>
  <c r="E14" i="179"/>
  <c r="E13" i="179"/>
  <c r="I12" i="179"/>
  <c r="J12" i="179" s="1"/>
  <c r="H12" i="179"/>
  <c r="E12" i="179"/>
  <c r="J11" i="179"/>
  <c r="E11" i="179"/>
  <c r="J10" i="179"/>
  <c r="J9" i="179"/>
  <c r="E9" i="179"/>
  <c r="J8" i="179"/>
  <c r="J7" i="179"/>
  <c r="E7" i="179"/>
  <c r="J6" i="179"/>
  <c r="E6" i="179"/>
  <c r="J5" i="179"/>
  <c r="E5" i="179"/>
  <c r="G3" i="179"/>
  <c r="F3" i="179"/>
  <c r="E3" i="179"/>
  <c r="D26" i="179"/>
  <c r="D4" i="179"/>
  <c r="B1" i="179"/>
  <c r="J27" i="179" l="1"/>
  <c r="K26" i="179"/>
  <c r="K16" i="179"/>
  <c r="E21" i="178"/>
  <c r="E10" i="178"/>
  <c r="E8" i="178"/>
  <c r="I16" i="178"/>
  <c r="J74" i="178" l="1"/>
  <c r="J76" i="178" s="1"/>
  <c r="K76" i="178" s="1"/>
  <c r="K73" i="178"/>
  <c r="K72" i="178"/>
  <c r="J67" i="178"/>
  <c r="K67" i="178" s="1"/>
  <c r="F64" i="178"/>
  <c r="K63" i="178"/>
  <c r="K62" i="178"/>
  <c r="F62" i="178"/>
  <c r="J59" i="178"/>
  <c r="K59" i="178" s="1"/>
  <c r="K50" i="178"/>
  <c r="K49" i="178"/>
  <c r="B49" i="178"/>
  <c r="K48" i="178"/>
  <c r="F48" i="178"/>
  <c r="E48" i="178"/>
  <c r="K47" i="178"/>
  <c r="F47" i="178"/>
  <c r="E47" i="178"/>
  <c r="F46" i="178"/>
  <c r="E46" i="178"/>
  <c r="F45" i="178"/>
  <c r="E45" i="178"/>
  <c r="F44" i="178"/>
  <c r="E44" i="178"/>
  <c r="F43" i="178"/>
  <c r="E43" i="178"/>
  <c r="E40" i="178"/>
  <c r="I39" i="178"/>
  <c r="I38" i="178"/>
  <c r="I36" i="178"/>
  <c r="D36" i="178"/>
  <c r="C36" i="178"/>
  <c r="E36" i="178" s="1"/>
  <c r="I35" i="178"/>
  <c r="E35" i="178"/>
  <c r="I34" i="178"/>
  <c r="E34" i="178"/>
  <c r="I33" i="178"/>
  <c r="E33" i="178"/>
  <c r="I32" i="178"/>
  <c r="H26" i="178"/>
  <c r="G26" i="178"/>
  <c r="K25" i="178"/>
  <c r="J25" i="178"/>
  <c r="K24" i="178"/>
  <c r="J24" i="178"/>
  <c r="K23" i="178"/>
  <c r="J23" i="178"/>
  <c r="E23" i="178"/>
  <c r="K22" i="178"/>
  <c r="J22" i="178"/>
  <c r="E22" i="178"/>
  <c r="K21" i="178"/>
  <c r="J21" i="178"/>
  <c r="K20" i="178"/>
  <c r="J20" i="178"/>
  <c r="E20" i="178"/>
  <c r="K19" i="178"/>
  <c r="J19" i="178"/>
  <c r="E19" i="178"/>
  <c r="K18" i="178"/>
  <c r="J18" i="178"/>
  <c r="E18" i="178"/>
  <c r="K17" i="178"/>
  <c r="J17" i="178"/>
  <c r="E17" i="178"/>
  <c r="J16" i="178"/>
  <c r="I26" i="178"/>
  <c r="E16" i="178"/>
  <c r="K15" i="178"/>
  <c r="J15" i="178"/>
  <c r="E15" i="178"/>
  <c r="K14" i="178"/>
  <c r="J14" i="178"/>
  <c r="E14" i="178"/>
  <c r="E13" i="178"/>
  <c r="I12" i="178"/>
  <c r="H12" i="178"/>
  <c r="E12" i="178"/>
  <c r="J11" i="178"/>
  <c r="E11" i="178"/>
  <c r="J10" i="178"/>
  <c r="J9" i="178"/>
  <c r="E9" i="178"/>
  <c r="J8" i="178"/>
  <c r="J7" i="178"/>
  <c r="E7" i="178"/>
  <c r="J6" i="178"/>
  <c r="E6" i="178"/>
  <c r="J5" i="178"/>
  <c r="E5" i="178"/>
  <c r="G3" i="178"/>
  <c r="F3" i="178"/>
  <c r="E3" i="178"/>
  <c r="D26" i="178"/>
  <c r="D4" i="178" s="1"/>
  <c r="J35" i="178" l="1"/>
  <c r="J12" i="178"/>
  <c r="K74" i="178"/>
  <c r="J27" i="178"/>
  <c r="K26" i="178"/>
  <c r="K16" i="178"/>
  <c r="J76" i="177"/>
  <c r="K74" i="177"/>
  <c r="J74" i="177"/>
  <c r="J67" i="177"/>
  <c r="K67" i="177" s="1"/>
  <c r="K63" i="177"/>
  <c r="K76" i="177" l="1"/>
  <c r="K73" i="177"/>
  <c r="K72" i="177"/>
  <c r="I16" i="177" l="1"/>
  <c r="I26" i="177" s="1"/>
  <c r="K62" i="177"/>
  <c r="J59" i="177"/>
  <c r="K59" i="177" s="1"/>
  <c r="K50" i="177"/>
  <c r="K49" i="177"/>
  <c r="B49" i="177"/>
  <c r="K48" i="177"/>
  <c r="F48" i="177"/>
  <c r="E48" i="177"/>
  <c r="K47" i="177"/>
  <c r="F47" i="177"/>
  <c r="E47" i="177"/>
  <c r="F46" i="177"/>
  <c r="E46" i="177"/>
  <c r="F45" i="177"/>
  <c r="E45" i="177"/>
  <c r="F44" i="177"/>
  <c r="E44" i="177"/>
  <c r="F43" i="177"/>
  <c r="E43" i="177"/>
  <c r="E40" i="177"/>
  <c r="I39" i="177"/>
  <c r="I38" i="177"/>
  <c r="I36" i="177"/>
  <c r="D36" i="177"/>
  <c r="C36" i="177"/>
  <c r="E36" i="177" s="1"/>
  <c r="I35" i="177"/>
  <c r="E35" i="177"/>
  <c r="I34" i="177"/>
  <c r="E34" i="177"/>
  <c r="I33" i="177"/>
  <c r="E33" i="177"/>
  <c r="I32" i="177"/>
  <c r="H26" i="177"/>
  <c r="G26" i="177"/>
  <c r="K25" i="177"/>
  <c r="J25" i="177"/>
  <c r="K24" i="177"/>
  <c r="J24" i="177"/>
  <c r="K23" i="177"/>
  <c r="J23" i="177"/>
  <c r="E23" i="177"/>
  <c r="K22" i="177"/>
  <c r="J22" i="177"/>
  <c r="E22" i="177"/>
  <c r="K21" i="177"/>
  <c r="J21" i="177"/>
  <c r="K20" i="177"/>
  <c r="J20" i="177"/>
  <c r="K19" i="177"/>
  <c r="J19" i="177"/>
  <c r="E19" i="177"/>
  <c r="K18" i="177"/>
  <c r="J18" i="177"/>
  <c r="E18" i="177"/>
  <c r="K17" i="177"/>
  <c r="J17" i="177"/>
  <c r="E17" i="177"/>
  <c r="J16" i="177"/>
  <c r="K15" i="177"/>
  <c r="J15" i="177"/>
  <c r="K14" i="177"/>
  <c r="J14" i="177"/>
  <c r="E14" i="177"/>
  <c r="E13" i="177"/>
  <c r="I12" i="177"/>
  <c r="H12" i="177"/>
  <c r="E12" i="177"/>
  <c r="J11" i="177"/>
  <c r="J10" i="177"/>
  <c r="J9" i="177"/>
  <c r="J8" i="177"/>
  <c r="E8" i="177"/>
  <c r="J7" i="177"/>
  <c r="E7" i="177"/>
  <c r="J6" i="177"/>
  <c r="E6" i="177"/>
  <c r="J5" i="177"/>
  <c r="E5" i="177"/>
  <c r="G3" i="177"/>
  <c r="F3" i="177"/>
  <c r="E3" i="177"/>
  <c r="D24" i="177"/>
  <c r="D4" i="177" s="1"/>
  <c r="E11" i="177" s="1"/>
  <c r="B1" i="177"/>
  <c r="E10" i="177" l="1"/>
  <c r="E16" i="177"/>
  <c r="J12" i="177"/>
  <c r="E21" i="177"/>
  <c r="E15" i="177"/>
  <c r="E9" i="177"/>
  <c r="E20" i="177"/>
  <c r="J35" i="177"/>
  <c r="J27" i="177"/>
  <c r="K26" i="177"/>
  <c r="K16" i="177"/>
  <c r="F67" i="176"/>
  <c r="F62" i="177" l="1"/>
  <c r="F64" i="177"/>
  <c r="I16" i="176"/>
  <c r="I16" i="175"/>
  <c r="J79" i="176"/>
  <c r="K77" i="176"/>
  <c r="K76" i="176"/>
  <c r="K75" i="176"/>
  <c r="K74" i="176"/>
  <c r="K73" i="176"/>
  <c r="K72" i="176"/>
  <c r="J67" i="176"/>
  <c r="K62" i="176"/>
  <c r="K67" i="176" s="1"/>
  <c r="G66" i="176" s="1"/>
  <c r="J59" i="176"/>
  <c r="K59" i="176" s="1"/>
  <c r="K50" i="176"/>
  <c r="K49" i="176"/>
  <c r="B49" i="176"/>
  <c r="K48" i="176"/>
  <c r="F48" i="176"/>
  <c r="E48" i="176"/>
  <c r="K47" i="176"/>
  <c r="F47" i="176"/>
  <c r="E47" i="176"/>
  <c r="F46" i="176"/>
  <c r="E46" i="176"/>
  <c r="F45" i="176"/>
  <c r="E45" i="176"/>
  <c r="F44" i="176"/>
  <c r="E44" i="176"/>
  <c r="F43" i="176"/>
  <c r="E43" i="176"/>
  <c r="E40" i="176"/>
  <c r="I39" i="176"/>
  <c r="I38" i="176"/>
  <c r="I36" i="176"/>
  <c r="D36" i="176"/>
  <c r="C36" i="176"/>
  <c r="E36" i="176" s="1"/>
  <c r="I35" i="176"/>
  <c r="J35" i="176" s="1"/>
  <c r="E35" i="176"/>
  <c r="I34" i="176"/>
  <c r="E34" i="176"/>
  <c r="I33" i="176"/>
  <c r="E33" i="176"/>
  <c r="I32" i="176"/>
  <c r="H26" i="176"/>
  <c r="G26" i="176"/>
  <c r="K25" i="176"/>
  <c r="J25" i="176"/>
  <c r="K24" i="176"/>
  <c r="J24" i="176"/>
  <c r="K23" i="176"/>
  <c r="J23" i="176"/>
  <c r="E23" i="176"/>
  <c r="K22" i="176"/>
  <c r="J22" i="176"/>
  <c r="E22" i="176"/>
  <c r="K21" i="176"/>
  <c r="J21" i="176"/>
  <c r="E21" i="176"/>
  <c r="K20" i="176"/>
  <c r="J20" i="176"/>
  <c r="E20" i="176"/>
  <c r="K19" i="176"/>
  <c r="J19" i="176"/>
  <c r="E19" i="176"/>
  <c r="K18" i="176"/>
  <c r="J18" i="176"/>
  <c r="E18" i="176"/>
  <c r="K17" i="176"/>
  <c r="J17" i="176"/>
  <c r="E17" i="176"/>
  <c r="J16" i="176"/>
  <c r="I26" i="176"/>
  <c r="E16" i="176"/>
  <c r="K15" i="176"/>
  <c r="J15" i="176"/>
  <c r="E15" i="176"/>
  <c r="K14" i="176"/>
  <c r="J14" i="176"/>
  <c r="E14" i="176"/>
  <c r="E13" i="176"/>
  <c r="I12" i="176"/>
  <c r="J12" i="176" s="1"/>
  <c r="H12" i="176"/>
  <c r="E12" i="176"/>
  <c r="J11" i="176"/>
  <c r="E11" i="176"/>
  <c r="J10" i="176"/>
  <c r="E10" i="176"/>
  <c r="J9" i="176"/>
  <c r="E9" i="176"/>
  <c r="J8" i="176"/>
  <c r="E8" i="176"/>
  <c r="J7" i="176"/>
  <c r="E7" i="176"/>
  <c r="J6" i="176"/>
  <c r="E6" i="176"/>
  <c r="J5" i="176"/>
  <c r="E5" i="176"/>
  <c r="G3" i="176"/>
  <c r="F3" i="176"/>
  <c r="E3" i="176"/>
  <c r="D23" i="176"/>
  <c r="D4" i="176" s="1"/>
  <c r="B1" i="176"/>
  <c r="J27" i="176" l="1"/>
  <c r="K26" i="176"/>
  <c r="K16" i="176"/>
  <c r="K50" i="175"/>
  <c r="J79" i="175" l="1"/>
  <c r="K77" i="175"/>
  <c r="K76" i="175"/>
  <c r="K75" i="175"/>
  <c r="K74" i="175"/>
  <c r="K73" i="175"/>
  <c r="K72" i="175"/>
  <c r="J67" i="175"/>
  <c r="K62" i="175"/>
  <c r="K67" i="175" s="1"/>
  <c r="J59" i="175"/>
  <c r="K59" i="175" s="1"/>
  <c r="K49" i="175"/>
  <c r="B49" i="175"/>
  <c r="K48" i="175"/>
  <c r="F48" i="175"/>
  <c r="E48" i="175"/>
  <c r="K47" i="175"/>
  <c r="F47" i="175"/>
  <c r="E47" i="175"/>
  <c r="F46" i="175"/>
  <c r="E46" i="175"/>
  <c r="F45" i="175"/>
  <c r="E45" i="175"/>
  <c r="F44" i="175"/>
  <c r="E44" i="175"/>
  <c r="F43" i="175"/>
  <c r="E43" i="175"/>
  <c r="E40" i="175"/>
  <c r="I39" i="175"/>
  <c r="I38" i="175"/>
  <c r="I36" i="175"/>
  <c r="D36" i="175"/>
  <c r="C36" i="175"/>
  <c r="E36" i="175" s="1"/>
  <c r="I35" i="175"/>
  <c r="E35" i="175"/>
  <c r="I34" i="175"/>
  <c r="E34" i="175"/>
  <c r="I33" i="175"/>
  <c r="E33" i="175"/>
  <c r="I32" i="175"/>
  <c r="H26" i="175"/>
  <c r="G26" i="175"/>
  <c r="K25" i="175"/>
  <c r="J25" i="175"/>
  <c r="E25" i="175"/>
  <c r="K24" i="175"/>
  <c r="J24" i="175"/>
  <c r="E24" i="175"/>
  <c r="K23" i="175"/>
  <c r="J23" i="175"/>
  <c r="E23" i="175"/>
  <c r="K22" i="175"/>
  <c r="J22" i="175"/>
  <c r="E22" i="175"/>
  <c r="K21" i="175"/>
  <c r="J21" i="175"/>
  <c r="E21" i="175"/>
  <c r="K20" i="175"/>
  <c r="J20" i="175"/>
  <c r="E20" i="175"/>
  <c r="K19" i="175"/>
  <c r="J19" i="175"/>
  <c r="E19" i="175"/>
  <c r="K18" i="175"/>
  <c r="J18" i="175"/>
  <c r="E18" i="175"/>
  <c r="K17" i="175"/>
  <c r="J17" i="175"/>
  <c r="E17" i="175"/>
  <c r="K16" i="175"/>
  <c r="J16" i="175"/>
  <c r="I26" i="175"/>
  <c r="E16" i="175"/>
  <c r="K15" i="175"/>
  <c r="J15" i="175"/>
  <c r="E15" i="175"/>
  <c r="K14" i="175"/>
  <c r="J14" i="175"/>
  <c r="E14" i="175"/>
  <c r="E13" i="175"/>
  <c r="I12" i="175"/>
  <c r="J12" i="175" s="1"/>
  <c r="H12" i="175"/>
  <c r="E12" i="175"/>
  <c r="J11" i="175"/>
  <c r="E11" i="175"/>
  <c r="J10" i="175"/>
  <c r="E10" i="175"/>
  <c r="J9" i="175"/>
  <c r="E9" i="175"/>
  <c r="J8" i="175"/>
  <c r="E8" i="175"/>
  <c r="J7" i="175"/>
  <c r="E7" i="175"/>
  <c r="J6" i="175"/>
  <c r="E6" i="175"/>
  <c r="J5" i="175"/>
  <c r="E5" i="175"/>
  <c r="G3" i="175"/>
  <c r="F3" i="175"/>
  <c r="E3" i="175"/>
  <c r="D25" i="175"/>
  <c r="D4" i="175" s="1"/>
  <c r="B1" i="175"/>
  <c r="J35" i="175" l="1"/>
  <c r="G66" i="175"/>
  <c r="J27" i="175"/>
  <c r="K26" i="175"/>
  <c r="J67" i="174" l="1"/>
  <c r="J59" i="174"/>
  <c r="K49" i="174"/>
  <c r="H33" i="174" l="1"/>
  <c r="I16" i="174" l="1"/>
  <c r="K16" i="174" s="1"/>
  <c r="E25" i="174"/>
  <c r="E24" i="174"/>
  <c r="E23" i="174"/>
  <c r="J79" i="174"/>
  <c r="K77" i="174"/>
  <c r="K76" i="174"/>
  <c r="K75" i="174"/>
  <c r="K74" i="174"/>
  <c r="K73" i="174"/>
  <c r="K72" i="174"/>
  <c r="K62" i="174"/>
  <c r="K67" i="174" s="1"/>
  <c r="G66" i="174" s="1"/>
  <c r="K59" i="174"/>
  <c r="K48" i="174"/>
  <c r="K47" i="174"/>
  <c r="B49" i="174"/>
  <c r="F48" i="174"/>
  <c r="E48" i="174"/>
  <c r="F47" i="174"/>
  <c r="E47" i="174"/>
  <c r="F46" i="174"/>
  <c r="E46" i="174"/>
  <c r="F45" i="174"/>
  <c r="E45" i="174"/>
  <c r="F44" i="174"/>
  <c r="E44" i="174"/>
  <c r="F43" i="174"/>
  <c r="E43" i="174"/>
  <c r="E40" i="174"/>
  <c r="I39" i="174"/>
  <c r="I38" i="174"/>
  <c r="I36" i="174"/>
  <c r="D36" i="174"/>
  <c r="C36" i="174"/>
  <c r="E36" i="174" s="1"/>
  <c r="I35" i="174"/>
  <c r="J35" i="174" s="1"/>
  <c r="E35" i="174"/>
  <c r="I34" i="174"/>
  <c r="E34" i="174"/>
  <c r="I33" i="174"/>
  <c r="E33" i="174"/>
  <c r="I32" i="174"/>
  <c r="H26" i="174"/>
  <c r="G26" i="174"/>
  <c r="K25" i="174"/>
  <c r="J25" i="174"/>
  <c r="K24" i="174"/>
  <c r="J24" i="174"/>
  <c r="K23" i="174"/>
  <c r="J23" i="174"/>
  <c r="K22" i="174"/>
  <c r="J22" i="174"/>
  <c r="E22" i="174"/>
  <c r="K21" i="174"/>
  <c r="J21" i="174"/>
  <c r="E21" i="174"/>
  <c r="K20" i="174"/>
  <c r="J20" i="174"/>
  <c r="E20" i="174"/>
  <c r="K19" i="174"/>
  <c r="J19" i="174"/>
  <c r="E19" i="174"/>
  <c r="K18" i="174"/>
  <c r="J18" i="174"/>
  <c r="E18" i="174"/>
  <c r="K17" i="174"/>
  <c r="J17" i="174"/>
  <c r="E17" i="174"/>
  <c r="J16" i="174"/>
  <c r="E16" i="174"/>
  <c r="K15" i="174"/>
  <c r="J15" i="174"/>
  <c r="E15" i="174"/>
  <c r="K14" i="174"/>
  <c r="J14" i="174"/>
  <c r="E14" i="174"/>
  <c r="E13" i="174"/>
  <c r="I12" i="174"/>
  <c r="J12" i="174" s="1"/>
  <c r="H12" i="174"/>
  <c r="E12" i="174"/>
  <c r="J11" i="174"/>
  <c r="E11" i="174"/>
  <c r="J10" i="174"/>
  <c r="E10" i="174"/>
  <c r="J9" i="174"/>
  <c r="E9" i="174"/>
  <c r="J8" i="174"/>
  <c r="E8" i="174"/>
  <c r="J7" i="174"/>
  <c r="E7" i="174"/>
  <c r="J6" i="174"/>
  <c r="E6" i="174"/>
  <c r="J5" i="174"/>
  <c r="E5" i="174"/>
  <c r="G3" i="174"/>
  <c r="F3" i="174"/>
  <c r="E3" i="174"/>
  <c r="D11" i="174"/>
  <c r="C11" i="174"/>
  <c r="D10" i="174"/>
  <c r="C10" i="174"/>
  <c r="D6" i="174"/>
  <c r="C6" i="174"/>
  <c r="I26" i="174" l="1"/>
  <c r="D25" i="174"/>
  <c r="D4" i="174" s="1"/>
  <c r="G66" i="173"/>
  <c r="K58" i="173"/>
  <c r="K57" i="173"/>
  <c r="J27" i="174" l="1"/>
  <c r="K26" i="174"/>
  <c r="I16" i="173"/>
  <c r="K16" i="173" s="1"/>
  <c r="E10" i="173"/>
  <c r="E8" i="173"/>
  <c r="J79" i="173"/>
  <c r="K77" i="173"/>
  <c r="K76" i="173"/>
  <c r="K75" i="173"/>
  <c r="K74" i="173"/>
  <c r="K73" i="173"/>
  <c r="K72" i="173"/>
  <c r="J67" i="173"/>
  <c r="K66" i="173"/>
  <c r="K67" i="173" s="1"/>
  <c r="K64" i="173"/>
  <c r="J59" i="173"/>
  <c r="K59" i="173" s="1"/>
  <c r="K56" i="173"/>
  <c r="K55" i="173"/>
  <c r="K54" i="173"/>
  <c r="K53" i="173"/>
  <c r="K52" i="173"/>
  <c r="K51" i="173"/>
  <c r="K50" i="173"/>
  <c r="K49" i="173"/>
  <c r="B49" i="173"/>
  <c r="K48" i="173"/>
  <c r="F48" i="173"/>
  <c r="E48" i="173"/>
  <c r="K47" i="173"/>
  <c r="F47" i="173"/>
  <c r="E47" i="173"/>
  <c r="K46" i="173"/>
  <c r="F46" i="173"/>
  <c r="E46" i="173"/>
  <c r="F45" i="173"/>
  <c r="E45" i="173"/>
  <c r="F44" i="173"/>
  <c r="E44" i="173"/>
  <c r="F43" i="173"/>
  <c r="E43" i="173"/>
  <c r="E40" i="173"/>
  <c r="I39" i="173"/>
  <c r="I38" i="173"/>
  <c r="I36" i="173"/>
  <c r="D36" i="173"/>
  <c r="C36" i="173"/>
  <c r="E36" i="173" s="1"/>
  <c r="I35" i="173"/>
  <c r="E35" i="173"/>
  <c r="I34" i="173"/>
  <c r="E34" i="173"/>
  <c r="I33" i="173"/>
  <c r="E33" i="173"/>
  <c r="I32" i="173"/>
  <c r="I26" i="173"/>
  <c r="J27" i="173" s="1"/>
  <c r="H26" i="173"/>
  <c r="G26" i="173"/>
  <c r="K25" i="173"/>
  <c r="J25" i="173"/>
  <c r="K24" i="173"/>
  <c r="J24" i="173"/>
  <c r="K23" i="173"/>
  <c r="J23" i="173"/>
  <c r="K22" i="173"/>
  <c r="J22" i="173"/>
  <c r="E22" i="173"/>
  <c r="K21" i="173"/>
  <c r="J21" i="173"/>
  <c r="E21" i="173"/>
  <c r="K20" i="173"/>
  <c r="J20" i="173"/>
  <c r="E20" i="173"/>
  <c r="K19" i="173"/>
  <c r="J19" i="173"/>
  <c r="E19" i="173"/>
  <c r="K18" i="173"/>
  <c r="J18" i="173"/>
  <c r="E18" i="173"/>
  <c r="K17" i="173"/>
  <c r="J17" i="173"/>
  <c r="E17" i="173"/>
  <c r="J16" i="173"/>
  <c r="E16" i="173"/>
  <c r="K15" i="173"/>
  <c r="J15" i="173"/>
  <c r="E15" i="173"/>
  <c r="K14" i="173"/>
  <c r="J14" i="173"/>
  <c r="E14" i="173"/>
  <c r="E13" i="173"/>
  <c r="I12" i="173"/>
  <c r="H12" i="173"/>
  <c r="E12" i="173"/>
  <c r="J11" i="173"/>
  <c r="E11" i="173"/>
  <c r="J10" i="173"/>
  <c r="J9" i="173"/>
  <c r="E9" i="173"/>
  <c r="J8" i="173"/>
  <c r="J7" i="173"/>
  <c r="E7" i="173"/>
  <c r="J6" i="173"/>
  <c r="E6" i="173"/>
  <c r="J5" i="173"/>
  <c r="E5" i="173"/>
  <c r="G3" i="173"/>
  <c r="F3" i="173"/>
  <c r="E3" i="173"/>
  <c r="D23" i="173"/>
  <c r="D4" i="173"/>
  <c r="B1" i="173"/>
  <c r="J12" i="173" l="1"/>
  <c r="J35" i="173"/>
  <c r="K26" i="173"/>
  <c r="J27" i="172"/>
  <c r="K26" i="172"/>
  <c r="I26" i="172"/>
  <c r="H26" i="172"/>
  <c r="J79" i="172"/>
  <c r="K77" i="172"/>
  <c r="K76" i="172"/>
  <c r="K75" i="172"/>
  <c r="K74" i="172"/>
  <c r="K73" i="172"/>
  <c r="K72" i="172"/>
  <c r="J67" i="172"/>
  <c r="K66" i="172"/>
  <c r="K67" i="172" s="1"/>
  <c r="K64" i="172"/>
  <c r="J59" i="172"/>
  <c r="K59" i="172" s="1"/>
  <c r="K56" i="172"/>
  <c r="K55" i="172"/>
  <c r="K54" i="172"/>
  <c r="K53" i="172"/>
  <c r="K52" i="172"/>
  <c r="K51" i="172"/>
  <c r="K50" i="172"/>
  <c r="K49" i="172"/>
  <c r="B49" i="172"/>
  <c r="K48" i="172"/>
  <c r="F48" i="172"/>
  <c r="E48" i="172"/>
  <c r="K47" i="172"/>
  <c r="F47" i="172"/>
  <c r="E47" i="172"/>
  <c r="K46" i="172"/>
  <c r="F46" i="172"/>
  <c r="E46" i="172"/>
  <c r="F45" i="172"/>
  <c r="E45" i="172"/>
  <c r="F44" i="172"/>
  <c r="E44" i="172"/>
  <c r="F43" i="172"/>
  <c r="E43" i="172"/>
  <c r="E40" i="172"/>
  <c r="I39" i="172"/>
  <c r="I38" i="172"/>
  <c r="I36" i="172"/>
  <c r="D36" i="172"/>
  <c r="C36" i="172"/>
  <c r="E36" i="172" s="1"/>
  <c r="I35" i="172"/>
  <c r="J35" i="172" s="1"/>
  <c r="E35" i="172"/>
  <c r="I34" i="172"/>
  <c r="E34" i="172"/>
  <c r="I33" i="172"/>
  <c r="E33" i="172"/>
  <c r="I32" i="172"/>
  <c r="G26" i="172"/>
  <c r="K25" i="172"/>
  <c r="J25" i="172"/>
  <c r="K24" i="172"/>
  <c r="J24" i="172"/>
  <c r="K23" i="172"/>
  <c r="J23" i="172"/>
  <c r="K22" i="172"/>
  <c r="J22" i="172"/>
  <c r="E22" i="172"/>
  <c r="K21" i="172"/>
  <c r="J21" i="172"/>
  <c r="E21" i="172"/>
  <c r="K20" i="172"/>
  <c r="J20" i="172"/>
  <c r="E20" i="172"/>
  <c r="K19" i="172"/>
  <c r="J19" i="172"/>
  <c r="E19" i="172"/>
  <c r="K18" i="172"/>
  <c r="J18" i="172"/>
  <c r="E18" i="172"/>
  <c r="K17" i="172"/>
  <c r="J17" i="172"/>
  <c r="E17" i="172"/>
  <c r="K16" i="172"/>
  <c r="J16" i="172"/>
  <c r="E16" i="172"/>
  <c r="J15" i="172"/>
  <c r="E15" i="172"/>
  <c r="K14" i="172"/>
  <c r="J14" i="172"/>
  <c r="E14" i="172"/>
  <c r="E13" i="172"/>
  <c r="I12" i="172"/>
  <c r="J12" i="172" s="1"/>
  <c r="H12" i="172"/>
  <c r="E12" i="172"/>
  <c r="J11" i="172"/>
  <c r="E11" i="172"/>
  <c r="J10" i="172"/>
  <c r="E10" i="172"/>
  <c r="J9" i="172"/>
  <c r="E9" i="172"/>
  <c r="J8" i="172"/>
  <c r="E8" i="172"/>
  <c r="J7" i="172"/>
  <c r="E7" i="172"/>
  <c r="J6" i="172"/>
  <c r="E6" i="172"/>
  <c r="J5" i="172"/>
  <c r="E5" i="172"/>
  <c r="G3" i="172"/>
  <c r="F3" i="172"/>
  <c r="E3" i="172"/>
  <c r="D22" i="172"/>
  <c r="D4" i="172" s="1"/>
  <c r="K15" i="172" l="1"/>
  <c r="K26" i="171"/>
  <c r="I26" i="171"/>
  <c r="H26" i="171"/>
  <c r="I34" i="171" l="1"/>
  <c r="I15" i="171" l="1"/>
  <c r="E14" i="171"/>
  <c r="E6" i="171"/>
  <c r="J27" i="171"/>
  <c r="G26" i="171"/>
  <c r="K25" i="171"/>
  <c r="J25" i="171"/>
  <c r="K24" i="171"/>
  <c r="J24" i="171"/>
  <c r="K23" i="171"/>
  <c r="J23" i="171"/>
  <c r="K22" i="171"/>
  <c r="J22" i="171"/>
  <c r="E22" i="171"/>
  <c r="K21" i="171"/>
  <c r="J21" i="171"/>
  <c r="E21" i="171"/>
  <c r="K20" i="171"/>
  <c r="J20" i="171"/>
  <c r="E20" i="171"/>
  <c r="K19" i="171"/>
  <c r="J19" i="171"/>
  <c r="E19" i="171"/>
  <c r="K18" i="171"/>
  <c r="J18" i="171"/>
  <c r="E18" i="171"/>
  <c r="K17" i="171"/>
  <c r="J17" i="171"/>
  <c r="E17" i="171"/>
  <c r="K16" i="171"/>
  <c r="J16" i="171"/>
  <c r="E16" i="171"/>
  <c r="J15" i="171"/>
  <c r="E15" i="171"/>
  <c r="K14" i="171"/>
  <c r="J14" i="171"/>
  <c r="E13" i="171"/>
  <c r="I12" i="171"/>
  <c r="J12" i="171" s="1"/>
  <c r="H12" i="171"/>
  <c r="E12" i="171"/>
  <c r="J11" i="171"/>
  <c r="E11" i="171"/>
  <c r="J10" i="171"/>
  <c r="E10" i="171"/>
  <c r="J9" i="171"/>
  <c r="E9" i="171"/>
  <c r="J8" i="171"/>
  <c r="E8" i="171"/>
  <c r="J7" i="171"/>
  <c r="E7" i="171"/>
  <c r="J6" i="171"/>
  <c r="J5" i="171"/>
  <c r="E5" i="171"/>
  <c r="G3" i="171"/>
  <c r="F3" i="171"/>
  <c r="E3" i="171"/>
  <c r="J79" i="171"/>
  <c r="K77" i="171"/>
  <c r="K76" i="171"/>
  <c r="K75" i="171"/>
  <c r="K74" i="171"/>
  <c r="K73" i="171"/>
  <c r="K72" i="171"/>
  <c r="J67" i="171"/>
  <c r="K66" i="171"/>
  <c r="K67" i="171" s="1"/>
  <c r="K65" i="171"/>
  <c r="K64" i="171"/>
  <c r="J59" i="171"/>
  <c r="K59" i="171" s="1"/>
  <c r="K56" i="171"/>
  <c r="K55" i="171"/>
  <c r="K54" i="171"/>
  <c r="K53" i="171"/>
  <c r="K52" i="171"/>
  <c r="K51" i="171"/>
  <c r="K50" i="171"/>
  <c r="K49" i="171"/>
  <c r="B49" i="171"/>
  <c r="K48" i="171"/>
  <c r="F48" i="171"/>
  <c r="E48" i="171"/>
  <c r="K47" i="171"/>
  <c r="F47" i="171"/>
  <c r="E47" i="171"/>
  <c r="K46" i="171"/>
  <c r="F46" i="171"/>
  <c r="E46" i="171"/>
  <c r="F45" i="171"/>
  <c r="E45" i="171"/>
  <c r="F44" i="171"/>
  <c r="E44" i="171"/>
  <c r="F43" i="171"/>
  <c r="E43" i="171"/>
  <c r="E40" i="171"/>
  <c r="I39" i="171"/>
  <c r="I38" i="171"/>
  <c r="I36" i="171"/>
  <c r="D36" i="171"/>
  <c r="C36" i="171"/>
  <c r="E36" i="171" s="1"/>
  <c r="I35" i="171"/>
  <c r="E35" i="171"/>
  <c r="E34" i="171"/>
  <c r="I33" i="171"/>
  <c r="E33" i="171"/>
  <c r="I32" i="171"/>
  <c r="D22" i="171"/>
  <c r="D4" i="171" s="1"/>
  <c r="B1" i="171"/>
  <c r="K15" i="171" l="1"/>
  <c r="J35" i="171"/>
  <c r="H33" i="170"/>
  <c r="E14" i="170"/>
  <c r="E6" i="170"/>
  <c r="E10" i="170"/>
  <c r="E8" i="170"/>
  <c r="K67" i="170"/>
  <c r="J67" i="170"/>
  <c r="K66" i="170"/>
  <c r="J59" i="170"/>
  <c r="K56" i="170"/>
  <c r="I15" i="170" l="1"/>
  <c r="J79" i="170"/>
  <c r="K77" i="170"/>
  <c r="K76" i="170"/>
  <c r="K75" i="170"/>
  <c r="K74" i="170"/>
  <c r="K73" i="170"/>
  <c r="K72" i="170"/>
  <c r="K65" i="170"/>
  <c r="K64" i="170"/>
  <c r="K59" i="170"/>
  <c r="K55" i="170"/>
  <c r="K54" i="170"/>
  <c r="K53" i="170"/>
  <c r="K52" i="170"/>
  <c r="K51" i="170"/>
  <c r="K50" i="170"/>
  <c r="K49" i="170"/>
  <c r="B49" i="170"/>
  <c r="K48" i="170"/>
  <c r="F48" i="170"/>
  <c r="E48" i="170"/>
  <c r="K47" i="170"/>
  <c r="F47" i="170"/>
  <c r="E47" i="170"/>
  <c r="K46" i="170"/>
  <c r="F46" i="170"/>
  <c r="E46" i="170"/>
  <c r="F45" i="170"/>
  <c r="E45" i="170"/>
  <c r="F44" i="170"/>
  <c r="E44" i="170"/>
  <c r="F43" i="170"/>
  <c r="E43" i="170"/>
  <c r="E40" i="170"/>
  <c r="I39" i="170"/>
  <c r="I38" i="170"/>
  <c r="I36" i="170"/>
  <c r="D36" i="170"/>
  <c r="C36" i="170"/>
  <c r="I35" i="170"/>
  <c r="E35" i="170"/>
  <c r="E34" i="170"/>
  <c r="I33" i="170"/>
  <c r="E33" i="170"/>
  <c r="I32" i="170"/>
  <c r="H26" i="170"/>
  <c r="J27" i="170" s="1"/>
  <c r="G26" i="170"/>
  <c r="K25" i="170"/>
  <c r="J25" i="170"/>
  <c r="E25" i="170"/>
  <c r="K24" i="170"/>
  <c r="J24" i="170"/>
  <c r="K23" i="170"/>
  <c r="J23" i="170"/>
  <c r="E23" i="170"/>
  <c r="K22" i="170"/>
  <c r="J22" i="170"/>
  <c r="E22" i="170"/>
  <c r="K21" i="170"/>
  <c r="J21" i="170"/>
  <c r="E21" i="170"/>
  <c r="K20" i="170"/>
  <c r="J20" i="170"/>
  <c r="E20" i="170"/>
  <c r="K19" i="170"/>
  <c r="J19" i="170"/>
  <c r="E19" i="170"/>
  <c r="K18" i="170"/>
  <c r="J18" i="170"/>
  <c r="E18" i="170"/>
  <c r="K17" i="170"/>
  <c r="J17" i="170"/>
  <c r="E17" i="170"/>
  <c r="K16" i="170"/>
  <c r="J16" i="170"/>
  <c r="E16" i="170"/>
  <c r="J15" i="170"/>
  <c r="I26" i="170"/>
  <c r="K26" i="170" s="1"/>
  <c r="E15" i="170"/>
  <c r="K14" i="170"/>
  <c r="J14" i="170"/>
  <c r="E13" i="170"/>
  <c r="I12" i="170"/>
  <c r="J12" i="170" s="1"/>
  <c r="H12" i="170"/>
  <c r="E12" i="170"/>
  <c r="J11" i="170"/>
  <c r="E11" i="170"/>
  <c r="J10" i="170"/>
  <c r="J9" i="170"/>
  <c r="E9" i="170"/>
  <c r="J8" i="170"/>
  <c r="J7" i="170"/>
  <c r="E7" i="170"/>
  <c r="J6" i="170"/>
  <c r="J5" i="170"/>
  <c r="E5" i="170"/>
  <c r="G3" i="170"/>
  <c r="F3" i="170"/>
  <c r="E3" i="170"/>
  <c r="D23" i="170"/>
  <c r="D4" i="170"/>
  <c r="B1" i="170"/>
  <c r="J35" i="170" l="1"/>
  <c r="E36" i="170"/>
  <c r="K15" i="170"/>
  <c r="J26" i="170"/>
  <c r="I15" i="169" l="1"/>
  <c r="E25" i="169"/>
  <c r="E24" i="169"/>
  <c r="E23" i="169"/>
  <c r="E22" i="169"/>
  <c r="E21" i="169"/>
  <c r="E6" i="169"/>
  <c r="J79" i="169"/>
  <c r="K77" i="169"/>
  <c r="K76" i="169"/>
  <c r="K75" i="169"/>
  <c r="K74" i="169"/>
  <c r="K73" i="169"/>
  <c r="K72" i="169"/>
  <c r="J67" i="169"/>
  <c r="K65" i="169"/>
  <c r="K67" i="169" s="1"/>
  <c r="K64" i="169"/>
  <c r="J59" i="169"/>
  <c r="K59" i="169" s="1"/>
  <c r="K55" i="169"/>
  <c r="K54" i="169"/>
  <c r="K53" i="169"/>
  <c r="K52" i="169"/>
  <c r="K51" i="169"/>
  <c r="K50" i="169"/>
  <c r="K49" i="169"/>
  <c r="B49" i="169"/>
  <c r="K48" i="169"/>
  <c r="F48" i="169"/>
  <c r="E48" i="169"/>
  <c r="K47" i="169"/>
  <c r="F47" i="169"/>
  <c r="E47" i="169"/>
  <c r="K46" i="169"/>
  <c r="F46" i="169"/>
  <c r="E46" i="169"/>
  <c r="F45" i="169"/>
  <c r="E45" i="169"/>
  <c r="F44" i="169"/>
  <c r="E44" i="169"/>
  <c r="F43" i="169"/>
  <c r="E43" i="169"/>
  <c r="E40" i="169"/>
  <c r="I39" i="169"/>
  <c r="I38" i="169"/>
  <c r="I36" i="169"/>
  <c r="D36" i="169"/>
  <c r="C36" i="169"/>
  <c r="I35" i="169"/>
  <c r="E35" i="169"/>
  <c r="E34" i="169"/>
  <c r="I33" i="169"/>
  <c r="E33" i="169"/>
  <c r="I32" i="169"/>
  <c r="H26" i="169"/>
  <c r="J27" i="169" s="1"/>
  <c r="G26" i="169"/>
  <c r="K25" i="169"/>
  <c r="J25" i="169"/>
  <c r="K24" i="169"/>
  <c r="J24" i="169"/>
  <c r="K23" i="169"/>
  <c r="J23" i="169"/>
  <c r="K22" i="169"/>
  <c r="J22" i="169"/>
  <c r="K21" i="169"/>
  <c r="J21" i="169"/>
  <c r="K20" i="169"/>
  <c r="J20" i="169"/>
  <c r="E20" i="169"/>
  <c r="K19" i="169"/>
  <c r="J19" i="169"/>
  <c r="E19" i="169"/>
  <c r="K18" i="169"/>
  <c r="J18" i="169"/>
  <c r="E18" i="169"/>
  <c r="K17" i="169"/>
  <c r="J17" i="169"/>
  <c r="E17" i="169"/>
  <c r="K16" i="169"/>
  <c r="J16" i="169"/>
  <c r="E16" i="169"/>
  <c r="J15" i="169"/>
  <c r="I26" i="169"/>
  <c r="K26" i="169" s="1"/>
  <c r="E15" i="169"/>
  <c r="K14" i="169"/>
  <c r="J14" i="169"/>
  <c r="E14" i="169"/>
  <c r="E13" i="169"/>
  <c r="I12" i="169"/>
  <c r="J12" i="169" s="1"/>
  <c r="H12" i="169"/>
  <c r="E12" i="169"/>
  <c r="J11" i="169"/>
  <c r="E11" i="169"/>
  <c r="J10" i="169"/>
  <c r="E10" i="169"/>
  <c r="J9" i="169"/>
  <c r="E9" i="169"/>
  <c r="J8" i="169"/>
  <c r="E8" i="169"/>
  <c r="J7" i="169"/>
  <c r="E7" i="169"/>
  <c r="J6" i="169"/>
  <c r="J5" i="169"/>
  <c r="E5" i="169"/>
  <c r="G3" i="169"/>
  <c r="F3" i="169"/>
  <c r="E3" i="169"/>
  <c r="D26" i="169"/>
  <c r="D4" i="169"/>
  <c r="B1" i="169"/>
  <c r="J35" i="169" l="1"/>
  <c r="E36" i="169"/>
  <c r="K15" i="169"/>
  <c r="J26" i="169"/>
  <c r="I15" i="168" l="1"/>
  <c r="J79" i="168"/>
  <c r="K77" i="168"/>
  <c r="K76" i="168"/>
  <c r="K75" i="168"/>
  <c r="K74" i="168"/>
  <c r="K73" i="168"/>
  <c r="K72" i="168"/>
  <c r="J67" i="168"/>
  <c r="K65" i="168"/>
  <c r="K67" i="168" s="1"/>
  <c r="K64" i="168"/>
  <c r="J59" i="168"/>
  <c r="K59" i="168" s="1"/>
  <c r="K55" i="168"/>
  <c r="K54" i="168"/>
  <c r="K53" i="168"/>
  <c r="K52" i="168"/>
  <c r="K51" i="168"/>
  <c r="K50" i="168"/>
  <c r="K49" i="168"/>
  <c r="B49" i="168"/>
  <c r="K48" i="168"/>
  <c r="F48" i="168"/>
  <c r="E48" i="168"/>
  <c r="K47" i="168"/>
  <c r="F47" i="168"/>
  <c r="E47" i="168"/>
  <c r="K46" i="168"/>
  <c r="F46" i="168"/>
  <c r="E46" i="168"/>
  <c r="F45" i="168"/>
  <c r="E45" i="168"/>
  <c r="F44" i="168"/>
  <c r="E44" i="168"/>
  <c r="F43" i="168"/>
  <c r="E43" i="168"/>
  <c r="E40" i="168"/>
  <c r="I39" i="168"/>
  <c r="I38" i="168"/>
  <c r="I36" i="168"/>
  <c r="D36" i="168"/>
  <c r="C36" i="168"/>
  <c r="I35" i="168"/>
  <c r="J35" i="168" s="1"/>
  <c r="E35" i="168"/>
  <c r="E34" i="168"/>
  <c r="I33" i="168"/>
  <c r="E33" i="168"/>
  <c r="I32" i="168"/>
  <c r="J27" i="168"/>
  <c r="H26" i="168"/>
  <c r="J26" i="168" s="1"/>
  <c r="G26" i="168"/>
  <c r="K25" i="168"/>
  <c r="J25" i="168"/>
  <c r="K24" i="168"/>
  <c r="J24" i="168"/>
  <c r="K23" i="168"/>
  <c r="J23" i="168"/>
  <c r="K22" i="168"/>
  <c r="J22" i="168"/>
  <c r="K21" i="168"/>
  <c r="J21" i="168"/>
  <c r="K20" i="168"/>
  <c r="J20" i="168"/>
  <c r="E20" i="168"/>
  <c r="K19" i="168"/>
  <c r="J19" i="168"/>
  <c r="E19" i="168"/>
  <c r="K18" i="168"/>
  <c r="J18" i="168"/>
  <c r="E18" i="168"/>
  <c r="K17" i="168"/>
  <c r="J17" i="168"/>
  <c r="E17" i="168"/>
  <c r="K16" i="168"/>
  <c r="J16" i="168"/>
  <c r="E16" i="168"/>
  <c r="J15" i="168"/>
  <c r="I26" i="168"/>
  <c r="K26" i="168" s="1"/>
  <c r="E15" i="168"/>
  <c r="K14" i="168"/>
  <c r="J14" i="168"/>
  <c r="E14" i="168"/>
  <c r="E13" i="168"/>
  <c r="I12" i="168"/>
  <c r="H12" i="168"/>
  <c r="E12" i="168"/>
  <c r="J11" i="168"/>
  <c r="E11" i="168"/>
  <c r="J10" i="168"/>
  <c r="E10" i="168"/>
  <c r="J9" i="168"/>
  <c r="E9" i="168"/>
  <c r="J8" i="168"/>
  <c r="E8" i="168"/>
  <c r="J7" i="168"/>
  <c r="E7" i="168"/>
  <c r="J6" i="168"/>
  <c r="E6" i="168"/>
  <c r="J5" i="168"/>
  <c r="E5" i="168"/>
  <c r="G3" i="168"/>
  <c r="F3" i="168"/>
  <c r="E3" i="168"/>
  <c r="D22" i="168"/>
  <c r="D4" i="168"/>
  <c r="B1" i="168"/>
  <c r="J12" i="168" l="1"/>
  <c r="E36" i="168"/>
  <c r="K15" i="168"/>
  <c r="J79" i="167"/>
  <c r="I32" i="167"/>
  <c r="J35" i="167" s="1"/>
  <c r="I33" i="167"/>
  <c r="K15" i="167" l="1"/>
  <c r="I15" i="167"/>
  <c r="J10" i="167" l="1"/>
  <c r="E14" i="167" l="1"/>
  <c r="E6" i="167"/>
  <c r="K77" i="167"/>
  <c r="K76" i="167"/>
  <c r="K75" i="167"/>
  <c r="K74" i="167"/>
  <c r="K73" i="167"/>
  <c r="K72" i="167"/>
  <c r="J67" i="167"/>
  <c r="K65" i="167"/>
  <c r="K67" i="167" s="1"/>
  <c r="K64" i="167"/>
  <c r="K59" i="167"/>
  <c r="J59" i="167"/>
  <c r="K55" i="167"/>
  <c r="K54" i="167"/>
  <c r="K53" i="167"/>
  <c r="K52" i="167"/>
  <c r="K51" i="167"/>
  <c r="K50" i="167"/>
  <c r="K49" i="167"/>
  <c r="B49" i="167"/>
  <c r="K48" i="167"/>
  <c r="F48" i="167"/>
  <c r="E48" i="167"/>
  <c r="K47" i="167"/>
  <c r="F47" i="167"/>
  <c r="E47" i="167"/>
  <c r="K46" i="167"/>
  <c r="F46" i="167"/>
  <c r="E46" i="167"/>
  <c r="F45" i="167"/>
  <c r="E45" i="167"/>
  <c r="F44" i="167"/>
  <c r="E44" i="167"/>
  <c r="F43" i="167"/>
  <c r="E43" i="167"/>
  <c r="E40" i="167"/>
  <c r="I39" i="167"/>
  <c r="I38" i="167"/>
  <c r="I36" i="167"/>
  <c r="D36" i="167"/>
  <c r="C36" i="167"/>
  <c r="E36" i="167" s="1"/>
  <c r="I35" i="167"/>
  <c r="E35" i="167"/>
  <c r="E34" i="167"/>
  <c r="E33" i="167"/>
  <c r="H26" i="167"/>
  <c r="J27" i="167" s="1"/>
  <c r="G26" i="167"/>
  <c r="K25" i="167"/>
  <c r="J25" i="167"/>
  <c r="K24" i="167"/>
  <c r="J24" i="167"/>
  <c r="K23" i="167"/>
  <c r="J23" i="167"/>
  <c r="K22" i="167"/>
  <c r="J22" i="167"/>
  <c r="K21" i="167"/>
  <c r="J21" i="167"/>
  <c r="K20" i="167"/>
  <c r="J20" i="167"/>
  <c r="E20" i="167"/>
  <c r="K19" i="167"/>
  <c r="J19" i="167"/>
  <c r="E19" i="167"/>
  <c r="K18" i="167"/>
  <c r="J18" i="167"/>
  <c r="E18" i="167"/>
  <c r="K17" i="167"/>
  <c r="J17" i="167"/>
  <c r="E17" i="167"/>
  <c r="K16" i="167"/>
  <c r="J16" i="167"/>
  <c r="E16" i="167"/>
  <c r="J15" i="167"/>
  <c r="E15" i="167"/>
  <c r="J14" i="167"/>
  <c r="K14" i="167"/>
  <c r="E13" i="167"/>
  <c r="I12" i="167"/>
  <c r="H12" i="167"/>
  <c r="E12" i="167"/>
  <c r="J11" i="167"/>
  <c r="E11" i="167"/>
  <c r="E10" i="167"/>
  <c r="J9" i="167"/>
  <c r="E9" i="167"/>
  <c r="J8" i="167"/>
  <c r="E8" i="167"/>
  <c r="J7" i="167"/>
  <c r="E7" i="167"/>
  <c r="J6" i="167"/>
  <c r="J5" i="167"/>
  <c r="E5" i="167"/>
  <c r="G3" i="167"/>
  <c r="F3" i="167"/>
  <c r="E3" i="167"/>
  <c r="D22" i="167"/>
  <c r="D4" i="167" s="1"/>
  <c r="J12" i="167" l="1"/>
  <c r="I26" i="167"/>
  <c r="K26" i="167" s="1"/>
  <c r="J26" i="167"/>
  <c r="M33" i="166" l="1"/>
  <c r="L33" i="166"/>
  <c r="E8" i="166" l="1"/>
  <c r="I14" i="166" l="1"/>
  <c r="K79" i="166"/>
  <c r="J79" i="166"/>
  <c r="K77" i="166"/>
  <c r="K76" i="166"/>
  <c r="K75" i="166"/>
  <c r="K74" i="166"/>
  <c r="K73" i="166"/>
  <c r="K72" i="166"/>
  <c r="K67" i="166"/>
  <c r="J67" i="166"/>
  <c r="K65" i="166"/>
  <c r="K64" i="166"/>
  <c r="J59" i="166"/>
  <c r="K59" i="166" s="1"/>
  <c r="K55" i="166"/>
  <c r="K54" i="166"/>
  <c r="K53" i="166"/>
  <c r="K52" i="166"/>
  <c r="K51" i="166"/>
  <c r="K50" i="166"/>
  <c r="K49" i="166"/>
  <c r="B49" i="166"/>
  <c r="K48" i="166"/>
  <c r="F48" i="166"/>
  <c r="E48" i="166"/>
  <c r="K47" i="166"/>
  <c r="F47" i="166"/>
  <c r="E47" i="166"/>
  <c r="K46" i="166"/>
  <c r="F46" i="166"/>
  <c r="E46" i="166"/>
  <c r="F45" i="166"/>
  <c r="E45" i="166"/>
  <c r="F44" i="166"/>
  <c r="E44" i="166"/>
  <c r="F43" i="166"/>
  <c r="E43" i="166"/>
  <c r="E40" i="166"/>
  <c r="I39" i="166"/>
  <c r="I38" i="166"/>
  <c r="I36" i="166"/>
  <c r="D36" i="166"/>
  <c r="C36" i="166"/>
  <c r="E36" i="166" s="1"/>
  <c r="I35" i="166"/>
  <c r="J35" i="166" s="1"/>
  <c r="E35" i="166"/>
  <c r="E34" i="166"/>
  <c r="J33" i="166"/>
  <c r="I33" i="166"/>
  <c r="E33" i="166"/>
  <c r="H26" i="166"/>
  <c r="J26" i="166" s="1"/>
  <c r="G26" i="166"/>
  <c r="K25" i="166"/>
  <c r="J25" i="166"/>
  <c r="K24" i="166"/>
  <c r="J24" i="166"/>
  <c r="K23" i="166"/>
  <c r="J23" i="166"/>
  <c r="K22" i="166"/>
  <c r="J22" i="166"/>
  <c r="K21" i="166"/>
  <c r="J21" i="166"/>
  <c r="K20" i="166"/>
  <c r="J20" i="166"/>
  <c r="E20" i="166"/>
  <c r="K19" i="166"/>
  <c r="J19" i="166"/>
  <c r="E19" i="166"/>
  <c r="K18" i="166"/>
  <c r="J18" i="166"/>
  <c r="E18" i="166"/>
  <c r="K17" i="166"/>
  <c r="J17" i="166"/>
  <c r="E17" i="166"/>
  <c r="K16" i="166"/>
  <c r="J16" i="166"/>
  <c r="E16" i="166"/>
  <c r="K15" i="166"/>
  <c r="J15" i="166"/>
  <c r="E15" i="166"/>
  <c r="J14" i="166"/>
  <c r="K14" i="166"/>
  <c r="E14" i="166"/>
  <c r="E13" i="166"/>
  <c r="I12" i="166"/>
  <c r="J12" i="166" s="1"/>
  <c r="H12" i="166"/>
  <c r="E12" i="166"/>
  <c r="J11" i="166"/>
  <c r="E11" i="166"/>
  <c r="J10" i="166"/>
  <c r="E10" i="166"/>
  <c r="J9" i="166"/>
  <c r="E9" i="166"/>
  <c r="J8" i="166"/>
  <c r="J7" i="166"/>
  <c r="E7" i="166"/>
  <c r="J6" i="166"/>
  <c r="E6" i="166"/>
  <c r="J5" i="166"/>
  <c r="E5" i="166"/>
  <c r="G3" i="166"/>
  <c r="F3" i="166"/>
  <c r="E3" i="166"/>
  <c r="D21" i="166"/>
  <c r="D4" i="166" s="1"/>
  <c r="B1" i="166"/>
  <c r="I26" i="166" l="1"/>
  <c r="K26" i="166" s="1"/>
  <c r="J27" i="166"/>
  <c r="K67" i="165"/>
  <c r="J67" i="165"/>
  <c r="K65" i="165"/>
  <c r="E6" i="165" l="1"/>
  <c r="E5" i="165"/>
  <c r="K14" i="165"/>
  <c r="J14" i="165"/>
  <c r="I14" i="165"/>
  <c r="I26" i="165" s="1"/>
  <c r="K26" i="165" s="1"/>
  <c r="J79" i="165"/>
  <c r="K79" i="165" s="1"/>
  <c r="K77" i="165"/>
  <c r="K76" i="165"/>
  <c r="K75" i="165"/>
  <c r="K74" i="165"/>
  <c r="K73" i="165"/>
  <c r="K72" i="165"/>
  <c r="K64" i="165"/>
  <c r="K59" i="165"/>
  <c r="J59" i="165"/>
  <c r="K55" i="165"/>
  <c r="K54" i="165"/>
  <c r="K53" i="165"/>
  <c r="K52" i="165"/>
  <c r="K51" i="165"/>
  <c r="K50" i="165"/>
  <c r="K49" i="165"/>
  <c r="B49" i="165"/>
  <c r="K48" i="165"/>
  <c r="F48" i="165"/>
  <c r="E48" i="165"/>
  <c r="K47" i="165"/>
  <c r="F47" i="165"/>
  <c r="E47" i="165"/>
  <c r="K46" i="165"/>
  <c r="F46" i="165"/>
  <c r="E46" i="165"/>
  <c r="F45" i="165"/>
  <c r="E45" i="165"/>
  <c r="F44" i="165"/>
  <c r="E44" i="165"/>
  <c r="F43" i="165"/>
  <c r="E43" i="165"/>
  <c r="E40" i="165"/>
  <c r="I39" i="165"/>
  <c r="I38" i="165"/>
  <c r="I36" i="165"/>
  <c r="D36" i="165"/>
  <c r="C36" i="165"/>
  <c r="E36" i="165" s="1"/>
  <c r="I35" i="165"/>
  <c r="E35" i="165"/>
  <c r="E34" i="165"/>
  <c r="J33" i="165"/>
  <c r="I33" i="165"/>
  <c r="J35" i="165" s="1"/>
  <c r="E33" i="165"/>
  <c r="H26" i="165"/>
  <c r="J27" i="165" s="1"/>
  <c r="G26" i="165"/>
  <c r="K25" i="165"/>
  <c r="J25" i="165"/>
  <c r="K24" i="165"/>
  <c r="J24" i="165"/>
  <c r="K23" i="165"/>
  <c r="J23" i="165"/>
  <c r="K22" i="165"/>
  <c r="J22" i="165"/>
  <c r="K21" i="165"/>
  <c r="J21" i="165"/>
  <c r="K20" i="165"/>
  <c r="J20" i="165"/>
  <c r="E20" i="165"/>
  <c r="K19" i="165"/>
  <c r="J19" i="165"/>
  <c r="E19" i="165"/>
  <c r="K18" i="165"/>
  <c r="J18" i="165"/>
  <c r="E18" i="165"/>
  <c r="K17" i="165"/>
  <c r="J17" i="165"/>
  <c r="E17" i="165"/>
  <c r="K16" i="165"/>
  <c r="J16" i="165"/>
  <c r="E16" i="165"/>
  <c r="K15" i="165"/>
  <c r="J15" i="165"/>
  <c r="E15" i="165"/>
  <c r="E14" i="165"/>
  <c r="E13" i="165"/>
  <c r="I12" i="165"/>
  <c r="J12" i="165" s="1"/>
  <c r="H12" i="165"/>
  <c r="E12" i="165"/>
  <c r="J11" i="165"/>
  <c r="E11" i="165"/>
  <c r="J10" i="165"/>
  <c r="E10" i="165"/>
  <c r="J9" i="165"/>
  <c r="E9" i="165"/>
  <c r="J8" i="165"/>
  <c r="E8" i="165"/>
  <c r="J7" i="165"/>
  <c r="E7" i="165"/>
  <c r="J6" i="165"/>
  <c r="J5" i="165"/>
  <c r="G3" i="165"/>
  <c r="F3" i="165"/>
  <c r="E3" i="165"/>
  <c r="D21" i="165"/>
  <c r="D4" i="165" s="1"/>
  <c r="B1" i="165"/>
  <c r="J26" i="165" l="1"/>
  <c r="H33" i="164" l="1"/>
  <c r="K14" i="164" l="1"/>
  <c r="J79" i="164"/>
  <c r="K79" i="164" s="1"/>
  <c r="K77" i="164"/>
  <c r="K76" i="164"/>
  <c r="K75" i="164"/>
  <c r="K74" i="164"/>
  <c r="K73" i="164"/>
  <c r="K72" i="164"/>
  <c r="J67" i="164"/>
  <c r="K66" i="164"/>
  <c r="K67" i="164" s="1"/>
  <c r="J59" i="164"/>
  <c r="K59" i="164" s="1"/>
  <c r="K55" i="164"/>
  <c r="K54" i="164"/>
  <c r="K53" i="164"/>
  <c r="K52" i="164"/>
  <c r="K51" i="164"/>
  <c r="K50" i="164"/>
  <c r="K49" i="164"/>
  <c r="B49" i="164"/>
  <c r="K48" i="164"/>
  <c r="F48" i="164"/>
  <c r="E48" i="164"/>
  <c r="K47" i="164"/>
  <c r="F47" i="164"/>
  <c r="E47" i="164"/>
  <c r="K46" i="164"/>
  <c r="F46" i="164"/>
  <c r="E46" i="164"/>
  <c r="F45" i="164"/>
  <c r="E45" i="164"/>
  <c r="F44" i="164"/>
  <c r="E44" i="164"/>
  <c r="F43" i="164"/>
  <c r="E43" i="164"/>
  <c r="E40" i="164"/>
  <c r="I39" i="164"/>
  <c r="I38" i="164"/>
  <c r="I36" i="164"/>
  <c r="D36" i="164"/>
  <c r="C36" i="164"/>
  <c r="E36" i="164" s="1"/>
  <c r="I35" i="164"/>
  <c r="J35" i="164" s="1"/>
  <c r="E35" i="164"/>
  <c r="E34" i="164"/>
  <c r="J33" i="164"/>
  <c r="I33" i="164"/>
  <c r="E33" i="164"/>
  <c r="J27" i="164"/>
  <c r="J26" i="164"/>
  <c r="H26" i="164"/>
  <c r="G26" i="164"/>
  <c r="K25" i="164"/>
  <c r="J25" i="164"/>
  <c r="K24" i="164"/>
  <c r="J24" i="164"/>
  <c r="K23" i="164"/>
  <c r="J23" i="164"/>
  <c r="E23" i="164"/>
  <c r="K22" i="164"/>
  <c r="J22" i="164"/>
  <c r="E22" i="164"/>
  <c r="K21" i="164"/>
  <c r="J21" i="164"/>
  <c r="E21" i="164"/>
  <c r="K20" i="164"/>
  <c r="J20" i="164"/>
  <c r="E20" i="164"/>
  <c r="K19" i="164"/>
  <c r="J19" i="164"/>
  <c r="E19" i="164"/>
  <c r="K18" i="164"/>
  <c r="J18" i="164"/>
  <c r="E18" i="164"/>
  <c r="K17" i="164"/>
  <c r="J17" i="164"/>
  <c r="E17" i="164"/>
  <c r="K16" i="164"/>
  <c r="J16" i="164"/>
  <c r="E16" i="164"/>
  <c r="K15" i="164"/>
  <c r="J15" i="164"/>
  <c r="E15" i="164"/>
  <c r="J14" i="164"/>
  <c r="I14" i="164"/>
  <c r="I26" i="164" s="1"/>
  <c r="K26" i="164" s="1"/>
  <c r="E14" i="164"/>
  <c r="E13" i="164"/>
  <c r="I12" i="164"/>
  <c r="J12" i="164" s="1"/>
  <c r="H12" i="164"/>
  <c r="E12" i="164"/>
  <c r="J11" i="164"/>
  <c r="E11" i="164"/>
  <c r="J10" i="164"/>
  <c r="E10" i="164"/>
  <c r="J9" i="164"/>
  <c r="E9" i="164"/>
  <c r="J8" i="164"/>
  <c r="E8" i="164"/>
  <c r="J7" i="164"/>
  <c r="E7" i="164"/>
  <c r="J6" i="164"/>
  <c r="E6" i="164"/>
  <c r="J5" i="164"/>
  <c r="E5" i="164"/>
  <c r="E4" i="164"/>
  <c r="G3" i="164"/>
  <c r="F3" i="164"/>
  <c r="E3" i="164"/>
  <c r="D24" i="164"/>
  <c r="D4" i="164" s="1"/>
  <c r="E10" i="163" l="1"/>
  <c r="E8" i="163"/>
  <c r="I14" i="163"/>
  <c r="J79" i="163"/>
  <c r="K79" i="163" s="1"/>
  <c r="K77" i="163"/>
  <c r="K76" i="163"/>
  <c r="K75" i="163"/>
  <c r="K74" i="163"/>
  <c r="K73" i="163"/>
  <c r="K72" i="163"/>
  <c r="J67" i="163"/>
  <c r="K66" i="163"/>
  <c r="K67" i="163" s="1"/>
  <c r="K59" i="163"/>
  <c r="J59" i="163"/>
  <c r="K55" i="163"/>
  <c r="K54" i="163"/>
  <c r="K53" i="163"/>
  <c r="K52" i="163"/>
  <c r="K51" i="163"/>
  <c r="K50" i="163"/>
  <c r="K49" i="163"/>
  <c r="B49" i="163"/>
  <c r="K48" i="163"/>
  <c r="F48" i="163"/>
  <c r="E48" i="163"/>
  <c r="K47" i="163"/>
  <c r="F47" i="163"/>
  <c r="E47" i="163"/>
  <c r="K46" i="163"/>
  <c r="F46" i="163"/>
  <c r="E46" i="163"/>
  <c r="F45" i="163"/>
  <c r="E45" i="163"/>
  <c r="F44" i="163"/>
  <c r="E44" i="163"/>
  <c r="F43" i="163"/>
  <c r="E43" i="163"/>
  <c r="E40" i="163"/>
  <c r="I39" i="163"/>
  <c r="I38" i="163"/>
  <c r="I36" i="163"/>
  <c r="D36" i="163"/>
  <c r="C36" i="163"/>
  <c r="E36" i="163" s="1"/>
  <c r="I35" i="163"/>
  <c r="J35" i="163" s="1"/>
  <c r="E35" i="163"/>
  <c r="E34" i="163"/>
  <c r="J33" i="163"/>
  <c r="I33" i="163"/>
  <c r="E33" i="163"/>
  <c r="I26" i="163"/>
  <c r="K26" i="163" s="1"/>
  <c r="H26" i="163"/>
  <c r="J26" i="163" s="1"/>
  <c r="G26" i="163"/>
  <c r="K25" i="163"/>
  <c r="J25" i="163"/>
  <c r="K24" i="163"/>
  <c r="J24" i="163"/>
  <c r="K23" i="163"/>
  <c r="J23" i="163"/>
  <c r="E23" i="163"/>
  <c r="K22" i="163"/>
  <c r="J22" i="163"/>
  <c r="E22" i="163"/>
  <c r="K21" i="163"/>
  <c r="J21" i="163"/>
  <c r="E21" i="163"/>
  <c r="K20" i="163"/>
  <c r="J20" i="163"/>
  <c r="E20" i="163"/>
  <c r="K19" i="163"/>
  <c r="J19" i="163"/>
  <c r="E19" i="163"/>
  <c r="K18" i="163"/>
  <c r="J18" i="163"/>
  <c r="E18" i="163"/>
  <c r="K17" i="163"/>
  <c r="J17" i="163"/>
  <c r="E17" i="163"/>
  <c r="K16" i="163"/>
  <c r="J16" i="163"/>
  <c r="E16" i="163"/>
  <c r="K15" i="163"/>
  <c r="J15" i="163"/>
  <c r="E15" i="163"/>
  <c r="K14" i="163"/>
  <c r="J14" i="163"/>
  <c r="E14" i="163"/>
  <c r="E13" i="163"/>
  <c r="I12" i="163"/>
  <c r="H12" i="163"/>
  <c r="E12" i="163"/>
  <c r="J11" i="163"/>
  <c r="E11" i="163"/>
  <c r="J10" i="163"/>
  <c r="J9" i="163"/>
  <c r="E9" i="163"/>
  <c r="J8" i="163"/>
  <c r="J7" i="163"/>
  <c r="E7" i="163"/>
  <c r="J6" i="163"/>
  <c r="E6" i="163"/>
  <c r="J5" i="163"/>
  <c r="E5" i="163"/>
  <c r="E4" i="163"/>
  <c r="G3" i="163"/>
  <c r="F3" i="163"/>
  <c r="E3" i="163"/>
  <c r="D24" i="163"/>
  <c r="D4" i="163"/>
  <c r="J12" i="163" l="1"/>
  <c r="J27" i="163"/>
  <c r="K67" i="162" l="1"/>
  <c r="J67" i="162"/>
  <c r="K66" i="162"/>
  <c r="E9" i="162"/>
  <c r="E7" i="162"/>
  <c r="J59" i="162"/>
  <c r="K55" i="162"/>
  <c r="K54" i="162"/>
  <c r="K53" i="162"/>
  <c r="K52" i="162"/>
  <c r="J79" i="162"/>
  <c r="K77" i="162"/>
  <c r="K76" i="162"/>
  <c r="J33" i="162"/>
  <c r="I14" i="162" l="1"/>
  <c r="I26" i="162" s="1"/>
  <c r="K26" i="162" s="1"/>
  <c r="K79" i="162"/>
  <c r="K75" i="162"/>
  <c r="K74" i="162"/>
  <c r="K73" i="162"/>
  <c r="K72" i="162"/>
  <c r="K59" i="162"/>
  <c r="K51" i="162"/>
  <c r="K50" i="162"/>
  <c r="K49" i="162"/>
  <c r="K48" i="162"/>
  <c r="K47" i="162"/>
  <c r="K46" i="162"/>
  <c r="B49" i="162"/>
  <c r="F48" i="162"/>
  <c r="E48" i="162"/>
  <c r="F47" i="162"/>
  <c r="E47" i="162"/>
  <c r="F46" i="162"/>
  <c r="E46" i="162"/>
  <c r="F45" i="162"/>
  <c r="E45" i="162"/>
  <c r="F44" i="162"/>
  <c r="E44" i="162"/>
  <c r="F43" i="162"/>
  <c r="E43" i="162"/>
  <c r="E40" i="162"/>
  <c r="I39" i="162"/>
  <c r="I38" i="162"/>
  <c r="I36" i="162"/>
  <c r="D36" i="162"/>
  <c r="C36" i="162"/>
  <c r="E36" i="162" s="1"/>
  <c r="I35" i="162"/>
  <c r="J35" i="162" s="1"/>
  <c r="E35" i="162"/>
  <c r="E34" i="162"/>
  <c r="I33" i="162"/>
  <c r="E33" i="162"/>
  <c r="H26" i="162"/>
  <c r="J27" i="162" s="1"/>
  <c r="G26" i="162"/>
  <c r="K25" i="162"/>
  <c r="J25" i="162"/>
  <c r="K24" i="162"/>
  <c r="J24" i="162"/>
  <c r="K23" i="162"/>
  <c r="J23" i="162"/>
  <c r="E23" i="162"/>
  <c r="K22" i="162"/>
  <c r="J22" i="162"/>
  <c r="E22" i="162"/>
  <c r="K21" i="162"/>
  <c r="J21" i="162"/>
  <c r="E21" i="162"/>
  <c r="K20" i="162"/>
  <c r="J20" i="162"/>
  <c r="E20" i="162"/>
  <c r="K19" i="162"/>
  <c r="J19" i="162"/>
  <c r="E19" i="162"/>
  <c r="K18" i="162"/>
  <c r="J18" i="162"/>
  <c r="E18" i="162"/>
  <c r="K17" i="162"/>
  <c r="J17" i="162"/>
  <c r="E17" i="162"/>
  <c r="K16" i="162"/>
  <c r="J16" i="162"/>
  <c r="E16" i="162"/>
  <c r="K15" i="162"/>
  <c r="J15" i="162"/>
  <c r="E15" i="162"/>
  <c r="J14" i="162"/>
  <c r="E14" i="162"/>
  <c r="E13" i="162"/>
  <c r="I12" i="162"/>
  <c r="J12" i="162" s="1"/>
  <c r="H12" i="162"/>
  <c r="E12" i="162"/>
  <c r="J11" i="162"/>
  <c r="E11" i="162"/>
  <c r="J10" i="162"/>
  <c r="E10" i="162"/>
  <c r="J9" i="162"/>
  <c r="J8" i="162"/>
  <c r="E8" i="162"/>
  <c r="J7" i="162"/>
  <c r="J6" i="162"/>
  <c r="E6" i="162"/>
  <c r="J5" i="162"/>
  <c r="E5" i="162"/>
  <c r="E4" i="162"/>
  <c r="G3" i="162"/>
  <c r="F3" i="162"/>
  <c r="E3" i="162"/>
  <c r="D23" i="162"/>
  <c r="D4" i="162"/>
  <c r="B1" i="162"/>
  <c r="K14" i="162" l="1"/>
  <c r="J26" i="162"/>
  <c r="E14" i="161"/>
  <c r="J79" i="161"/>
  <c r="K79" i="161" s="1"/>
  <c r="K75" i="161"/>
  <c r="K74" i="161"/>
  <c r="K73" i="161"/>
  <c r="K72" i="161"/>
  <c r="J59" i="161"/>
  <c r="K59" i="161" s="1"/>
  <c r="K58" i="161"/>
  <c r="K57" i="161"/>
  <c r="K56" i="161"/>
  <c r="K55" i="161"/>
  <c r="K54" i="161"/>
  <c r="K53" i="161"/>
  <c r="B49" i="161"/>
  <c r="F48" i="161"/>
  <c r="E48" i="161"/>
  <c r="F47" i="161"/>
  <c r="E47" i="161"/>
  <c r="F46" i="161"/>
  <c r="E46" i="161"/>
  <c r="F45" i="161"/>
  <c r="E45" i="161"/>
  <c r="F44" i="161"/>
  <c r="E44" i="161"/>
  <c r="F43" i="161"/>
  <c r="E43" i="161"/>
  <c r="E40" i="161"/>
  <c r="I39" i="161"/>
  <c r="I38" i="161"/>
  <c r="I36" i="161"/>
  <c r="D36" i="161"/>
  <c r="C36" i="161"/>
  <c r="E36" i="161" s="1"/>
  <c r="I35" i="161"/>
  <c r="J35" i="161" s="1"/>
  <c r="E35" i="161"/>
  <c r="E34" i="161"/>
  <c r="J33" i="161"/>
  <c r="I33" i="161"/>
  <c r="E33" i="161"/>
  <c r="J27" i="161"/>
  <c r="H26" i="161"/>
  <c r="J26" i="161" s="1"/>
  <c r="G26" i="161"/>
  <c r="K25" i="161"/>
  <c r="J25" i="161"/>
  <c r="K24" i="161"/>
  <c r="J24" i="161"/>
  <c r="K23" i="161"/>
  <c r="J23" i="161"/>
  <c r="E23" i="161"/>
  <c r="K22" i="161"/>
  <c r="J22" i="161"/>
  <c r="E22" i="161"/>
  <c r="K21" i="161"/>
  <c r="J21" i="161"/>
  <c r="E21" i="161"/>
  <c r="K20" i="161"/>
  <c r="J20" i="161"/>
  <c r="E20" i="161"/>
  <c r="K19" i="161"/>
  <c r="J19" i="161"/>
  <c r="E19" i="161"/>
  <c r="K18" i="161"/>
  <c r="J18" i="161"/>
  <c r="E18" i="161"/>
  <c r="K17" i="161"/>
  <c r="J17" i="161"/>
  <c r="E17" i="161"/>
  <c r="K16" i="161"/>
  <c r="J16" i="161"/>
  <c r="E16" i="161"/>
  <c r="K15" i="161"/>
  <c r="J15" i="161"/>
  <c r="E15" i="161"/>
  <c r="J14" i="161"/>
  <c r="I14" i="161"/>
  <c r="I26" i="161" s="1"/>
  <c r="K26" i="161" s="1"/>
  <c r="E13" i="161"/>
  <c r="I12" i="161"/>
  <c r="J12" i="161" s="1"/>
  <c r="H12" i="161"/>
  <c r="E12" i="161"/>
  <c r="J11" i="161"/>
  <c r="E11" i="161"/>
  <c r="J10" i="161"/>
  <c r="E10" i="161"/>
  <c r="J9" i="161"/>
  <c r="E9" i="161"/>
  <c r="J8" i="161"/>
  <c r="E8" i="161"/>
  <c r="J7" i="161"/>
  <c r="E7" i="161"/>
  <c r="J6" i="161"/>
  <c r="E6" i="161"/>
  <c r="J5" i="161"/>
  <c r="E5" i="161"/>
  <c r="E4" i="161"/>
  <c r="G3" i="161"/>
  <c r="F3" i="161"/>
  <c r="E3" i="161"/>
  <c r="D24" i="161"/>
  <c r="D4" i="161" s="1"/>
  <c r="K14" i="161" l="1"/>
  <c r="K79" i="160" l="1"/>
  <c r="J79" i="160"/>
  <c r="K75" i="160"/>
  <c r="K74" i="160"/>
  <c r="K73" i="160"/>
  <c r="K72" i="160"/>
  <c r="J59" i="160"/>
  <c r="K59" i="160" s="1"/>
  <c r="K58" i="160"/>
  <c r="K57" i="160"/>
  <c r="K56" i="160"/>
  <c r="K55" i="160"/>
  <c r="K54" i="160"/>
  <c r="K53" i="160"/>
  <c r="B49" i="160"/>
  <c r="F48" i="160"/>
  <c r="E48" i="160"/>
  <c r="F47" i="160"/>
  <c r="E47" i="160"/>
  <c r="F46" i="160"/>
  <c r="E46" i="160"/>
  <c r="F45" i="160"/>
  <c r="E45" i="160"/>
  <c r="F44" i="160"/>
  <c r="E44" i="160"/>
  <c r="F43" i="160"/>
  <c r="E43" i="160"/>
  <c r="E40" i="160"/>
  <c r="I39" i="160"/>
  <c r="I38" i="160"/>
  <c r="I36" i="160"/>
  <c r="D36" i="160"/>
  <c r="C36" i="160"/>
  <c r="I35" i="160"/>
  <c r="J35" i="160" s="1"/>
  <c r="E35" i="160"/>
  <c r="E34" i="160"/>
  <c r="J33" i="160"/>
  <c r="I33" i="160"/>
  <c r="E33" i="160"/>
  <c r="H26" i="160"/>
  <c r="J27" i="160" s="1"/>
  <c r="G26" i="160"/>
  <c r="K25" i="160"/>
  <c r="J25" i="160"/>
  <c r="K24" i="160"/>
  <c r="J24" i="160"/>
  <c r="K23" i="160"/>
  <c r="J23" i="160"/>
  <c r="E23" i="160"/>
  <c r="K22" i="160"/>
  <c r="J22" i="160"/>
  <c r="E22" i="160"/>
  <c r="K21" i="160"/>
  <c r="J21" i="160"/>
  <c r="E21" i="160"/>
  <c r="K20" i="160"/>
  <c r="J20" i="160"/>
  <c r="E20" i="160"/>
  <c r="K19" i="160"/>
  <c r="J19" i="160"/>
  <c r="E19" i="160"/>
  <c r="K18" i="160"/>
  <c r="J18" i="160"/>
  <c r="E18" i="160"/>
  <c r="K17" i="160"/>
  <c r="J17" i="160"/>
  <c r="E17" i="160"/>
  <c r="K16" i="160"/>
  <c r="J16" i="160"/>
  <c r="E16" i="160"/>
  <c r="K15" i="160"/>
  <c r="J15" i="160"/>
  <c r="E15" i="160"/>
  <c r="J14" i="160"/>
  <c r="I14" i="160"/>
  <c r="I26" i="160" s="1"/>
  <c r="K26" i="160" s="1"/>
  <c r="E14" i="160"/>
  <c r="E13" i="160"/>
  <c r="I12" i="160"/>
  <c r="J12" i="160" s="1"/>
  <c r="H12" i="160"/>
  <c r="E12" i="160"/>
  <c r="J11" i="160"/>
  <c r="E11" i="160"/>
  <c r="J10" i="160"/>
  <c r="E10" i="160"/>
  <c r="J9" i="160"/>
  <c r="E9" i="160"/>
  <c r="J8" i="160"/>
  <c r="E8" i="160"/>
  <c r="J7" i="160"/>
  <c r="E7" i="160"/>
  <c r="J6" i="160"/>
  <c r="E6" i="160"/>
  <c r="J5" i="160"/>
  <c r="E5" i="160"/>
  <c r="E4" i="160"/>
  <c r="G3" i="160"/>
  <c r="F3" i="160"/>
  <c r="E3" i="160"/>
  <c r="D24" i="160"/>
  <c r="D4" i="160" s="1"/>
  <c r="E36" i="160" l="1"/>
  <c r="K14" i="160"/>
  <c r="J26" i="160"/>
  <c r="I14" i="159"/>
  <c r="I26" i="159" s="1"/>
  <c r="K26" i="159" s="1"/>
  <c r="J79" i="159"/>
  <c r="K79" i="159" s="1"/>
  <c r="K75" i="159"/>
  <c r="K74" i="159"/>
  <c r="K73" i="159"/>
  <c r="K72" i="159"/>
  <c r="J59" i="159"/>
  <c r="K59" i="159" s="1"/>
  <c r="K58" i="159"/>
  <c r="K57" i="159"/>
  <c r="K56" i="159"/>
  <c r="K55" i="159"/>
  <c r="K54" i="159"/>
  <c r="K53" i="159"/>
  <c r="B49" i="159"/>
  <c r="F48" i="159"/>
  <c r="E48" i="159"/>
  <c r="F47" i="159"/>
  <c r="E47" i="159"/>
  <c r="F46" i="159"/>
  <c r="E46" i="159"/>
  <c r="F45" i="159"/>
  <c r="E45" i="159"/>
  <c r="F44" i="159"/>
  <c r="E44" i="159"/>
  <c r="F43" i="159"/>
  <c r="E43" i="159"/>
  <c r="E40" i="159"/>
  <c r="I39" i="159"/>
  <c r="I38" i="159"/>
  <c r="I36" i="159"/>
  <c r="D36" i="159"/>
  <c r="C36" i="159"/>
  <c r="E36" i="159" s="1"/>
  <c r="I35" i="159"/>
  <c r="E35" i="159"/>
  <c r="E34" i="159"/>
  <c r="J33" i="159"/>
  <c r="I33" i="159"/>
  <c r="E33" i="159"/>
  <c r="H26" i="159"/>
  <c r="J27" i="159" s="1"/>
  <c r="G26" i="159"/>
  <c r="K25" i="159"/>
  <c r="J25" i="159"/>
  <c r="K24" i="159"/>
  <c r="J24" i="159"/>
  <c r="K23" i="159"/>
  <c r="J23" i="159"/>
  <c r="E23" i="159"/>
  <c r="K22" i="159"/>
  <c r="J22" i="159"/>
  <c r="E22" i="159"/>
  <c r="K21" i="159"/>
  <c r="J21" i="159"/>
  <c r="E21" i="159"/>
  <c r="K20" i="159"/>
  <c r="J20" i="159"/>
  <c r="E20" i="159"/>
  <c r="K19" i="159"/>
  <c r="J19" i="159"/>
  <c r="E19" i="159"/>
  <c r="K18" i="159"/>
  <c r="J18" i="159"/>
  <c r="E18" i="159"/>
  <c r="K17" i="159"/>
  <c r="J17" i="159"/>
  <c r="E17" i="159"/>
  <c r="K16" i="159"/>
  <c r="J16" i="159"/>
  <c r="E16" i="159"/>
  <c r="K15" i="159"/>
  <c r="J15" i="159"/>
  <c r="E15" i="159"/>
  <c r="J14" i="159"/>
  <c r="E14" i="159"/>
  <c r="E13" i="159"/>
  <c r="I12" i="159"/>
  <c r="H12" i="159"/>
  <c r="E12" i="159"/>
  <c r="J11" i="159"/>
  <c r="E11" i="159"/>
  <c r="J10" i="159"/>
  <c r="E10" i="159"/>
  <c r="J9" i="159"/>
  <c r="E9" i="159"/>
  <c r="J8" i="159"/>
  <c r="E8" i="159"/>
  <c r="J7" i="159"/>
  <c r="E7" i="159"/>
  <c r="J6" i="159"/>
  <c r="E6" i="159"/>
  <c r="J5" i="159"/>
  <c r="E5" i="159"/>
  <c r="E4" i="159"/>
  <c r="G3" i="159"/>
  <c r="F3" i="159"/>
  <c r="E3" i="159"/>
  <c r="D24" i="159"/>
  <c r="D4" i="159" s="1"/>
  <c r="B1" i="159"/>
  <c r="J35" i="159" l="1"/>
  <c r="J12" i="159"/>
  <c r="K14" i="159"/>
  <c r="J26" i="159"/>
  <c r="J59" i="158" l="1"/>
  <c r="K58" i="158"/>
  <c r="E6" i="158" l="1"/>
  <c r="E5" i="158"/>
  <c r="E14" i="158"/>
  <c r="E10" i="158"/>
  <c r="E9" i="158"/>
  <c r="I14" i="158"/>
  <c r="I26" i="158" s="1"/>
  <c r="K26" i="158" s="1"/>
  <c r="J79" i="158"/>
  <c r="K79" i="158" s="1"/>
  <c r="K75" i="158"/>
  <c r="K74" i="158"/>
  <c r="K73" i="158"/>
  <c r="K72" i="158"/>
  <c r="K59" i="158"/>
  <c r="K57" i="158"/>
  <c r="K56" i="158"/>
  <c r="K55" i="158"/>
  <c r="K54" i="158"/>
  <c r="K53" i="158"/>
  <c r="B49" i="158"/>
  <c r="F48" i="158"/>
  <c r="E48" i="158"/>
  <c r="F47" i="158"/>
  <c r="E47" i="158"/>
  <c r="F46" i="158"/>
  <c r="E46" i="158"/>
  <c r="F45" i="158"/>
  <c r="E45" i="158"/>
  <c r="F44" i="158"/>
  <c r="E44" i="158"/>
  <c r="F43" i="158"/>
  <c r="E43" i="158"/>
  <c r="E40" i="158"/>
  <c r="I39" i="158"/>
  <c r="I38" i="158"/>
  <c r="I36" i="158"/>
  <c r="D36" i="158"/>
  <c r="C36" i="158"/>
  <c r="E36" i="158" s="1"/>
  <c r="I35" i="158"/>
  <c r="J35" i="158" s="1"/>
  <c r="E35" i="158"/>
  <c r="E34" i="158"/>
  <c r="J33" i="158"/>
  <c r="I33" i="158"/>
  <c r="E33" i="158"/>
  <c r="H26" i="158"/>
  <c r="J27" i="158" s="1"/>
  <c r="G26" i="158"/>
  <c r="K25" i="158"/>
  <c r="J25" i="158"/>
  <c r="K24" i="158"/>
  <c r="J24" i="158"/>
  <c r="K23" i="158"/>
  <c r="J23" i="158"/>
  <c r="E23" i="158"/>
  <c r="K22" i="158"/>
  <c r="J22" i="158"/>
  <c r="E22" i="158"/>
  <c r="K21" i="158"/>
  <c r="J21" i="158"/>
  <c r="E21" i="158"/>
  <c r="K20" i="158"/>
  <c r="J20" i="158"/>
  <c r="E20" i="158"/>
  <c r="K19" i="158"/>
  <c r="J19" i="158"/>
  <c r="E19" i="158"/>
  <c r="K18" i="158"/>
  <c r="J18" i="158"/>
  <c r="E18" i="158"/>
  <c r="K17" i="158"/>
  <c r="J17" i="158"/>
  <c r="E17" i="158"/>
  <c r="K16" i="158"/>
  <c r="J16" i="158"/>
  <c r="E16" i="158"/>
  <c r="K15" i="158"/>
  <c r="J15" i="158"/>
  <c r="E15" i="158"/>
  <c r="J14" i="158"/>
  <c r="E13" i="158"/>
  <c r="I12" i="158"/>
  <c r="J12" i="158" s="1"/>
  <c r="H12" i="158"/>
  <c r="E12" i="158"/>
  <c r="J11" i="158"/>
  <c r="E11" i="158"/>
  <c r="J10" i="158"/>
  <c r="J9" i="158"/>
  <c r="J8" i="158"/>
  <c r="E8" i="158"/>
  <c r="J7" i="158"/>
  <c r="E7" i="158"/>
  <c r="J6" i="158"/>
  <c r="J5" i="158"/>
  <c r="E4" i="158"/>
  <c r="G3" i="158"/>
  <c r="F3" i="158"/>
  <c r="E3" i="158"/>
  <c r="D23" i="158"/>
  <c r="D4" i="158"/>
  <c r="B1" i="158"/>
  <c r="K14" i="158" l="1"/>
  <c r="J26" i="158"/>
  <c r="C62" i="157"/>
  <c r="J59" i="157"/>
  <c r="K57" i="157"/>
  <c r="I14" i="157" l="1"/>
  <c r="J81" i="157"/>
  <c r="K81" i="157" s="1"/>
  <c r="K80" i="157"/>
  <c r="K79" i="157"/>
  <c r="K78" i="157"/>
  <c r="K77" i="157"/>
  <c r="K76" i="157"/>
  <c r="K75" i="157"/>
  <c r="K74" i="157"/>
  <c r="K73" i="157"/>
  <c r="K59" i="157"/>
  <c r="K56" i="157"/>
  <c r="K55" i="157"/>
  <c r="K54" i="157"/>
  <c r="K53" i="157"/>
  <c r="B49" i="157"/>
  <c r="F48" i="157"/>
  <c r="E48" i="157"/>
  <c r="F47" i="157"/>
  <c r="E47" i="157"/>
  <c r="F46" i="157"/>
  <c r="E46" i="157"/>
  <c r="F45" i="157"/>
  <c r="E45" i="157"/>
  <c r="F44" i="157"/>
  <c r="E44" i="157"/>
  <c r="F43" i="157"/>
  <c r="E43" i="157"/>
  <c r="E40" i="157"/>
  <c r="I39" i="157"/>
  <c r="I38" i="157"/>
  <c r="I36" i="157"/>
  <c r="D36" i="157"/>
  <c r="C36" i="157"/>
  <c r="E36" i="157" s="1"/>
  <c r="I35" i="157"/>
  <c r="E35" i="157"/>
  <c r="E34" i="157"/>
  <c r="J33" i="157"/>
  <c r="I33" i="157"/>
  <c r="E33" i="157"/>
  <c r="I26" i="157"/>
  <c r="K26" i="157" s="1"/>
  <c r="H26" i="157"/>
  <c r="J26" i="157" s="1"/>
  <c r="G26" i="157"/>
  <c r="K25" i="157"/>
  <c r="J25" i="157"/>
  <c r="K24" i="157"/>
  <c r="J24" i="157"/>
  <c r="K23" i="157"/>
  <c r="J23" i="157"/>
  <c r="E23" i="157"/>
  <c r="K22" i="157"/>
  <c r="J22" i="157"/>
  <c r="E22" i="157"/>
  <c r="K21" i="157"/>
  <c r="J21" i="157"/>
  <c r="E21" i="157"/>
  <c r="K20" i="157"/>
  <c r="J20" i="157"/>
  <c r="E20" i="157"/>
  <c r="K19" i="157"/>
  <c r="J19" i="157"/>
  <c r="E19" i="157"/>
  <c r="K18" i="157"/>
  <c r="J18" i="157"/>
  <c r="E18" i="157"/>
  <c r="K17" i="157"/>
  <c r="J17" i="157"/>
  <c r="E17" i="157"/>
  <c r="K16" i="157"/>
  <c r="J16" i="157"/>
  <c r="E16" i="157"/>
  <c r="K15" i="157"/>
  <c r="J15" i="157"/>
  <c r="E15" i="157"/>
  <c r="K14" i="157"/>
  <c r="J14" i="157"/>
  <c r="E14" i="157"/>
  <c r="E13" i="157"/>
  <c r="I12" i="157"/>
  <c r="J12" i="157" s="1"/>
  <c r="H12" i="157"/>
  <c r="E12" i="157"/>
  <c r="J11" i="157"/>
  <c r="E11" i="157"/>
  <c r="J10" i="157"/>
  <c r="E10" i="157"/>
  <c r="J9" i="157"/>
  <c r="E9" i="157"/>
  <c r="J8" i="157"/>
  <c r="E8" i="157"/>
  <c r="J7" i="157"/>
  <c r="E7" i="157"/>
  <c r="J6" i="157"/>
  <c r="E6" i="157"/>
  <c r="J5" i="157"/>
  <c r="E5" i="157"/>
  <c r="E4" i="157"/>
  <c r="G3" i="157"/>
  <c r="F3" i="157"/>
  <c r="E3" i="157"/>
  <c r="D19" i="157"/>
  <c r="D4" i="157" s="1"/>
  <c r="B1" i="157"/>
  <c r="J35" i="157" l="1"/>
  <c r="J27" i="157"/>
  <c r="K56" i="156"/>
  <c r="K55" i="156"/>
  <c r="J57" i="156"/>
  <c r="K57" i="156" s="1"/>
  <c r="K14" i="156" l="1"/>
  <c r="J14" i="156"/>
  <c r="I14" i="156"/>
  <c r="J79" i="156"/>
  <c r="K79" i="156" s="1"/>
  <c r="K78" i="156"/>
  <c r="K77" i="156"/>
  <c r="K76" i="156"/>
  <c r="K75" i="156"/>
  <c r="K74" i="156"/>
  <c r="K73" i="156"/>
  <c r="K72" i="156"/>
  <c r="K71" i="156"/>
  <c r="K54" i="156"/>
  <c r="K53" i="156"/>
  <c r="B49" i="156"/>
  <c r="F48" i="156"/>
  <c r="E48" i="156"/>
  <c r="F47" i="156"/>
  <c r="E47" i="156"/>
  <c r="F46" i="156"/>
  <c r="E46" i="156"/>
  <c r="F45" i="156"/>
  <c r="E45" i="156"/>
  <c r="F44" i="156"/>
  <c r="E44" i="156"/>
  <c r="F43" i="156"/>
  <c r="E43" i="156"/>
  <c r="E40" i="156"/>
  <c r="I39" i="156"/>
  <c r="I38" i="156"/>
  <c r="I36" i="156"/>
  <c r="D36" i="156"/>
  <c r="C36" i="156"/>
  <c r="I35" i="156"/>
  <c r="J35" i="156" s="1"/>
  <c r="E35" i="156"/>
  <c r="E34" i="156"/>
  <c r="J33" i="156"/>
  <c r="I33" i="156"/>
  <c r="E33" i="156"/>
  <c r="I26" i="156"/>
  <c r="K26" i="156" s="1"/>
  <c r="H26" i="156"/>
  <c r="J26" i="156" s="1"/>
  <c r="G26" i="156"/>
  <c r="K25" i="156"/>
  <c r="J25" i="156"/>
  <c r="K24" i="156"/>
  <c r="J24" i="156"/>
  <c r="K23" i="156"/>
  <c r="J23" i="156"/>
  <c r="E23" i="156"/>
  <c r="K22" i="156"/>
  <c r="J22" i="156"/>
  <c r="E22" i="156"/>
  <c r="K21" i="156"/>
  <c r="J21" i="156"/>
  <c r="E21" i="156"/>
  <c r="K20" i="156"/>
  <c r="J20" i="156"/>
  <c r="E20" i="156"/>
  <c r="K19" i="156"/>
  <c r="J19" i="156"/>
  <c r="E19" i="156"/>
  <c r="K18" i="156"/>
  <c r="J18" i="156"/>
  <c r="E18" i="156"/>
  <c r="K17" i="156"/>
  <c r="J17" i="156"/>
  <c r="E17" i="156"/>
  <c r="K16" i="156"/>
  <c r="J16" i="156"/>
  <c r="E16" i="156"/>
  <c r="K15" i="156"/>
  <c r="J15" i="156"/>
  <c r="E15" i="156"/>
  <c r="E14" i="156"/>
  <c r="E13" i="156"/>
  <c r="I12" i="156"/>
  <c r="J12" i="156" s="1"/>
  <c r="H12" i="156"/>
  <c r="E12" i="156"/>
  <c r="J11" i="156"/>
  <c r="E11" i="156"/>
  <c r="J10" i="156"/>
  <c r="E10" i="156"/>
  <c r="J9" i="156"/>
  <c r="E9" i="156"/>
  <c r="J8" i="156"/>
  <c r="E8" i="156"/>
  <c r="J7" i="156"/>
  <c r="E7" i="156"/>
  <c r="J6" i="156"/>
  <c r="E6" i="156"/>
  <c r="J5" i="156"/>
  <c r="E5" i="156"/>
  <c r="E4" i="156"/>
  <c r="G3" i="156"/>
  <c r="F3" i="156"/>
  <c r="E3" i="156"/>
  <c r="D24" i="156"/>
  <c r="D4" i="156"/>
  <c r="B1" i="156"/>
  <c r="E36" i="156" l="1"/>
  <c r="J27" i="156"/>
  <c r="E8" i="155"/>
  <c r="E9" i="155"/>
  <c r="D4" i="155"/>
  <c r="E18" i="155" s="1"/>
  <c r="J77" i="155"/>
  <c r="K77" i="155" s="1"/>
  <c r="K76" i="155"/>
  <c r="K75" i="155"/>
  <c r="K74" i="155"/>
  <c r="K73" i="155"/>
  <c r="K72" i="155"/>
  <c r="K71" i="155"/>
  <c r="K70" i="155"/>
  <c r="K69" i="155"/>
  <c r="J55" i="155"/>
  <c r="K55" i="155" s="1"/>
  <c r="K54" i="155"/>
  <c r="K53" i="155"/>
  <c r="B49" i="155"/>
  <c r="F48" i="155"/>
  <c r="E48" i="155"/>
  <c r="F47" i="155"/>
  <c r="E47" i="155"/>
  <c r="F46" i="155"/>
  <c r="E46" i="155"/>
  <c r="F45" i="155"/>
  <c r="E45" i="155"/>
  <c r="F44" i="155"/>
  <c r="E44" i="155"/>
  <c r="F43" i="155"/>
  <c r="E43" i="155"/>
  <c r="E40" i="155"/>
  <c r="I39" i="155"/>
  <c r="I38" i="155"/>
  <c r="I36" i="155"/>
  <c r="D36" i="155"/>
  <c r="C36" i="155"/>
  <c r="E36" i="155" s="1"/>
  <c r="I35" i="155"/>
  <c r="J35" i="155" s="1"/>
  <c r="E35" i="155"/>
  <c r="E34" i="155"/>
  <c r="J33" i="155"/>
  <c r="I33" i="155"/>
  <c r="E33" i="155"/>
  <c r="I26" i="155"/>
  <c r="K26" i="155" s="1"/>
  <c r="H26" i="155"/>
  <c r="J26" i="155" s="1"/>
  <c r="G26" i="155"/>
  <c r="K25" i="155"/>
  <c r="J25" i="155"/>
  <c r="K24" i="155"/>
  <c r="J24" i="155"/>
  <c r="K23" i="155"/>
  <c r="J23" i="155"/>
  <c r="K22" i="155"/>
  <c r="J22" i="155"/>
  <c r="K21" i="155"/>
  <c r="J21" i="155"/>
  <c r="E21" i="155"/>
  <c r="K20" i="155"/>
  <c r="J20" i="155"/>
  <c r="K19" i="155"/>
  <c r="J19" i="155"/>
  <c r="K18" i="155"/>
  <c r="J18" i="155"/>
  <c r="K17" i="155"/>
  <c r="J17" i="155"/>
  <c r="K16" i="155"/>
  <c r="J16" i="155"/>
  <c r="K15" i="155"/>
  <c r="J15" i="155"/>
  <c r="K14" i="155"/>
  <c r="J14" i="155"/>
  <c r="I14" i="155"/>
  <c r="I12" i="155"/>
  <c r="J12" i="155" s="1"/>
  <c r="H12" i="155"/>
  <c r="J11" i="155"/>
  <c r="J10" i="155"/>
  <c r="J9" i="155"/>
  <c r="J8" i="155"/>
  <c r="J7" i="155"/>
  <c r="J6" i="155"/>
  <c r="J5" i="155"/>
  <c r="E5" i="155"/>
  <c r="G3" i="155"/>
  <c r="F3" i="155"/>
  <c r="E3" i="155"/>
  <c r="D24" i="155"/>
  <c r="E13" i="155" l="1"/>
  <c r="E10" i="155"/>
  <c r="E14" i="155"/>
  <c r="E22" i="155"/>
  <c r="E7" i="155"/>
  <c r="E11" i="155"/>
  <c r="E20" i="155"/>
  <c r="E12" i="155"/>
  <c r="E15" i="155"/>
  <c r="E23" i="155"/>
  <c r="E16" i="155"/>
  <c r="E6" i="155"/>
  <c r="E19" i="155"/>
  <c r="E17" i="155"/>
  <c r="E4" i="155"/>
  <c r="J27" i="155"/>
  <c r="E23" i="154" l="1"/>
  <c r="E16" i="154"/>
  <c r="E7" i="154"/>
  <c r="E6" i="154"/>
  <c r="E5" i="154"/>
  <c r="I14" i="154"/>
  <c r="J77" i="154"/>
  <c r="K77" i="154" s="1"/>
  <c r="K76" i="154"/>
  <c r="K75" i="154"/>
  <c r="K74" i="154"/>
  <c r="K73" i="154"/>
  <c r="K72" i="154"/>
  <c r="K71" i="154"/>
  <c r="K70" i="154"/>
  <c r="K69" i="154"/>
  <c r="J55" i="154"/>
  <c r="K55" i="154" s="1"/>
  <c r="K54" i="154"/>
  <c r="K53" i="154"/>
  <c r="B49" i="154"/>
  <c r="F48" i="154"/>
  <c r="E48" i="154"/>
  <c r="F47" i="154"/>
  <c r="E47" i="154"/>
  <c r="F46" i="154"/>
  <c r="E46" i="154"/>
  <c r="F45" i="154"/>
  <c r="E45" i="154"/>
  <c r="F44" i="154"/>
  <c r="E44" i="154"/>
  <c r="F43" i="154"/>
  <c r="E43" i="154"/>
  <c r="E40" i="154"/>
  <c r="I39" i="154"/>
  <c r="I38" i="154"/>
  <c r="I36" i="154"/>
  <c r="D36" i="154"/>
  <c r="C36" i="154"/>
  <c r="E36" i="154" s="1"/>
  <c r="I35" i="154"/>
  <c r="J35" i="154" s="1"/>
  <c r="E35" i="154"/>
  <c r="E34" i="154"/>
  <c r="J33" i="154"/>
  <c r="I33" i="154"/>
  <c r="E33" i="154"/>
  <c r="H26" i="154"/>
  <c r="J27" i="154" s="1"/>
  <c r="G26" i="154"/>
  <c r="K25" i="154"/>
  <c r="J25" i="154"/>
  <c r="K24" i="154"/>
  <c r="J24" i="154"/>
  <c r="K23" i="154"/>
  <c r="J23" i="154"/>
  <c r="K22" i="154"/>
  <c r="J22" i="154"/>
  <c r="E22" i="154"/>
  <c r="K21" i="154"/>
  <c r="J21" i="154"/>
  <c r="E21" i="154"/>
  <c r="K20" i="154"/>
  <c r="J20" i="154"/>
  <c r="E20" i="154"/>
  <c r="K19" i="154"/>
  <c r="J19" i="154"/>
  <c r="E19" i="154"/>
  <c r="K18" i="154"/>
  <c r="J18" i="154"/>
  <c r="E18" i="154"/>
  <c r="K17" i="154"/>
  <c r="J17" i="154"/>
  <c r="E17" i="154"/>
  <c r="K16" i="154"/>
  <c r="J16" i="154"/>
  <c r="K15" i="154"/>
  <c r="J15" i="154"/>
  <c r="E15" i="154"/>
  <c r="J14" i="154"/>
  <c r="I26" i="154"/>
  <c r="K26" i="154" s="1"/>
  <c r="E14" i="154"/>
  <c r="E13" i="154"/>
  <c r="I12" i="154"/>
  <c r="H12" i="154"/>
  <c r="E12" i="154"/>
  <c r="J11" i="154"/>
  <c r="E11" i="154"/>
  <c r="J10" i="154"/>
  <c r="E10" i="154"/>
  <c r="J9" i="154"/>
  <c r="E9" i="154"/>
  <c r="J8" i="154"/>
  <c r="E8" i="154"/>
  <c r="J7" i="154"/>
  <c r="J6" i="154"/>
  <c r="J5" i="154"/>
  <c r="E4" i="154"/>
  <c r="G3" i="154"/>
  <c r="F3" i="154"/>
  <c r="E3" i="154"/>
  <c r="D24" i="154"/>
  <c r="D4" i="154" s="1"/>
  <c r="B1" i="154"/>
  <c r="J12" i="154" l="1"/>
  <c r="K14" i="154"/>
  <c r="J26" i="154"/>
  <c r="J55" i="153" l="1"/>
  <c r="J77" i="153"/>
  <c r="K77" i="153" s="1"/>
  <c r="K76" i="153"/>
  <c r="K75" i="153"/>
  <c r="K74" i="153"/>
  <c r="K73" i="153"/>
  <c r="E23" i="153" l="1"/>
  <c r="E16" i="153"/>
  <c r="E6" i="153"/>
  <c r="E7" i="153"/>
  <c r="I14" i="153"/>
  <c r="K14" i="153" s="1"/>
  <c r="K72" i="153"/>
  <c r="K71" i="153"/>
  <c r="K70" i="153"/>
  <c r="K69" i="153"/>
  <c r="K55" i="153"/>
  <c r="K54" i="153"/>
  <c r="K53" i="153"/>
  <c r="B49" i="153"/>
  <c r="F48" i="153"/>
  <c r="E48" i="153"/>
  <c r="F47" i="153"/>
  <c r="E47" i="153"/>
  <c r="F46" i="153"/>
  <c r="E46" i="153"/>
  <c r="F45" i="153"/>
  <c r="E45" i="153"/>
  <c r="F44" i="153"/>
  <c r="E44" i="153"/>
  <c r="F43" i="153"/>
  <c r="E43" i="153"/>
  <c r="E40" i="153"/>
  <c r="I39" i="153"/>
  <c r="I38" i="153"/>
  <c r="I36" i="153"/>
  <c r="D36" i="153"/>
  <c r="C36" i="153"/>
  <c r="E36" i="153" s="1"/>
  <c r="I35" i="153"/>
  <c r="E35" i="153"/>
  <c r="E34" i="153"/>
  <c r="J33" i="153"/>
  <c r="I33" i="153"/>
  <c r="E33" i="153"/>
  <c r="H26" i="153"/>
  <c r="J27" i="153" s="1"/>
  <c r="G26" i="153"/>
  <c r="K25" i="153"/>
  <c r="J25" i="153"/>
  <c r="K24" i="153"/>
  <c r="J24" i="153"/>
  <c r="K23" i="153"/>
  <c r="J23" i="153"/>
  <c r="K22" i="153"/>
  <c r="J22" i="153"/>
  <c r="E22" i="153"/>
  <c r="K21" i="153"/>
  <c r="J21" i="153"/>
  <c r="E21" i="153"/>
  <c r="K20" i="153"/>
  <c r="J20" i="153"/>
  <c r="E20" i="153"/>
  <c r="K19" i="153"/>
  <c r="J19" i="153"/>
  <c r="E19" i="153"/>
  <c r="K18" i="153"/>
  <c r="J18" i="153"/>
  <c r="E18" i="153"/>
  <c r="K17" i="153"/>
  <c r="J17" i="153"/>
  <c r="E17" i="153"/>
  <c r="K16" i="153"/>
  <c r="J16" i="153"/>
  <c r="K15" i="153"/>
  <c r="J15" i="153"/>
  <c r="E15" i="153"/>
  <c r="J14" i="153"/>
  <c r="E14" i="153"/>
  <c r="E13" i="153"/>
  <c r="I12" i="153"/>
  <c r="H12" i="153"/>
  <c r="J12" i="153" s="1"/>
  <c r="E12" i="153"/>
  <c r="J11" i="153"/>
  <c r="E11" i="153"/>
  <c r="J10" i="153"/>
  <c r="E10" i="153"/>
  <c r="J9" i="153"/>
  <c r="E9" i="153"/>
  <c r="J8" i="153"/>
  <c r="E8" i="153"/>
  <c r="J7" i="153"/>
  <c r="J6" i="153"/>
  <c r="J5" i="153"/>
  <c r="E5" i="153"/>
  <c r="E4" i="153"/>
  <c r="G3" i="153"/>
  <c r="F3" i="153"/>
  <c r="E3" i="153"/>
  <c r="D24" i="153"/>
  <c r="D4" i="153" s="1"/>
  <c r="B1" i="153"/>
  <c r="J35" i="153" l="1"/>
  <c r="I26" i="153"/>
  <c r="K26" i="153" s="1"/>
  <c r="J26" i="153"/>
  <c r="E21" i="152"/>
  <c r="E22" i="152"/>
  <c r="E23" i="152"/>
  <c r="K14" i="152"/>
  <c r="I14" i="152"/>
  <c r="J73" i="152"/>
  <c r="K72" i="152"/>
  <c r="K71" i="152"/>
  <c r="K70" i="152"/>
  <c r="K69" i="152"/>
  <c r="K73" i="152" s="1"/>
  <c r="J55" i="152"/>
  <c r="K55" i="152" s="1"/>
  <c r="K54" i="152"/>
  <c r="K53" i="152"/>
  <c r="B49" i="152"/>
  <c r="F48" i="152"/>
  <c r="E48" i="152"/>
  <c r="F47" i="152"/>
  <c r="E47" i="152"/>
  <c r="F46" i="152"/>
  <c r="E46" i="152"/>
  <c r="F45" i="152"/>
  <c r="E45" i="152"/>
  <c r="F44" i="152"/>
  <c r="E44" i="152"/>
  <c r="F43" i="152"/>
  <c r="E43" i="152"/>
  <c r="E40" i="152"/>
  <c r="I39" i="152"/>
  <c r="I38" i="152"/>
  <c r="I36" i="152"/>
  <c r="D36" i="152"/>
  <c r="C36" i="152"/>
  <c r="E36" i="152" s="1"/>
  <c r="I35" i="152"/>
  <c r="J35" i="152" s="1"/>
  <c r="E35" i="152"/>
  <c r="E34" i="152"/>
  <c r="J33" i="152"/>
  <c r="I33" i="152"/>
  <c r="E33" i="152"/>
  <c r="J27" i="152"/>
  <c r="H26" i="152"/>
  <c r="J26" i="152" s="1"/>
  <c r="G26" i="152"/>
  <c r="K25" i="152"/>
  <c r="J25" i="152"/>
  <c r="K24" i="152"/>
  <c r="J24" i="152"/>
  <c r="K23" i="152"/>
  <c r="J23" i="152"/>
  <c r="K22" i="152"/>
  <c r="J22" i="152"/>
  <c r="K21" i="152"/>
  <c r="J21" i="152"/>
  <c r="K20" i="152"/>
  <c r="J20" i="152"/>
  <c r="E20" i="152"/>
  <c r="K19" i="152"/>
  <c r="J19" i="152"/>
  <c r="E19" i="152"/>
  <c r="K18" i="152"/>
  <c r="J18" i="152"/>
  <c r="E18" i="152"/>
  <c r="K17" i="152"/>
  <c r="J17" i="152"/>
  <c r="E17" i="152"/>
  <c r="K16" i="152"/>
  <c r="J16" i="152"/>
  <c r="E16" i="152"/>
  <c r="K15" i="152"/>
  <c r="J15" i="152"/>
  <c r="E15" i="152"/>
  <c r="J14" i="152"/>
  <c r="I26" i="152"/>
  <c r="K26" i="152" s="1"/>
  <c r="E14" i="152"/>
  <c r="E13" i="152"/>
  <c r="I12" i="152"/>
  <c r="J12" i="152" s="1"/>
  <c r="H12" i="152"/>
  <c r="E12" i="152"/>
  <c r="J11" i="152"/>
  <c r="E11" i="152"/>
  <c r="J10" i="152"/>
  <c r="E10" i="152"/>
  <c r="J9" i="152"/>
  <c r="E9" i="152"/>
  <c r="J8" i="152"/>
  <c r="E8" i="152"/>
  <c r="J7" i="152"/>
  <c r="E7" i="152"/>
  <c r="J6" i="152"/>
  <c r="E6" i="152"/>
  <c r="J5" i="152"/>
  <c r="E5" i="152"/>
  <c r="E4" i="152"/>
  <c r="G3" i="152"/>
  <c r="F3" i="152"/>
  <c r="E3" i="152"/>
  <c r="D23" i="152"/>
  <c r="D4" i="152"/>
  <c r="J55" i="151" l="1"/>
  <c r="K55" i="151" s="1"/>
  <c r="K54" i="151"/>
  <c r="K53" i="151"/>
  <c r="J14" i="151"/>
  <c r="J15" i="151"/>
  <c r="J16" i="151"/>
  <c r="J17" i="151"/>
  <c r="J18" i="151"/>
  <c r="J19" i="151"/>
  <c r="K14" i="151"/>
  <c r="K15" i="151"/>
  <c r="K16" i="151"/>
  <c r="K17" i="151"/>
  <c r="K18" i="151"/>
  <c r="K19" i="151"/>
  <c r="K26" i="151"/>
  <c r="K25" i="151"/>
  <c r="K24" i="151"/>
  <c r="K23" i="151"/>
  <c r="K22" i="151"/>
  <c r="K21" i="151"/>
  <c r="K20" i="151"/>
  <c r="I14" i="151"/>
  <c r="I26" i="151" s="1"/>
  <c r="J27" i="151"/>
  <c r="J26" i="151"/>
  <c r="J73" i="151"/>
  <c r="K72" i="151"/>
  <c r="K73" i="151" s="1"/>
  <c r="K71" i="151"/>
  <c r="K70" i="151"/>
  <c r="K69" i="151"/>
  <c r="B49" i="151"/>
  <c r="F48" i="151"/>
  <c r="E48" i="151"/>
  <c r="F47" i="151"/>
  <c r="E47" i="151"/>
  <c r="F46" i="151"/>
  <c r="E46" i="151"/>
  <c r="F45" i="151"/>
  <c r="E45" i="151"/>
  <c r="F44" i="151"/>
  <c r="E44" i="151"/>
  <c r="F43" i="151"/>
  <c r="E43" i="151"/>
  <c r="E40" i="151"/>
  <c r="I39" i="151"/>
  <c r="I38" i="151"/>
  <c r="I36" i="151"/>
  <c r="D36" i="151"/>
  <c r="C36" i="151"/>
  <c r="E36" i="151" s="1"/>
  <c r="I35" i="151"/>
  <c r="E35" i="151"/>
  <c r="E34" i="151"/>
  <c r="J33" i="151"/>
  <c r="I33" i="151"/>
  <c r="E33" i="151"/>
  <c r="H26" i="151"/>
  <c r="G26" i="151"/>
  <c r="J25" i="151"/>
  <c r="J24" i="151"/>
  <c r="J23" i="151"/>
  <c r="J22" i="151"/>
  <c r="E22" i="151"/>
  <c r="J21" i="151"/>
  <c r="J20" i="151"/>
  <c r="E20" i="151"/>
  <c r="E19" i="151"/>
  <c r="E18" i="151"/>
  <c r="E17" i="151"/>
  <c r="E16" i="151"/>
  <c r="E15" i="151"/>
  <c r="E14" i="151"/>
  <c r="E13" i="151"/>
  <c r="I12" i="151"/>
  <c r="J12" i="151" s="1"/>
  <c r="H12" i="151"/>
  <c r="E12" i="151"/>
  <c r="J11" i="151"/>
  <c r="E11" i="151"/>
  <c r="J10" i="151"/>
  <c r="E10" i="151"/>
  <c r="J9" i="151"/>
  <c r="E9" i="151"/>
  <c r="J8" i="151"/>
  <c r="E8" i="151"/>
  <c r="J7" i="151"/>
  <c r="E7" i="151"/>
  <c r="J6" i="151"/>
  <c r="E6" i="151"/>
  <c r="J5" i="151"/>
  <c r="E5" i="151"/>
  <c r="E4" i="151"/>
  <c r="G3" i="151"/>
  <c r="F3" i="151"/>
  <c r="E3" i="151"/>
  <c r="D23" i="151"/>
  <c r="D4" i="151" s="1"/>
  <c r="J35" i="151" l="1"/>
  <c r="E11" i="150" l="1"/>
  <c r="E22" i="150"/>
  <c r="E20" i="150"/>
  <c r="J73" i="150"/>
  <c r="K72" i="150"/>
  <c r="K73" i="150" s="1"/>
  <c r="K71" i="150"/>
  <c r="K70" i="150"/>
  <c r="K69" i="150"/>
  <c r="J55" i="150"/>
  <c r="K55" i="150" s="1"/>
  <c r="B49" i="150"/>
  <c r="F48" i="150"/>
  <c r="E48" i="150"/>
  <c r="F47" i="150"/>
  <c r="E47" i="150"/>
  <c r="F46" i="150"/>
  <c r="E46" i="150"/>
  <c r="F45" i="150"/>
  <c r="E45" i="150"/>
  <c r="F44" i="150"/>
  <c r="E44" i="150"/>
  <c r="F43" i="150"/>
  <c r="E43" i="150"/>
  <c r="E40" i="150"/>
  <c r="I39" i="150"/>
  <c r="I38" i="150"/>
  <c r="I36" i="150"/>
  <c r="D36" i="150"/>
  <c r="C36" i="150"/>
  <c r="E36" i="150" s="1"/>
  <c r="I35" i="150"/>
  <c r="J35" i="150" s="1"/>
  <c r="E35" i="150"/>
  <c r="E34" i="150"/>
  <c r="J33" i="150"/>
  <c r="I33" i="150"/>
  <c r="E33" i="150"/>
  <c r="H26" i="150"/>
  <c r="I27" i="150" s="1"/>
  <c r="G26" i="150"/>
  <c r="J25" i="150"/>
  <c r="I25" i="150"/>
  <c r="I24" i="150"/>
  <c r="I23" i="150"/>
  <c r="I22" i="150"/>
  <c r="I21" i="150"/>
  <c r="I20" i="150"/>
  <c r="I19" i="150"/>
  <c r="E19" i="150"/>
  <c r="I18" i="150"/>
  <c r="E18" i="150"/>
  <c r="I17" i="150"/>
  <c r="E17" i="150"/>
  <c r="I16" i="150"/>
  <c r="E16" i="150"/>
  <c r="I15" i="150"/>
  <c r="E15" i="150"/>
  <c r="I14" i="150"/>
  <c r="E14" i="150"/>
  <c r="E13" i="150"/>
  <c r="I12" i="150"/>
  <c r="J12" i="150" s="1"/>
  <c r="H12" i="150"/>
  <c r="E12" i="150"/>
  <c r="J11" i="150"/>
  <c r="J10" i="150"/>
  <c r="E10" i="150"/>
  <c r="J9" i="150"/>
  <c r="E9" i="150"/>
  <c r="J8" i="150"/>
  <c r="E8" i="150"/>
  <c r="J7" i="150"/>
  <c r="E7" i="150"/>
  <c r="J6" i="150"/>
  <c r="E6" i="150"/>
  <c r="J5" i="150"/>
  <c r="E5" i="150"/>
  <c r="E4" i="150"/>
  <c r="G3" i="150"/>
  <c r="F3" i="150"/>
  <c r="E3" i="150"/>
  <c r="D22" i="150"/>
  <c r="D4" i="150" s="1"/>
  <c r="C7" i="150"/>
  <c r="I26" i="150" l="1"/>
  <c r="J26" i="150"/>
  <c r="E10" i="149"/>
  <c r="E11" i="149"/>
  <c r="J73" i="149" l="1"/>
  <c r="K72" i="149"/>
  <c r="K71" i="149"/>
  <c r="K73" i="149" s="1"/>
  <c r="K70" i="149"/>
  <c r="K69" i="149"/>
  <c r="J55" i="149"/>
  <c r="K55" i="149" s="1"/>
  <c r="B49" i="149"/>
  <c r="F48" i="149"/>
  <c r="E48" i="149"/>
  <c r="F47" i="149"/>
  <c r="E47" i="149"/>
  <c r="F46" i="149"/>
  <c r="E46" i="149"/>
  <c r="F45" i="149"/>
  <c r="E45" i="149"/>
  <c r="F44" i="149"/>
  <c r="E44" i="149"/>
  <c r="F43" i="149"/>
  <c r="E43" i="149"/>
  <c r="E40" i="149"/>
  <c r="I39" i="149"/>
  <c r="I38" i="149"/>
  <c r="I36" i="149"/>
  <c r="E36" i="149"/>
  <c r="D36" i="149"/>
  <c r="C36" i="149"/>
  <c r="I35" i="149"/>
  <c r="J35" i="149" s="1"/>
  <c r="E35" i="149"/>
  <c r="E34" i="149"/>
  <c r="J33" i="149"/>
  <c r="I33" i="149"/>
  <c r="E33" i="149"/>
  <c r="I26" i="149"/>
  <c r="H26" i="149"/>
  <c r="I27" i="149" s="1"/>
  <c r="G26" i="149"/>
  <c r="J26" i="149" s="1"/>
  <c r="J25" i="149"/>
  <c r="I25" i="149"/>
  <c r="I24" i="149"/>
  <c r="I23" i="149"/>
  <c r="I22" i="149"/>
  <c r="I21" i="149"/>
  <c r="I20" i="149"/>
  <c r="I19" i="149"/>
  <c r="E19" i="149"/>
  <c r="I18" i="149"/>
  <c r="E18" i="149"/>
  <c r="I17" i="149"/>
  <c r="E17" i="149"/>
  <c r="I16" i="149"/>
  <c r="E16" i="149"/>
  <c r="I15" i="149"/>
  <c r="E15" i="149"/>
  <c r="I14" i="149"/>
  <c r="E14" i="149"/>
  <c r="E13" i="149"/>
  <c r="I12" i="149"/>
  <c r="J12" i="149" s="1"/>
  <c r="H12" i="149"/>
  <c r="E12" i="149"/>
  <c r="J11" i="149"/>
  <c r="J10" i="149"/>
  <c r="J9" i="149"/>
  <c r="E9" i="149"/>
  <c r="J8" i="149"/>
  <c r="E8" i="149"/>
  <c r="J7" i="149"/>
  <c r="E7" i="149"/>
  <c r="J6" i="149"/>
  <c r="E6" i="149"/>
  <c r="J5" i="149"/>
  <c r="E5" i="149"/>
  <c r="E4" i="149"/>
  <c r="G3" i="149"/>
  <c r="F3" i="149"/>
  <c r="E3" i="149"/>
  <c r="D20" i="149"/>
  <c r="D4" i="149"/>
  <c r="B1" i="149"/>
  <c r="J73" i="148" l="1"/>
  <c r="K72" i="148"/>
  <c r="K73" i="148" s="1"/>
  <c r="K71" i="148"/>
  <c r="K70" i="148"/>
  <c r="K69" i="148"/>
  <c r="J55" i="148"/>
  <c r="K55" i="148" s="1"/>
  <c r="B49" i="148"/>
  <c r="F48" i="148"/>
  <c r="E48" i="148"/>
  <c r="F47" i="148"/>
  <c r="E47" i="148"/>
  <c r="F46" i="148"/>
  <c r="E46" i="148"/>
  <c r="F45" i="148"/>
  <c r="E45" i="148"/>
  <c r="F44" i="148"/>
  <c r="E44" i="148"/>
  <c r="F43" i="148"/>
  <c r="E43" i="148"/>
  <c r="E40" i="148"/>
  <c r="I39" i="148"/>
  <c r="I38" i="148"/>
  <c r="I36" i="148"/>
  <c r="D36" i="148"/>
  <c r="C36" i="148"/>
  <c r="E36" i="148" s="1"/>
  <c r="I35" i="148"/>
  <c r="E35" i="148"/>
  <c r="E34" i="148"/>
  <c r="J33" i="148"/>
  <c r="I33" i="148"/>
  <c r="E33" i="148"/>
  <c r="I27" i="148"/>
  <c r="H26" i="148"/>
  <c r="J26" i="148" s="1"/>
  <c r="G26" i="148"/>
  <c r="J25" i="148"/>
  <c r="I25" i="148"/>
  <c r="I24" i="148"/>
  <c r="I23" i="148"/>
  <c r="I22" i="148"/>
  <c r="I21" i="148"/>
  <c r="I20" i="148"/>
  <c r="I19" i="148"/>
  <c r="E19" i="148"/>
  <c r="I18" i="148"/>
  <c r="E18" i="148"/>
  <c r="I17" i="148"/>
  <c r="E17" i="148"/>
  <c r="I16" i="148"/>
  <c r="E16" i="148"/>
  <c r="I15" i="148"/>
  <c r="E15" i="148"/>
  <c r="I14" i="148"/>
  <c r="E14" i="148"/>
  <c r="E13" i="148"/>
  <c r="I12" i="148"/>
  <c r="J12" i="148" s="1"/>
  <c r="H12" i="148"/>
  <c r="E12" i="148"/>
  <c r="J11" i="148"/>
  <c r="E11" i="148"/>
  <c r="J10" i="148"/>
  <c r="E10" i="148"/>
  <c r="J9" i="148"/>
  <c r="E9" i="148"/>
  <c r="J8" i="148"/>
  <c r="E8" i="148"/>
  <c r="J7" i="148"/>
  <c r="E7" i="148"/>
  <c r="J6" i="148"/>
  <c r="E6" i="148"/>
  <c r="J5" i="148"/>
  <c r="E5" i="148"/>
  <c r="E4" i="148"/>
  <c r="G3" i="148"/>
  <c r="F3" i="148"/>
  <c r="E3" i="148"/>
  <c r="D19" i="148"/>
  <c r="D4" i="148" s="1"/>
  <c r="J35" i="148" l="1"/>
  <c r="I26" i="148"/>
  <c r="I27" i="146" l="1"/>
  <c r="I26" i="146"/>
  <c r="H33" i="146"/>
  <c r="J73" i="146" l="1"/>
  <c r="K72" i="146"/>
  <c r="K71" i="146"/>
  <c r="K70" i="146"/>
  <c r="K69" i="146"/>
  <c r="K73" i="146" s="1"/>
  <c r="J55" i="146"/>
  <c r="K55" i="146" s="1"/>
  <c r="B49" i="146"/>
  <c r="F48" i="146"/>
  <c r="E48" i="146"/>
  <c r="F47" i="146"/>
  <c r="E47" i="146"/>
  <c r="F46" i="146"/>
  <c r="E46" i="146"/>
  <c r="F45" i="146"/>
  <c r="E45" i="146"/>
  <c r="F44" i="146"/>
  <c r="E44" i="146"/>
  <c r="F43" i="146"/>
  <c r="E43" i="146"/>
  <c r="E40" i="146"/>
  <c r="I39" i="146"/>
  <c r="I38" i="146"/>
  <c r="I36" i="146"/>
  <c r="D36" i="146"/>
  <c r="C36" i="146"/>
  <c r="E36" i="146" s="1"/>
  <c r="I35" i="146"/>
  <c r="J35" i="146" s="1"/>
  <c r="E35" i="146"/>
  <c r="E34" i="146"/>
  <c r="J33" i="146"/>
  <c r="I33" i="146"/>
  <c r="E33" i="146"/>
  <c r="G26" i="146"/>
  <c r="H26" i="146"/>
  <c r="I24" i="146"/>
  <c r="I23" i="146"/>
  <c r="E23" i="146"/>
  <c r="I22" i="146"/>
  <c r="E22" i="146"/>
  <c r="I21" i="146"/>
  <c r="E21" i="146"/>
  <c r="I20" i="146"/>
  <c r="E20" i="146"/>
  <c r="I19" i="146"/>
  <c r="E19" i="146"/>
  <c r="I18" i="146"/>
  <c r="E18" i="146"/>
  <c r="I17" i="146"/>
  <c r="E17" i="146"/>
  <c r="I16" i="146"/>
  <c r="E16" i="146"/>
  <c r="I15" i="146"/>
  <c r="E15" i="146"/>
  <c r="I14" i="146"/>
  <c r="E14" i="146"/>
  <c r="E13" i="146"/>
  <c r="I12" i="146"/>
  <c r="J12" i="146" s="1"/>
  <c r="H12" i="146"/>
  <c r="E12" i="146"/>
  <c r="J11" i="146"/>
  <c r="E11" i="146"/>
  <c r="J10" i="146"/>
  <c r="E10" i="146"/>
  <c r="J9" i="146"/>
  <c r="E9" i="146"/>
  <c r="J8" i="146"/>
  <c r="E8" i="146"/>
  <c r="J7" i="146"/>
  <c r="E7" i="146"/>
  <c r="J6" i="146"/>
  <c r="E6" i="146"/>
  <c r="J5" i="146"/>
  <c r="E5" i="146"/>
  <c r="E4" i="146"/>
  <c r="G3" i="146"/>
  <c r="F3" i="146"/>
  <c r="E3" i="146"/>
  <c r="D14" i="146"/>
  <c r="D4" i="146" s="1"/>
  <c r="B1" i="146"/>
  <c r="J26" i="146" l="1"/>
  <c r="I25" i="146"/>
  <c r="J25" i="146"/>
  <c r="N8" i="145" l="1"/>
  <c r="M8" i="145"/>
  <c r="L8" i="145"/>
  <c r="K8" i="145"/>
  <c r="J8" i="145"/>
  <c r="I8" i="145"/>
  <c r="H8" i="145"/>
  <c r="G8" i="145"/>
  <c r="E8" i="145"/>
  <c r="D8" i="145"/>
  <c r="N6" i="145"/>
  <c r="N14" i="145" s="1"/>
  <c r="M6" i="145"/>
  <c r="M14" i="145" s="1"/>
  <c r="L6" i="145"/>
  <c r="L14" i="145" s="1"/>
  <c r="K6" i="145"/>
  <c r="K14" i="145" s="1"/>
  <c r="J6" i="145"/>
  <c r="J14" i="145" s="1"/>
  <c r="I6" i="145"/>
  <c r="I14" i="145" s="1"/>
  <c r="H6" i="145"/>
  <c r="H14" i="145" s="1"/>
  <c r="G6" i="145"/>
  <c r="G14" i="145" s="1"/>
  <c r="F6" i="145"/>
  <c r="E6" i="145"/>
  <c r="D6" i="145"/>
  <c r="C6" i="145"/>
  <c r="H2" i="204" l="1"/>
  <c r="H3" i="204" s="1"/>
  <c r="H2" i="203"/>
  <c r="H3" i="203" s="1"/>
  <c r="H2" i="202"/>
  <c r="H3" i="202" s="1"/>
  <c r="H2" i="201"/>
  <c r="H3" i="201" s="1"/>
  <c r="H2" i="200"/>
  <c r="H3" i="200" s="1"/>
  <c r="H2" i="199"/>
  <c r="H3" i="199" s="1"/>
  <c r="H2" i="198"/>
  <c r="H3" i="198" s="1"/>
  <c r="H2" i="197"/>
  <c r="H3" i="197" s="1"/>
  <c r="H2" i="196"/>
  <c r="H3" i="196" s="1"/>
  <c r="H2" i="195"/>
  <c r="H3" i="195" s="1"/>
  <c r="H2" i="193"/>
  <c r="H3" i="193" s="1"/>
  <c r="H2" i="192"/>
  <c r="H3" i="192" s="1"/>
  <c r="H2" i="191"/>
  <c r="H3" i="191" s="1"/>
  <c r="H2" i="190"/>
  <c r="H3" i="190" s="1"/>
  <c r="H2" i="189"/>
  <c r="H3" i="189" s="1"/>
  <c r="H2" i="188"/>
  <c r="H3" i="188" s="1"/>
  <c r="H2" i="187"/>
  <c r="H3" i="187" s="1"/>
  <c r="H2" i="186"/>
  <c r="H3" i="186" s="1"/>
  <c r="H2" i="185"/>
  <c r="H3" i="185" s="1"/>
  <c r="H2" i="184"/>
  <c r="H3" i="184" s="1"/>
  <c r="H2" i="183"/>
  <c r="H3" i="183" s="1"/>
  <c r="H2" i="182"/>
  <c r="H3" i="182" s="1"/>
  <c r="H2" i="181"/>
  <c r="H3" i="181" s="1"/>
  <c r="H2" i="180"/>
  <c r="H3" i="180" s="1"/>
  <c r="C14" i="145"/>
  <c r="H2" i="179"/>
  <c r="H3" i="179" s="1"/>
  <c r="H2" i="178"/>
  <c r="H3" i="178" s="1"/>
  <c r="H2" i="177"/>
  <c r="H3" i="177" s="1"/>
  <c r="H2" i="176"/>
  <c r="H3" i="176" s="1"/>
  <c r="H2" i="175"/>
  <c r="H3" i="175" s="1"/>
  <c r="H2" i="174"/>
  <c r="H3" i="174" s="1"/>
  <c r="H2" i="173"/>
  <c r="H3" i="173" s="1"/>
  <c r="H2" i="172"/>
  <c r="H3" i="172" s="1"/>
  <c r="H2" i="171"/>
  <c r="H3" i="171" s="1"/>
  <c r="H2" i="170"/>
  <c r="H3" i="170" s="1"/>
  <c r="H2" i="169"/>
  <c r="H3" i="169" s="1"/>
  <c r="H2" i="168"/>
  <c r="H3" i="168" s="1"/>
  <c r="H2" i="167"/>
  <c r="H3" i="167" s="1"/>
  <c r="H2" i="166"/>
  <c r="H2" i="165"/>
  <c r="H2" i="164"/>
  <c r="H2" i="163"/>
  <c r="H2" i="162"/>
  <c r="H2" i="161"/>
  <c r="H2" i="160"/>
  <c r="H2" i="159"/>
  <c r="H2" i="158"/>
  <c r="H2" i="157"/>
  <c r="H2" i="156"/>
  <c r="H2" i="155"/>
  <c r="H2" i="154"/>
  <c r="H2" i="153"/>
  <c r="H2" i="152"/>
  <c r="H2" i="151"/>
  <c r="H2" i="150"/>
  <c r="H2" i="149"/>
  <c r="H2" i="148"/>
  <c r="O6" i="145"/>
  <c r="O7" i="145" s="1"/>
  <c r="H2" i="146"/>
  <c r="G11" i="145"/>
  <c r="G10" i="145"/>
  <c r="I2" i="204"/>
  <c r="I3" i="204" s="1"/>
  <c r="I2" i="203"/>
  <c r="I3" i="203" s="1"/>
  <c r="I2" i="202"/>
  <c r="I3" i="202" s="1"/>
  <c r="I2" i="201"/>
  <c r="I3" i="201" s="1"/>
  <c r="I2" i="200"/>
  <c r="I3" i="200" s="1"/>
  <c r="I2" i="199"/>
  <c r="I3" i="199" s="1"/>
  <c r="I2" i="198"/>
  <c r="I3" i="198" s="1"/>
  <c r="I2" i="197"/>
  <c r="I3" i="197" s="1"/>
  <c r="I2" i="196"/>
  <c r="I3" i="196" s="1"/>
  <c r="I2" i="195"/>
  <c r="I3" i="195" s="1"/>
  <c r="I2" i="193"/>
  <c r="I3" i="193" s="1"/>
  <c r="I2" i="192"/>
  <c r="I3" i="192" s="1"/>
  <c r="I2" i="191"/>
  <c r="I3" i="191" s="1"/>
  <c r="I2" i="190"/>
  <c r="I3" i="190" s="1"/>
  <c r="I2" i="189"/>
  <c r="I3" i="189" s="1"/>
  <c r="I2" i="188"/>
  <c r="I3" i="188" s="1"/>
  <c r="I2" i="187"/>
  <c r="I3" i="187" s="1"/>
  <c r="I2" i="186"/>
  <c r="I2" i="185"/>
  <c r="I2" i="184"/>
  <c r="I2" i="183"/>
  <c r="I2" i="182"/>
  <c r="I2" i="181"/>
  <c r="I2" i="180"/>
  <c r="D14" i="145"/>
  <c r="I2" i="179"/>
  <c r="I2" i="178"/>
  <c r="I2" i="177"/>
  <c r="I2" i="176"/>
  <c r="I2" i="175"/>
  <c r="I2" i="174"/>
  <c r="I2" i="173"/>
  <c r="I2" i="172"/>
  <c r="I2" i="171"/>
  <c r="I2" i="170"/>
  <c r="I2" i="169"/>
  <c r="I2" i="168"/>
  <c r="I2" i="167"/>
  <c r="I2" i="166"/>
  <c r="I3" i="166" s="1"/>
  <c r="I2" i="165"/>
  <c r="I3" i="165" s="1"/>
  <c r="I2" i="164"/>
  <c r="I3" i="164" s="1"/>
  <c r="I2" i="163"/>
  <c r="I3" i="163" s="1"/>
  <c r="I2" i="162"/>
  <c r="I3" i="162" s="1"/>
  <c r="I2" i="161"/>
  <c r="I3" i="161" s="1"/>
  <c r="I2" i="160"/>
  <c r="I3" i="160" s="1"/>
  <c r="H10" i="145"/>
  <c r="H11" i="145"/>
  <c r="J2" i="204"/>
  <c r="J3" i="204" s="1"/>
  <c r="J2" i="203"/>
  <c r="J3" i="203" s="1"/>
  <c r="J2" i="202"/>
  <c r="J3" i="202" s="1"/>
  <c r="J2" i="201"/>
  <c r="J3" i="201" s="1"/>
  <c r="J2" i="200"/>
  <c r="J3" i="200" s="1"/>
  <c r="J2" i="199"/>
  <c r="J3" i="199" s="1"/>
  <c r="J2" i="198"/>
  <c r="J3" i="198" s="1"/>
  <c r="J2" i="197"/>
  <c r="J3" i="197" s="1"/>
  <c r="J2" i="196"/>
  <c r="J3" i="196" s="1"/>
  <c r="J2" i="195"/>
  <c r="J3" i="195" s="1"/>
  <c r="J2" i="193"/>
  <c r="J2" i="192"/>
  <c r="J2" i="191"/>
  <c r="J2" i="190"/>
  <c r="J2" i="189"/>
  <c r="J2" i="188"/>
  <c r="J2" i="187"/>
  <c r="J2" i="186"/>
  <c r="J2" i="185"/>
  <c r="J2" i="184"/>
  <c r="J2" i="183"/>
  <c r="J2" i="182"/>
  <c r="J2" i="181"/>
  <c r="J2" i="180"/>
  <c r="E14" i="145"/>
  <c r="J2" i="179"/>
  <c r="J2" i="178"/>
  <c r="J2" i="177"/>
  <c r="J2" i="176"/>
  <c r="J2" i="175"/>
  <c r="J2" i="174"/>
  <c r="J2" i="173"/>
  <c r="J2" i="172"/>
  <c r="I11" i="145"/>
  <c r="I10" i="145"/>
  <c r="K2" i="191"/>
  <c r="K3" i="191" s="1"/>
  <c r="K2" i="190"/>
  <c r="K3" i="190" s="1"/>
  <c r="J11" i="145"/>
  <c r="J10" i="145"/>
  <c r="K11" i="145"/>
  <c r="K10" i="145"/>
  <c r="L11" i="145"/>
  <c r="L10" i="145"/>
  <c r="M11" i="145"/>
  <c r="M10" i="145"/>
  <c r="N11" i="145"/>
  <c r="N10" i="145"/>
  <c r="H2" i="144"/>
  <c r="H3" i="144" s="1"/>
  <c r="D29" i="144"/>
  <c r="J3" i="173" l="1"/>
  <c r="D29" i="173"/>
  <c r="E27" i="173"/>
  <c r="E27" i="186"/>
  <c r="J3" i="186"/>
  <c r="D29" i="186" s="1"/>
  <c r="D29" i="168"/>
  <c r="E27" i="168"/>
  <c r="I3" i="168"/>
  <c r="I3" i="181"/>
  <c r="J29" i="181"/>
  <c r="I29" i="181"/>
  <c r="D29" i="149"/>
  <c r="E28" i="149"/>
  <c r="H3" i="149"/>
  <c r="E28" i="163"/>
  <c r="H3" i="163"/>
  <c r="D29" i="163"/>
  <c r="D29" i="170"/>
  <c r="E27" i="170"/>
  <c r="I3" i="170"/>
  <c r="D29" i="151"/>
  <c r="E28" i="151"/>
  <c r="H3" i="151"/>
  <c r="D29" i="165"/>
  <c r="H3" i="165"/>
  <c r="E28" i="165"/>
  <c r="E27" i="176"/>
  <c r="J3" i="176"/>
  <c r="D29" i="176" s="1"/>
  <c r="D29" i="152"/>
  <c r="E28" i="152"/>
  <c r="H3" i="152"/>
  <c r="J3" i="188"/>
  <c r="D29" i="188" s="1"/>
  <c r="E27" i="188"/>
  <c r="I3" i="184"/>
  <c r="J29" i="184"/>
  <c r="I29" i="184"/>
  <c r="E28" i="166"/>
  <c r="H3" i="166"/>
  <c r="D29" i="166"/>
  <c r="E27" i="177"/>
  <c r="J3" i="177"/>
  <c r="D29" i="177" s="1"/>
  <c r="E27" i="190"/>
  <c r="J3" i="190"/>
  <c r="D29" i="190" s="1"/>
  <c r="E27" i="172"/>
  <c r="J29" i="172"/>
  <c r="I29" i="172"/>
  <c r="I3" i="172"/>
  <c r="I3" i="185"/>
  <c r="I29" i="185"/>
  <c r="J29" i="185"/>
  <c r="H3" i="153"/>
  <c r="E28" i="153"/>
  <c r="D29" i="153"/>
  <c r="D29" i="169"/>
  <c r="E27" i="169"/>
  <c r="I3" i="169"/>
  <c r="E27" i="175"/>
  <c r="J3" i="175"/>
  <c r="D29" i="175" s="1"/>
  <c r="I3" i="183"/>
  <c r="I29" i="183"/>
  <c r="J29" i="183"/>
  <c r="J3" i="189"/>
  <c r="D29" i="189" s="1"/>
  <c r="E27" i="189"/>
  <c r="I3" i="171"/>
  <c r="E27" i="171"/>
  <c r="D29" i="171"/>
  <c r="O14" i="145"/>
  <c r="E27" i="178"/>
  <c r="J3" i="178"/>
  <c r="D29" i="178" s="1"/>
  <c r="E27" i="191"/>
  <c r="J3" i="191"/>
  <c r="D29" i="191" s="1"/>
  <c r="J29" i="173"/>
  <c r="I29" i="173"/>
  <c r="I3" i="173"/>
  <c r="I3" i="186"/>
  <c r="J29" i="186"/>
  <c r="I29" i="186"/>
  <c r="D29" i="154"/>
  <c r="E28" i="154"/>
  <c r="H3" i="154"/>
  <c r="I3" i="182"/>
  <c r="J29" i="182"/>
  <c r="I29" i="182"/>
  <c r="I3" i="174"/>
  <c r="I29" i="174"/>
  <c r="J29" i="174"/>
  <c r="E29" i="193"/>
  <c r="E30" i="193" s="1"/>
  <c r="J3" i="193"/>
  <c r="E27" i="181"/>
  <c r="J3" i="181"/>
  <c r="D29" i="181" s="1"/>
  <c r="I3" i="177"/>
  <c r="I29" i="177"/>
  <c r="J29" i="177"/>
  <c r="D29" i="158"/>
  <c r="E28" i="158"/>
  <c r="H3" i="158"/>
  <c r="J3" i="187"/>
  <c r="D30" i="187" s="1"/>
  <c r="E27" i="187"/>
  <c r="D29" i="150"/>
  <c r="E28" i="150"/>
  <c r="H3" i="150"/>
  <c r="J30" i="187"/>
  <c r="I30" i="187"/>
  <c r="E28" i="155"/>
  <c r="H3" i="155"/>
  <c r="D29" i="155"/>
  <c r="I3" i="175"/>
  <c r="I29" i="175"/>
  <c r="J29" i="175"/>
  <c r="H3" i="156"/>
  <c r="E28" i="156"/>
  <c r="D29" i="156"/>
  <c r="J3" i="180"/>
  <c r="D29" i="180" s="1"/>
  <c r="E27" i="180"/>
  <c r="I3" i="176"/>
  <c r="J29" i="176"/>
  <c r="I29" i="176"/>
  <c r="H3" i="157"/>
  <c r="E28" i="157"/>
  <c r="D29" i="157"/>
  <c r="E27" i="182"/>
  <c r="J3" i="182"/>
  <c r="D29" i="182" s="1"/>
  <c r="I3" i="178"/>
  <c r="J29" i="178"/>
  <c r="I29" i="178"/>
  <c r="H3" i="159"/>
  <c r="E28" i="159"/>
  <c r="D29" i="159"/>
  <c r="E27" i="179"/>
  <c r="J3" i="179"/>
  <c r="D29" i="179" s="1"/>
  <c r="H3" i="160"/>
  <c r="D29" i="160"/>
  <c r="E28" i="160"/>
  <c r="D29" i="174"/>
  <c r="E27" i="174"/>
  <c r="J3" i="174"/>
  <c r="E28" i="164"/>
  <c r="D29" i="164"/>
  <c r="H3" i="164"/>
  <c r="E27" i="192"/>
  <c r="J3" i="192"/>
  <c r="D29" i="192" s="1"/>
  <c r="H3" i="146"/>
  <c r="E28" i="146"/>
  <c r="D29" i="146"/>
  <c r="E27" i="184"/>
  <c r="J3" i="184"/>
  <c r="D29" i="184" s="1"/>
  <c r="D29" i="161"/>
  <c r="H3" i="161"/>
  <c r="E28" i="161"/>
  <c r="E27" i="183"/>
  <c r="J3" i="183"/>
  <c r="D29" i="183" s="1"/>
  <c r="I3" i="179"/>
  <c r="J29" i="179"/>
  <c r="I29" i="179"/>
  <c r="J3" i="172"/>
  <c r="D29" i="172"/>
  <c r="J3" i="185"/>
  <c r="D29" i="185" s="1"/>
  <c r="E27" i="185"/>
  <c r="I3" i="167"/>
  <c r="D29" i="167"/>
  <c r="E27" i="167"/>
  <c r="I3" i="180"/>
  <c r="J29" i="180"/>
  <c r="I29" i="180"/>
  <c r="E28" i="148"/>
  <c r="D29" i="148"/>
  <c r="H3" i="148"/>
  <c r="E28" i="162"/>
  <c r="D29" i="162"/>
  <c r="H3" i="162"/>
  <c r="E28" i="144"/>
  <c r="J73" i="144"/>
  <c r="K72" i="144"/>
  <c r="K73" i="144" s="1"/>
  <c r="K71" i="144"/>
  <c r="K70" i="144"/>
  <c r="K69" i="144"/>
  <c r="J55" i="144"/>
  <c r="K55" i="144" s="1"/>
  <c r="B49" i="144"/>
  <c r="F48" i="144"/>
  <c r="E48" i="144"/>
  <c r="F47" i="144"/>
  <c r="E47" i="144"/>
  <c r="F46" i="144"/>
  <c r="E46" i="144"/>
  <c r="F45" i="144"/>
  <c r="E45" i="144"/>
  <c r="F44" i="144"/>
  <c r="E44" i="144"/>
  <c r="F43" i="144"/>
  <c r="E43" i="144"/>
  <c r="E40" i="144"/>
  <c r="I39" i="144"/>
  <c r="I38" i="144"/>
  <c r="I36" i="144"/>
  <c r="D36" i="144"/>
  <c r="C36" i="144"/>
  <c r="E36" i="144" s="1"/>
  <c r="I35" i="144"/>
  <c r="E35" i="144"/>
  <c r="E34" i="144"/>
  <c r="J33" i="144"/>
  <c r="I33" i="144"/>
  <c r="E33" i="144"/>
  <c r="D30" i="144"/>
  <c r="G26" i="144"/>
  <c r="H25" i="144"/>
  <c r="H26" i="144" s="1"/>
  <c r="I24" i="144"/>
  <c r="I23" i="144"/>
  <c r="E23" i="144"/>
  <c r="I22" i="144"/>
  <c r="E22" i="144"/>
  <c r="I21" i="144"/>
  <c r="E21" i="144"/>
  <c r="I20" i="144"/>
  <c r="E20" i="144"/>
  <c r="I19" i="144"/>
  <c r="E19" i="144"/>
  <c r="I18" i="144"/>
  <c r="E18" i="144"/>
  <c r="I17" i="144"/>
  <c r="E17" i="144"/>
  <c r="I16" i="144"/>
  <c r="E16" i="144"/>
  <c r="I15" i="144"/>
  <c r="E15" i="144"/>
  <c r="I14" i="144"/>
  <c r="E14" i="144"/>
  <c r="E13" i="144"/>
  <c r="I12" i="144"/>
  <c r="H12" i="144"/>
  <c r="E12" i="144"/>
  <c r="J11" i="144"/>
  <c r="E11" i="144"/>
  <c r="J10" i="144"/>
  <c r="E10" i="144"/>
  <c r="J9" i="144"/>
  <c r="E9" i="144"/>
  <c r="J8" i="144"/>
  <c r="E8" i="144"/>
  <c r="J7" i="144"/>
  <c r="E7" i="144"/>
  <c r="J6" i="144"/>
  <c r="E6" i="144"/>
  <c r="J5" i="144"/>
  <c r="E5" i="144"/>
  <c r="E4" i="144"/>
  <c r="G3" i="144"/>
  <c r="F3" i="144"/>
  <c r="E3" i="144"/>
  <c r="D23" i="144"/>
  <c r="D4" i="144" s="1"/>
  <c r="B1" i="144"/>
  <c r="D30" i="149" l="1"/>
  <c r="E29" i="149"/>
  <c r="D30" i="178"/>
  <c r="E29" i="178"/>
  <c r="E29" i="153"/>
  <c r="E30" i="153" s="1"/>
  <c r="D30" i="153"/>
  <c r="E29" i="166"/>
  <c r="E30" i="166" s="1"/>
  <c r="D30" i="166"/>
  <c r="E30" i="192"/>
  <c r="E30" i="187"/>
  <c r="E31" i="187" s="1"/>
  <c r="D31" i="187"/>
  <c r="E29" i="182"/>
  <c r="D30" i="182"/>
  <c r="D30" i="158"/>
  <c r="E29" i="158"/>
  <c r="E30" i="158" s="1"/>
  <c r="D30" i="171"/>
  <c r="E29" i="171"/>
  <c r="E30" i="171" s="1"/>
  <c r="D30" i="165"/>
  <c r="E29" i="165"/>
  <c r="E30" i="165" s="1"/>
  <c r="D30" i="169"/>
  <c r="E29" i="169"/>
  <c r="E30" i="169" s="1"/>
  <c r="E30" i="161"/>
  <c r="E30" i="182"/>
  <c r="E30" i="156"/>
  <c r="D30" i="164"/>
  <c r="E29" i="164"/>
  <c r="E30" i="164" s="1"/>
  <c r="E30" i="151"/>
  <c r="E29" i="160"/>
  <c r="E30" i="160" s="1"/>
  <c r="D30" i="160"/>
  <c r="D30" i="189"/>
  <c r="E29" i="189"/>
  <c r="E30" i="189" s="1"/>
  <c r="D30" i="186"/>
  <c r="E29" i="186"/>
  <c r="D30" i="176"/>
  <c r="E29" i="176"/>
  <c r="E30" i="176" s="1"/>
  <c r="E29" i="177"/>
  <c r="E30" i="177" s="1"/>
  <c r="D30" i="177"/>
  <c r="E29" i="148"/>
  <c r="D30" i="148"/>
  <c r="E30" i="178"/>
  <c r="D30" i="174"/>
  <c r="E29" i="174"/>
  <c r="E30" i="174" s="1"/>
  <c r="E30" i="168"/>
  <c r="D30" i="146"/>
  <c r="E29" i="146"/>
  <c r="D30" i="179"/>
  <c r="E29" i="179"/>
  <c r="E30" i="179" s="1"/>
  <c r="D30" i="188"/>
  <c r="E29" i="188"/>
  <c r="E30" i="188" s="1"/>
  <c r="D30" i="170"/>
  <c r="E29" i="170"/>
  <c r="E30" i="170" s="1"/>
  <c r="E30" i="186"/>
  <c r="E30" i="148"/>
  <c r="E29" i="157"/>
  <c r="E30" i="157" s="1"/>
  <c r="D30" i="157"/>
  <c r="D30" i="151"/>
  <c r="E29" i="151"/>
  <c r="E29" i="184"/>
  <c r="E30" i="184" s="1"/>
  <c r="D30" i="184"/>
  <c r="E29" i="181"/>
  <c r="E30" i="181" s="1"/>
  <c r="D30" i="181"/>
  <c r="E29" i="185"/>
  <c r="E30" i="185" s="1"/>
  <c r="D30" i="185"/>
  <c r="E30" i="146"/>
  <c r="E29" i="163"/>
  <c r="E30" i="163" s="1"/>
  <c r="D30" i="163"/>
  <c r="E30" i="173"/>
  <c r="D30" i="156"/>
  <c r="E29" i="156"/>
  <c r="E30" i="149"/>
  <c r="D30" i="154"/>
  <c r="E29" i="154"/>
  <c r="E30" i="154" s="1"/>
  <c r="D30" i="172"/>
  <c r="E29" i="172"/>
  <c r="E30" i="172" s="1"/>
  <c r="E29" i="159"/>
  <c r="E30" i="159" s="1"/>
  <c r="D30" i="159"/>
  <c r="E30" i="180"/>
  <c r="E30" i="150"/>
  <c r="E29" i="175"/>
  <c r="E30" i="175" s="1"/>
  <c r="D30" i="175"/>
  <c r="E29" i="173"/>
  <c r="D30" i="173"/>
  <c r="E29" i="183"/>
  <c r="E30" i="183" s="1"/>
  <c r="D30" i="183"/>
  <c r="E29" i="155"/>
  <c r="E30" i="155" s="1"/>
  <c r="D30" i="155"/>
  <c r="D30" i="161"/>
  <c r="E29" i="161"/>
  <c r="D30" i="167"/>
  <c r="E29" i="167"/>
  <c r="E30" i="167" s="1"/>
  <c r="E29" i="168"/>
  <c r="D30" i="168"/>
  <c r="E29" i="162"/>
  <c r="E30" i="162" s="1"/>
  <c r="D30" i="162"/>
  <c r="E29" i="192"/>
  <c r="D30" i="192"/>
  <c r="E29" i="180"/>
  <c r="D30" i="180"/>
  <c r="E29" i="150"/>
  <c r="D30" i="150"/>
  <c r="E29" i="191"/>
  <c r="E30" i="191" s="1"/>
  <c r="D30" i="191"/>
  <c r="D30" i="190"/>
  <c r="E29" i="190"/>
  <c r="E30" i="190" s="1"/>
  <c r="D30" i="152"/>
  <c r="E29" i="152"/>
  <c r="E30" i="152" s="1"/>
  <c r="J35" i="144"/>
  <c r="J12" i="144"/>
  <c r="E29" i="144"/>
  <c r="E30" i="144" s="1"/>
  <c r="J26" i="144"/>
  <c r="I26" i="144"/>
  <c r="I25" i="144"/>
  <c r="J25" i="144"/>
  <c r="K55" i="143" l="1"/>
  <c r="J55" i="143"/>
  <c r="J73" i="143" l="1"/>
  <c r="K71" i="143"/>
  <c r="K72" i="143"/>
  <c r="K73" i="143" s="1"/>
  <c r="K69" i="143"/>
  <c r="K70" i="143"/>
  <c r="E30" i="143" l="1"/>
  <c r="D30" i="143"/>
  <c r="D29" i="143"/>
  <c r="J25" i="143"/>
  <c r="H25" i="143"/>
  <c r="H26" i="143" s="1"/>
  <c r="E28" i="143"/>
  <c r="B49" i="143"/>
  <c r="F48" i="143"/>
  <c r="E48" i="143"/>
  <c r="F47" i="143"/>
  <c r="E47" i="143"/>
  <c r="F46" i="143"/>
  <c r="E46" i="143"/>
  <c r="F45" i="143"/>
  <c r="E45" i="143"/>
  <c r="F44" i="143"/>
  <c r="E44" i="143"/>
  <c r="F43" i="143"/>
  <c r="E43" i="143"/>
  <c r="E40" i="143"/>
  <c r="I39" i="143"/>
  <c r="I38" i="143"/>
  <c r="I36" i="143"/>
  <c r="D36" i="143"/>
  <c r="C36" i="143"/>
  <c r="E36" i="143" s="1"/>
  <c r="I35" i="143"/>
  <c r="J35" i="143" s="1"/>
  <c r="E35" i="143"/>
  <c r="E34" i="143"/>
  <c r="J33" i="143"/>
  <c r="I33" i="143"/>
  <c r="E33" i="143"/>
  <c r="G26" i="143"/>
  <c r="I24" i="143"/>
  <c r="I23" i="143"/>
  <c r="E23" i="143"/>
  <c r="I22" i="143"/>
  <c r="E22" i="143"/>
  <c r="I21" i="143"/>
  <c r="E21" i="143"/>
  <c r="I20" i="143"/>
  <c r="E20" i="143"/>
  <c r="I19" i="143"/>
  <c r="E19" i="143"/>
  <c r="I18" i="143"/>
  <c r="E18" i="143"/>
  <c r="I17" i="143"/>
  <c r="E17" i="143"/>
  <c r="I16" i="143"/>
  <c r="E16" i="143"/>
  <c r="I15" i="143"/>
  <c r="E15" i="143"/>
  <c r="I14" i="143"/>
  <c r="E14" i="143"/>
  <c r="E13" i="143"/>
  <c r="I12" i="143"/>
  <c r="J12" i="143" s="1"/>
  <c r="H12" i="143"/>
  <c r="E12" i="143"/>
  <c r="J11" i="143"/>
  <c r="E11" i="143"/>
  <c r="J10" i="143"/>
  <c r="E10" i="143"/>
  <c r="J9" i="143"/>
  <c r="E9" i="143"/>
  <c r="J8" i="143"/>
  <c r="E8" i="143"/>
  <c r="J7" i="143"/>
  <c r="E7" i="143"/>
  <c r="J6" i="143"/>
  <c r="E6" i="143"/>
  <c r="J5" i="143"/>
  <c r="E5" i="143"/>
  <c r="E4" i="143"/>
  <c r="G3" i="143"/>
  <c r="F3" i="143"/>
  <c r="E3" i="143"/>
  <c r="D23" i="143"/>
  <c r="D4" i="143"/>
  <c r="E29" i="143" l="1"/>
  <c r="J26" i="143"/>
  <c r="I26" i="143"/>
  <c r="I25" i="143"/>
  <c r="B49" i="142" l="1"/>
  <c r="F48" i="142"/>
  <c r="E48" i="142"/>
  <c r="F47" i="142"/>
  <c r="E47" i="142"/>
  <c r="F46" i="142"/>
  <c r="E46" i="142"/>
  <c r="F45" i="142"/>
  <c r="E45" i="142"/>
  <c r="F44" i="142"/>
  <c r="E44" i="142"/>
  <c r="F43" i="142"/>
  <c r="E43" i="142"/>
  <c r="E40" i="142"/>
  <c r="I39" i="142"/>
  <c r="I38" i="142"/>
  <c r="I36" i="142"/>
  <c r="D36" i="142"/>
  <c r="C36" i="142"/>
  <c r="E36" i="142" s="1"/>
  <c r="I35" i="142"/>
  <c r="J35" i="142" s="1"/>
  <c r="E35" i="142"/>
  <c r="E34" i="142"/>
  <c r="J33" i="142"/>
  <c r="I33" i="142"/>
  <c r="E33" i="142"/>
  <c r="D29" i="142"/>
  <c r="D30" i="142" s="1"/>
  <c r="E28" i="142"/>
  <c r="G26" i="142"/>
  <c r="H25" i="142"/>
  <c r="H26" i="142" s="1"/>
  <c r="D25" i="142"/>
  <c r="D4" i="142" s="1"/>
  <c r="I24" i="142"/>
  <c r="I23" i="142"/>
  <c r="I22" i="142"/>
  <c r="I21" i="142"/>
  <c r="I20" i="142"/>
  <c r="I19" i="142"/>
  <c r="I18" i="142"/>
  <c r="I17" i="142"/>
  <c r="I16" i="142"/>
  <c r="I15" i="142"/>
  <c r="I14" i="142"/>
  <c r="J12" i="142"/>
  <c r="I12" i="142"/>
  <c r="H12" i="142"/>
  <c r="J11" i="142"/>
  <c r="J10" i="142"/>
  <c r="J9" i="142"/>
  <c r="J8" i="142"/>
  <c r="J7" i="142"/>
  <c r="J6" i="142"/>
  <c r="J5" i="142"/>
  <c r="G3" i="142"/>
  <c r="F3" i="142"/>
  <c r="E3" i="142"/>
  <c r="E9" i="142" l="1"/>
  <c r="E5" i="142"/>
  <c r="E24" i="142"/>
  <c r="E20" i="142"/>
  <c r="E16" i="142"/>
  <c r="E4" i="142"/>
  <c r="E12" i="142"/>
  <c r="E8" i="142"/>
  <c r="E7" i="142"/>
  <c r="E13" i="142"/>
  <c r="E23" i="142"/>
  <c r="E19" i="142"/>
  <c r="E15" i="142"/>
  <c r="E22" i="142"/>
  <c r="E14" i="142"/>
  <c r="E10" i="142"/>
  <c r="E6" i="142"/>
  <c r="E17" i="142"/>
  <c r="E11" i="142"/>
  <c r="E21" i="142"/>
  <c r="E18" i="142"/>
  <c r="E30" i="142"/>
  <c r="J26" i="142"/>
  <c r="I26" i="142"/>
  <c r="E25" i="142"/>
  <c r="E29" i="142"/>
  <c r="I25" i="142"/>
  <c r="J63" i="141"/>
  <c r="K61" i="141"/>
  <c r="J55" i="141"/>
  <c r="K51" i="141"/>
  <c r="K50" i="141"/>
  <c r="K49" i="141"/>
  <c r="K48" i="141"/>
  <c r="K47" i="141"/>
  <c r="K46" i="141"/>
  <c r="I28" i="141" l="1"/>
  <c r="H28" i="141"/>
  <c r="G26" i="141"/>
  <c r="J26" i="141" s="1"/>
  <c r="H26" i="141"/>
  <c r="H25" i="141"/>
  <c r="E29" i="141"/>
  <c r="E30" i="141"/>
  <c r="D30" i="141"/>
  <c r="D29" i="141"/>
  <c r="E28" i="141"/>
  <c r="J73" i="141"/>
  <c r="K73" i="141" s="1"/>
  <c r="K72" i="141"/>
  <c r="K71" i="141"/>
  <c r="K70" i="141"/>
  <c r="K69" i="141"/>
  <c r="K68" i="141"/>
  <c r="K65" i="141"/>
  <c r="K63" i="141"/>
  <c r="K60" i="141"/>
  <c r="K59" i="141"/>
  <c r="K58" i="141"/>
  <c r="K57" i="141"/>
  <c r="K55" i="141"/>
  <c r="B49" i="141"/>
  <c r="F48" i="141"/>
  <c r="E48" i="141"/>
  <c r="F47" i="141"/>
  <c r="E47" i="141"/>
  <c r="F46" i="141"/>
  <c r="E46" i="141"/>
  <c r="F45" i="141"/>
  <c r="E45" i="141"/>
  <c r="F44" i="141"/>
  <c r="E44" i="141"/>
  <c r="F43" i="141"/>
  <c r="E43" i="141"/>
  <c r="E40" i="141"/>
  <c r="I39" i="141"/>
  <c r="I38" i="141"/>
  <c r="H37" i="141"/>
  <c r="I36" i="141"/>
  <c r="D36" i="141"/>
  <c r="C36" i="141"/>
  <c r="E36" i="141" s="1"/>
  <c r="I35" i="141"/>
  <c r="J35" i="141" s="1"/>
  <c r="E35" i="141"/>
  <c r="E34" i="141"/>
  <c r="J33" i="141"/>
  <c r="I33" i="141"/>
  <c r="E33" i="141"/>
  <c r="H29" i="141"/>
  <c r="I25" i="141"/>
  <c r="I24" i="141"/>
  <c r="I23" i="141"/>
  <c r="I22" i="141"/>
  <c r="E22" i="141"/>
  <c r="I21" i="141"/>
  <c r="E21" i="141"/>
  <c r="I20" i="141"/>
  <c r="E20" i="141"/>
  <c r="I19" i="141"/>
  <c r="E19" i="141"/>
  <c r="I18" i="141"/>
  <c r="E18" i="141"/>
  <c r="I17" i="141"/>
  <c r="E17" i="141"/>
  <c r="I16" i="141"/>
  <c r="E16" i="141"/>
  <c r="I15" i="141"/>
  <c r="E15" i="141"/>
  <c r="I14" i="141"/>
  <c r="E14" i="141"/>
  <c r="E13" i="141"/>
  <c r="I12" i="141"/>
  <c r="H12" i="141"/>
  <c r="E12" i="141"/>
  <c r="J11" i="141"/>
  <c r="E11" i="141"/>
  <c r="J10" i="141"/>
  <c r="E10" i="141"/>
  <c r="J9" i="141"/>
  <c r="E9" i="141"/>
  <c r="J8" i="141"/>
  <c r="E8" i="141"/>
  <c r="J7" i="141"/>
  <c r="E7" i="141"/>
  <c r="J6" i="141"/>
  <c r="E6" i="141"/>
  <c r="J5" i="141"/>
  <c r="E5" i="141"/>
  <c r="E4" i="141"/>
  <c r="G3" i="141"/>
  <c r="F3" i="141"/>
  <c r="E3" i="141"/>
  <c r="D23" i="141"/>
  <c r="D4" i="141"/>
  <c r="J12" i="141" l="1"/>
  <c r="I26" i="141"/>
  <c r="H29" i="140"/>
  <c r="J26" i="140"/>
  <c r="I28" i="140"/>
  <c r="H28" i="140"/>
  <c r="H25" i="140"/>
  <c r="E30" i="140"/>
  <c r="D30" i="140"/>
  <c r="E29" i="140"/>
  <c r="D29" i="140"/>
  <c r="E28" i="140"/>
  <c r="E22" i="140"/>
  <c r="J73" i="140"/>
  <c r="K73" i="140" s="1"/>
  <c r="K72" i="140"/>
  <c r="K71" i="140"/>
  <c r="K70" i="140"/>
  <c r="K69" i="140"/>
  <c r="K68" i="140"/>
  <c r="K65" i="140"/>
  <c r="J63" i="140"/>
  <c r="K63" i="140" s="1"/>
  <c r="K62" i="140"/>
  <c r="K61" i="140"/>
  <c r="K60" i="140"/>
  <c r="K59" i="140"/>
  <c r="J57" i="140"/>
  <c r="K57" i="140" s="1"/>
  <c r="K56" i="140"/>
  <c r="K55" i="140"/>
  <c r="K54" i="140"/>
  <c r="K53" i="140"/>
  <c r="K52" i="140"/>
  <c r="K51" i="140"/>
  <c r="K50" i="140"/>
  <c r="K49" i="140"/>
  <c r="B49" i="140"/>
  <c r="K48" i="140"/>
  <c r="F48" i="140"/>
  <c r="E48" i="140"/>
  <c r="K47" i="140"/>
  <c r="F47" i="140"/>
  <c r="E47" i="140"/>
  <c r="K46" i="140"/>
  <c r="F46" i="140"/>
  <c r="E46" i="140"/>
  <c r="F45" i="140"/>
  <c r="E45" i="140"/>
  <c r="F44" i="140"/>
  <c r="E44" i="140"/>
  <c r="F43" i="140"/>
  <c r="E43" i="140"/>
  <c r="E40" i="140"/>
  <c r="I39" i="140"/>
  <c r="I38" i="140"/>
  <c r="H37" i="140"/>
  <c r="I36" i="140"/>
  <c r="D36" i="140"/>
  <c r="C36" i="140"/>
  <c r="E36" i="140" s="1"/>
  <c r="I35" i="140"/>
  <c r="E35" i="140"/>
  <c r="E34" i="140"/>
  <c r="J33" i="140"/>
  <c r="I33" i="140"/>
  <c r="E33" i="140"/>
  <c r="G26" i="140"/>
  <c r="H26" i="140"/>
  <c r="I24" i="140"/>
  <c r="I23" i="140"/>
  <c r="I22" i="140"/>
  <c r="I21" i="140"/>
  <c r="E21" i="140"/>
  <c r="I20" i="140"/>
  <c r="E20" i="140"/>
  <c r="I19" i="140"/>
  <c r="E19" i="140"/>
  <c r="I18" i="140"/>
  <c r="E18" i="140"/>
  <c r="I17" i="140"/>
  <c r="E17" i="140"/>
  <c r="I16" i="140"/>
  <c r="E16" i="140"/>
  <c r="I15" i="140"/>
  <c r="E15" i="140"/>
  <c r="I14" i="140"/>
  <c r="E14" i="140"/>
  <c r="E13" i="140"/>
  <c r="J12" i="140"/>
  <c r="I12" i="140"/>
  <c r="H12" i="140"/>
  <c r="E12" i="140"/>
  <c r="J11" i="140"/>
  <c r="E11" i="140"/>
  <c r="J10" i="140"/>
  <c r="E10" i="140"/>
  <c r="J9" i="140"/>
  <c r="E9" i="140"/>
  <c r="J8" i="140"/>
  <c r="E8" i="140"/>
  <c r="J7" i="140"/>
  <c r="E7" i="140"/>
  <c r="J6" i="140"/>
  <c r="E6" i="140"/>
  <c r="J5" i="140"/>
  <c r="E5" i="140"/>
  <c r="E4" i="140"/>
  <c r="G3" i="140"/>
  <c r="F3" i="140"/>
  <c r="E3" i="140"/>
  <c r="D22" i="140"/>
  <c r="D4" i="140" s="1"/>
  <c r="B1" i="140"/>
  <c r="J35" i="140" l="1"/>
  <c r="I26" i="140"/>
  <c r="I25" i="140"/>
  <c r="H26" i="138" l="1"/>
  <c r="H25" i="138"/>
  <c r="D29" i="138"/>
  <c r="J73" i="138"/>
  <c r="K73" i="138" s="1"/>
  <c r="K72" i="138"/>
  <c r="K71" i="138"/>
  <c r="K70" i="138"/>
  <c r="K69" i="138"/>
  <c r="K68" i="138"/>
  <c r="K65" i="138"/>
  <c r="J63" i="138"/>
  <c r="K63" i="138" s="1"/>
  <c r="K62" i="138"/>
  <c r="K61" i="138"/>
  <c r="K60" i="138"/>
  <c r="K59" i="138"/>
  <c r="J57" i="138"/>
  <c r="K57" i="138" s="1"/>
  <c r="K56" i="138"/>
  <c r="K55" i="138"/>
  <c r="K54" i="138"/>
  <c r="K53" i="138"/>
  <c r="K52" i="138"/>
  <c r="K51" i="138"/>
  <c r="K50" i="138"/>
  <c r="K49" i="138"/>
  <c r="B49" i="138"/>
  <c r="K48" i="138"/>
  <c r="F48" i="138"/>
  <c r="E48" i="138"/>
  <c r="K47" i="138"/>
  <c r="F47" i="138"/>
  <c r="E47" i="138"/>
  <c r="K46" i="138"/>
  <c r="F46" i="138"/>
  <c r="E46" i="138"/>
  <c r="F45" i="138"/>
  <c r="E45" i="138"/>
  <c r="F44" i="138"/>
  <c r="E44" i="138"/>
  <c r="F43" i="138"/>
  <c r="E43" i="138"/>
  <c r="E40" i="138"/>
  <c r="I39" i="138"/>
  <c r="I38" i="138"/>
  <c r="H37" i="138"/>
  <c r="I36" i="138"/>
  <c r="D36" i="138"/>
  <c r="C36" i="138"/>
  <c r="E36" i="138" s="1"/>
  <c r="I35" i="138"/>
  <c r="E35" i="138"/>
  <c r="E34" i="138"/>
  <c r="J33" i="138"/>
  <c r="H33" i="138"/>
  <c r="I33" i="138" s="1"/>
  <c r="E33" i="138"/>
  <c r="D30" i="138"/>
  <c r="E28" i="138"/>
  <c r="G26" i="138"/>
  <c r="I25" i="138"/>
  <c r="E25" i="138"/>
  <c r="I24" i="138"/>
  <c r="E24" i="138"/>
  <c r="I23" i="138"/>
  <c r="E23" i="138"/>
  <c r="I22" i="138"/>
  <c r="E22" i="138"/>
  <c r="I21" i="138"/>
  <c r="E21" i="138"/>
  <c r="I20" i="138"/>
  <c r="E20" i="138"/>
  <c r="I19" i="138"/>
  <c r="E19" i="138"/>
  <c r="I18" i="138"/>
  <c r="E18" i="138"/>
  <c r="I17" i="138"/>
  <c r="E17" i="138"/>
  <c r="I16" i="138"/>
  <c r="E16" i="138"/>
  <c r="I15" i="138"/>
  <c r="E15" i="138"/>
  <c r="I14" i="138"/>
  <c r="E14" i="138"/>
  <c r="E13" i="138"/>
  <c r="I12" i="138"/>
  <c r="H12" i="138"/>
  <c r="J12" i="138" s="1"/>
  <c r="E12" i="138"/>
  <c r="J11" i="138"/>
  <c r="E11" i="138"/>
  <c r="J10" i="138"/>
  <c r="E10" i="138"/>
  <c r="J9" i="138"/>
  <c r="E9" i="138"/>
  <c r="J8" i="138"/>
  <c r="E8" i="138"/>
  <c r="J7" i="138"/>
  <c r="E7" i="138"/>
  <c r="J6" i="138"/>
  <c r="E6" i="138"/>
  <c r="J5" i="138"/>
  <c r="E5" i="138"/>
  <c r="E4" i="138"/>
  <c r="G3" i="138"/>
  <c r="F3" i="138"/>
  <c r="E3" i="138"/>
  <c r="D26" i="138"/>
  <c r="D4" i="138" s="1"/>
  <c r="B1" i="138"/>
  <c r="J35" i="138" l="1"/>
  <c r="E29" i="138"/>
  <c r="E30" i="138" s="1"/>
  <c r="J26" i="138"/>
  <c r="I26" i="138"/>
  <c r="K56" i="137" l="1"/>
  <c r="J63" i="137"/>
  <c r="K62" i="137"/>
  <c r="D29" i="137" l="1"/>
  <c r="E29" i="137" s="1"/>
  <c r="E30" i="137" s="1"/>
  <c r="J73" i="137"/>
  <c r="K73" i="137" s="1"/>
  <c r="K72" i="137"/>
  <c r="K71" i="137"/>
  <c r="K70" i="137"/>
  <c r="K69" i="137"/>
  <c r="K68" i="137"/>
  <c r="K65" i="137"/>
  <c r="K63" i="137"/>
  <c r="K61" i="137"/>
  <c r="K60" i="137"/>
  <c r="K59" i="137"/>
  <c r="J57" i="137"/>
  <c r="K57" i="137" s="1"/>
  <c r="K55" i="137"/>
  <c r="K54" i="137"/>
  <c r="K53" i="137"/>
  <c r="K52" i="137"/>
  <c r="K51" i="137"/>
  <c r="K50" i="137"/>
  <c r="K49" i="137"/>
  <c r="B49" i="137"/>
  <c r="K48" i="137"/>
  <c r="F48" i="137"/>
  <c r="E48" i="137"/>
  <c r="K47" i="137"/>
  <c r="F47" i="137"/>
  <c r="E47" i="137"/>
  <c r="K46" i="137"/>
  <c r="F46" i="137"/>
  <c r="E46" i="137"/>
  <c r="F45" i="137"/>
  <c r="E45" i="137"/>
  <c r="F44" i="137"/>
  <c r="E44" i="137"/>
  <c r="F43" i="137"/>
  <c r="E43" i="137"/>
  <c r="E40" i="137"/>
  <c r="I39" i="137"/>
  <c r="I38" i="137"/>
  <c r="H37" i="137"/>
  <c r="I36" i="137"/>
  <c r="D36" i="137"/>
  <c r="C36" i="137"/>
  <c r="E36" i="137" s="1"/>
  <c r="I35" i="137"/>
  <c r="E35" i="137"/>
  <c r="E34" i="137"/>
  <c r="J33" i="137"/>
  <c r="H33" i="137"/>
  <c r="I33" i="137" s="1"/>
  <c r="E33" i="137"/>
  <c r="D30" i="137"/>
  <c r="E28" i="137"/>
  <c r="G26" i="137"/>
  <c r="H25" i="137"/>
  <c r="H26" i="137" s="1"/>
  <c r="E25" i="137"/>
  <c r="I24" i="137"/>
  <c r="E24" i="137"/>
  <c r="I23" i="137"/>
  <c r="E23" i="137"/>
  <c r="I22" i="137"/>
  <c r="E22" i="137"/>
  <c r="I21" i="137"/>
  <c r="E21" i="137"/>
  <c r="I20" i="137"/>
  <c r="E20" i="137"/>
  <c r="I19" i="137"/>
  <c r="E19" i="137"/>
  <c r="I18" i="137"/>
  <c r="E18" i="137"/>
  <c r="I17" i="137"/>
  <c r="E17" i="137"/>
  <c r="I16" i="137"/>
  <c r="E16" i="137"/>
  <c r="I15" i="137"/>
  <c r="E15" i="137"/>
  <c r="I14" i="137"/>
  <c r="E14" i="137"/>
  <c r="E13" i="137"/>
  <c r="I12" i="137"/>
  <c r="J12" i="137" s="1"/>
  <c r="H12" i="137"/>
  <c r="E12" i="137"/>
  <c r="J11" i="137"/>
  <c r="E11" i="137"/>
  <c r="J10" i="137"/>
  <c r="E10" i="137"/>
  <c r="J9" i="137"/>
  <c r="E9" i="137"/>
  <c r="J8" i="137"/>
  <c r="E8" i="137"/>
  <c r="J7" i="137"/>
  <c r="E7" i="137"/>
  <c r="J6" i="137"/>
  <c r="E6" i="137"/>
  <c r="J5" i="137"/>
  <c r="E5" i="137"/>
  <c r="E4" i="137"/>
  <c r="G3" i="137"/>
  <c r="F3" i="137"/>
  <c r="E3" i="137"/>
  <c r="D26" i="137"/>
  <c r="D4" i="137" s="1"/>
  <c r="B1" i="137"/>
  <c r="J35" i="137" l="1"/>
  <c r="J26" i="137"/>
  <c r="I26" i="137"/>
  <c r="I25" i="137"/>
  <c r="F48" i="136" l="1"/>
  <c r="F47" i="136"/>
  <c r="F46" i="136"/>
  <c r="F45" i="136"/>
  <c r="F44" i="136"/>
  <c r="H25" i="136" l="1"/>
  <c r="D29" i="136"/>
  <c r="D30" i="136" s="1"/>
  <c r="J73" i="136"/>
  <c r="K73" i="136" s="1"/>
  <c r="K72" i="136"/>
  <c r="K71" i="136"/>
  <c r="K70" i="136"/>
  <c r="K69" i="136"/>
  <c r="K68" i="136"/>
  <c r="K65" i="136"/>
  <c r="J62" i="136"/>
  <c r="K62" i="136" s="1"/>
  <c r="K61" i="136"/>
  <c r="K60" i="136"/>
  <c r="K59" i="136"/>
  <c r="J56" i="136"/>
  <c r="K56" i="136" s="1"/>
  <c r="K55" i="136"/>
  <c r="K54" i="136"/>
  <c r="K53" i="136"/>
  <c r="K52" i="136"/>
  <c r="K51" i="136"/>
  <c r="K50" i="136"/>
  <c r="K49" i="136"/>
  <c r="B49" i="136"/>
  <c r="K48" i="136"/>
  <c r="E48" i="136"/>
  <c r="K47" i="136"/>
  <c r="E47" i="136"/>
  <c r="K46" i="136"/>
  <c r="E46" i="136"/>
  <c r="E45" i="136"/>
  <c r="E44" i="136"/>
  <c r="F43" i="136"/>
  <c r="E43" i="136"/>
  <c r="E40" i="136"/>
  <c r="I39" i="136"/>
  <c r="I38" i="136"/>
  <c r="H37" i="136"/>
  <c r="I36" i="136"/>
  <c r="D36" i="136"/>
  <c r="C36" i="136"/>
  <c r="E36" i="136" s="1"/>
  <c r="I35" i="136"/>
  <c r="E35" i="136"/>
  <c r="E34" i="136"/>
  <c r="J33" i="136"/>
  <c r="H33" i="136"/>
  <c r="I33" i="136" s="1"/>
  <c r="E33" i="136"/>
  <c r="E28" i="136"/>
  <c r="G26" i="136"/>
  <c r="H26" i="136"/>
  <c r="E25" i="136"/>
  <c r="I24" i="136"/>
  <c r="E24" i="136"/>
  <c r="I23" i="136"/>
  <c r="E23" i="136"/>
  <c r="I22" i="136"/>
  <c r="E22" i="136"/>
  <c r="I21" i="136"/>
  <c r="E21" i="136"/>
  <c r="I20" i="136"/>
  <c r="E20" i="136"/>
  <c r="I19" i="136"/>
  <c r="E19" i="136"/>
  <c r="I18" i="136"/>
  <c r="E18" i="136"/>
  <c r="I17" i="136"/>
  <c r="E17" i="136"/>
  <c r="I16" i="136"/>
  <c r="E16" i="136"/>
  <c r="I15" i="136"/>
  <c r="E15" i="136"/>
  <c r="I14" i="136"/>
  <c r="E14" i="136"/>
  <c r="E13" i="136"/>
  <c r="I12" i="136"/>
  <c r="J12" i="136" s="1"/>
  <c r="H12" i="136"/>
  <c r="E12" i="136"/>
  <c r="J11" i="136"/>
  <c r="E11" i="136"/>
  <c r="J10" i="136"/>
  <c r="E10" i="136"/>
  <c r="J9" i="136"/>
  <c r="E9" i="136"/>
  <c r="J8" i="136"/>
  <c r="E8" i="136"/>
  <c r="J7" i="136"/>
  <c r="E7" i="136"/>
  <c r="J6" i="136"/>
  <c r="E6" i="136"/>
  <c r="J5" i="136"/>
  <c r="E5" i="136"/>
  <c r="E4" i="136"/>
  <c r="G3" i="136"/>
  <c r="F3" i="136"/>
  <c r="E3" i="136"/>
  <c r="D26" i="136"/>
  <c r="D4" i="136" s="1"/>
  <c r="B1" i="136"/>
  <c r="J35" i="136" l="1"/>
  <c r="E29" i="136"/>
  <c r="E30" i="136" s="1"/>
  <c r="J26" i="136"/>
  <c r="I26" i="136"/>
  <c r="I25" i="136"/>
  <c r="H35" i="135"/>
  <c r="H33" i="135"/>
  <c r="D29" i="135" l="1"/>
  <c r="K73" i="135"/>
  <c r="J73" i="135"/>
  <c r="K72" i="135"/>
  <c r="K71" i="135"/>
  <c r="K70" i="135"/>
  <c r="K69" i="135"/>
  <c r="K68" i="135"/>
  <c r="K65" i="135"/>
  <c r="K62" i="135"/>
  <c r="J62" i="135"/>
  <c r="K61" i="135"/>
  <c r="K60" i="135"/>
  <c r="K59" i="135"/>
  <c r="J56" i="135"/>
  <c r="K56" i="135" s="1"/>
  <c r="K55" i="135"/>
  <c r="K54" i="135"/>
  <c r="K53" i="135"/>
  <c r="K52" i="135"/>
  <c r="K51" i="135"/>
  <c r="K50" i="135"/>
  <c r="K49" i="135"/>
  <c r="B49" i="135"/>
  <c r="K48" i="135"/>
  <c r="F48" i="135"/>
  <c r="E48" i="135"/>
  <c r="K47" i="135"/>
  <c r="F47" i="135"/>
  <c r="E47" i="135"/>
  <c r="K46" i="135"/>
  <c r="F46" i="135"/>
  <c r="E46" i="135"/>
  <c r="F45" i="135"/>
  <c r="E45" i="135"/>
  <c r="F44" i="135"/>
  <c r="E44" i="135"/>
  <c r="F43" i="135"/>
  <c r="E43" i="135"/>
  <c r="E40" i="135"/>
  <c r="I39" i="135"/>
  <c r="I38" i="135"/>
  <c r="H37" i="135"/>
  <c r="I36" i="135"/>
  <c r="D36" i="135"/>
  <c r="C36" i="135"/>
  <c r="E36" i="135" s="1"/>
  <c r="I35" i="135"/>
  <c r="E35" i="135"/>
  <c r="E34" i="135"/>
  <c r="J33" i="135"/>
  <c r="I33" i="135"/>
  <c r="E33" i="135"/>
  <c r="D30" i="135"/>
  <c r="E29" i="135"/>
  <c r="E30" i="135" s="1"/>
  <c r="E28" i="135"/>
  <c r="G26" i="135"/>
  <c r="H25" i="135"/>
  <c r="H26" i="135" s="1"/>
  <c r="E25" i="135"/>
  <c r="I24" i="135"/>
  <c r="E24" i="135"/>
  <c r="I23" i="135"/>
  <c r="E23" i="135"/>
  <c r="I22" i="135"/>
  <c r="E22" i="135"/>
  <c r="I21" i="135"/>
  <c r="E21" i="135"/>
  <c r="I20" i="135"/>
  <c r="E20" i="135"/>
  <c r="I19" i="135"/>
  <c r="E19" i="135"/>
  <c r="I18" i="135"/>
  <c r="E18" i="135"/>
  <c r="I17" i="135"/>
  <c r="E17" i="135"/>
  <c r="I16" i="135"/>
  <c r="E16" i="135"/>
  <c r="I15" i="135"/>
  <c r="E15" i="135"/>
  <c r="I14" i="135"/>
  <c r="E14" i="135"/>
  <c r="E13" i="135"/>
  <c r="I12" i="135"/>
  <c r="J12" i="135" s="1"/>
  <c r="H12" i="135"/>
  <c r="E12" i="135"/>
  <c r="J11" i="135"/>
  <c r="E11" i="135"/>
  <c r="J10" i="135"/>
  <c r="E10" i="135"/>
  <c r="J9" i="135"/>
  <c r="E9" i="135"/>
  <c r="J8" i="135"/>
  <c r="E8" i="135"/>
  <c r="J7" i="135"/>
  <c r="E7" i="135"/>
  <c r="J6" i="135"/>
  <c r="E6" i="135"/>
  <c r="J5" i="135"/>
  <c r="E5" i="135"/>
  <c r="E4" i="135"/>
  <c r="G3" i="135"/>
  <c r="F3" i="135"/>
  <c r="E3" i="135"/>
  <c r="D26" i="135"/>
  <c r="D4" i="135" s="1"/>
  <c r="B1" i="135"/>
  <c r="J35" i="135" l="1"/>
  <c r="J26" i="135"/>
  <c r="I26" i="135"/>
  <c r="I25" i="135"/>
  <c r="D29" i="134" l="1"/>
  <c r="J56" i="134"/>
  <c r="K55" i="134"/>
  <c r="J73" i="134"/>
  <c r="K72" i="134"/>
  <c r="J62" i="134"/>
  <c r="K61" i="134"/>
  <c r="K73" i="134" l="1"/>
  <c r="K71" i="134"/>
  <c r="K70" i="134"/>
  <c r="K69" i="134"/>
  <c r="K68" i="134"/>
  <c r="K65" i="134"/>
  <c r="K62" i="134"/>
  <c r="K60" i="134"/>
  <c r="K59" i="134"/>
  <c r="K56" i="134"/>
  <c r="K54" i="134"/>
  <c r="K53" i="134"/>
  <c r="K52" i="134"/>
  <c r="K51" i="134"/>
  <c r="K50" i="134"/>
  <c r="K49" i="134"/>
  <c r="B49" i="134"/>
  <c r="K48" i="134"/>
  <c r="F48" i="134"/>
  <c r="E48" i="134"/>
  <c r="K47" i="134"/>
  <c r="F47" i="134"/>
  <c r="E47" i="134"/>
  <c r="K46" i="134"/>
  <c r="F46" i="134"/>
  <c r="E46" i="134"/>
  <c r="F45" i="134"/>
  <c r="E45" i="134"/>
  <c r="F44" i="134"/>
  <c r="E44" i="134"/>
  <c r="F43" i="134"/>
  <c r="E43" i="134"/>
  <c r="E40" i="134"/>
  <c r="I39" i="134"/>
  <c r="I38" i="134"/>
  <c r="H37" i="134"/>
  <c r="I36" i="134"/>
  <c r="D36" i="134"/>
  <c r="C36" i="134"/>
  <c r="E36" i="134" s="1"/>
  <c r="I35" i="134"/>
  <c r="E35" i="134"/>
  <c r="E34" i="134"/>
  <c r="J33" i="134"/>
  <c r="I33" i="134"/>
  <c r="E33" i="134"/>
  <c r="D30" i="134"/>
  <c r="H25" i="134"/>
  <c r="E28" i="134"/>
  <c r="G26" i="134"/>
  <c r="H26" i="134"/>
  <c r="E25" i="134"/>
  <c r="I24" i="134"/>
  <c r="E24" i="134"/>
  <c r="I23" i="134"/>
  <c r="E23" i="134"/>
  <c r="I22" i="134"/>
  <c r="E22" i="134"/>
  <c r="I21" i="134"/>
  <c r="E21" i="134"/>
  <c r="I20" i="134"/>
  <c r="E20" i="134"/>
  <c r="I19" i="134"/>
  <c r="E19" i="134"/>
  <c r="I18" i="134"/>
  <c r="E18" i="134"/>
  <c r="I17" i="134"/>
  <c r="E17" i="134"/>
  <c r="I16" i="134"/>
  <c r="E16" i="134"/>
  <c r="I15" i="134"/>
  <c r="E15" i="134"/>
  <c r="I14" i="134"/>
  <c r="E14" i="134"/>
  <c r="E13" i="134"/>
  <c r="I12" i="134"/>
  <c r="J12" i="134" s="1"/>
  <c r="H12" i="134"/>
  <c r="E12" i="134"/>
  <c r="J11" i="134"/>
  <c r="E11" i="134"/>
  <c r="J10" i="134"/>
  <c r="E10" i="134"/>
  <c r="J9" i="134"/>
  <c r="E9" i="134"/>
  <c r="J8" i="134"/>
  <c r="E8" i="134"/>
  <c r="J7" i="134"/>
  <c r="E7" i="134"/>
  <c r="J6" i="134"/>
  <c r="E6" i="134"/>
  <c r="J5" i="134"/>
  <c r="E5" i="134"/>
  <c r="E4" i="134"/>
  <c r="G3" i="134"/>
  <c r="F3" i="134"/>
  <c r="E3" i="134"/>
  <c r="D26" i="134"/>
  <c r="D4" i="134" s="1"/>
  <c r="J35" i="134" l="1"/>
  <c r="E29" i="134"/>
  <c r="E30" i="134" s="1"/>
  <c r="J26" i="134"/>
  <c r="I26" i="134"/>
  <c r="I25" i="134"/>
  <c r="D29" i="133" l="1"/>
  <c r="E30" i="133" l="1"/>
  <c r="D30" i="133"/>
  <c r="E29" i="133"/>
  <c r="E28" i="133"/>
  <c r="K71" i="133"/>
  <c r="J71" i="133"/>
  <c r="K69" i="133"/>
  <c r="K68" i="133"/>
  <c r="K67" i="133"/>
  <c r="K66" i="133"/>
  <c r="K63" i="133"/>
  <c r="K60" i="133"/>
  <c r="J60" i="133"/>
  <c r="K59" i="133"/>
  <c r="K58" i="133"/>
  <c r="J55" i="133"/>
  <c r="K55" i="133" s="1"/>
  <c r="K54" i="133"/>
  <c r="K53" i="133"/>
  <c r="K52" i="133"/>
  <c r="K51" i="133"/>
  <c r="K50" i="133"/>
  <c r="K49" i="133"/>
  <c r="B49" i="133"/>
  <c r="K48" i="133"/>
  <c r="F48" i="133"/>
  <c r="E48" i="133"/>
  <c r="K47" i="133"/>
  <c r="F47" i="133"/>
  <c r="E47" i="133"/>
  <c r="K46" i="133"/>
  <c r="F46" i="133"/>
  <c r="E46" i="133"/>
  <c r="F45" i="133"/>
  <c r="E45" i="133"/>
  <c r="F44" i="133"/>
  <c r="E44" i="133"/>
  <c r="F43" i="133"/>
  <c r="E43" i="133"/>
  <c r="E40" i="133"/>
  <c r="I39" i="133"/>
  <c r="I38" i="133"/>
  <c r="H37" i="133"/>
  <c r="I36" i="133"/>
  <c r="D36" i="133"/>
  <c r="C36" i="133"/>
  <c r="E36" i="133" s="1"/>
  <c r="I35" i="133"/>
  <c r="E35" i="133"/>
  <c r="E34" i="133"/>
  <c r="J33" i="133"/>
  <c r="I33" i="133"/>
  <c r="E33" i="133"/>
  <c r="G26" i="133"/>
  <c r="H25" i="133"/>
  <c r="H26" i="133" s="1"/>
  <c r="E25" i="133"/>
  <c r="I24" i="133"/>
  <c r="E24" i="133"/>
  <c r="I23" i="133"/>
  <c r="E23" i="133"/>
  <c r="I22" i="133"/>
  <c r="E22" i="133"/>
  <c r="I21" i="133"/>
  <c r="E21" i="133"/>
  <c r="I20" i="133"/>
  <c r="E20" i="133"/>
  <c r="I19" i="133"/>
  <c r="E19" i="133"/>
  <c r="I18" i="133"/>
  <c r="E18" i="133"/>
  <c r="I17" i="133"/>
  <c r="E17" i="133"/>
  <c r="I16" i="133"/>
  <c r="E16" i="133"/>
  <c r="I15" i="133"/>
  <c r="E15" i="133"/>
  <c r="I14" i="133"/>
  <c r="E14" i="133"/>
  <c r="E13" i="133"/>
  <c r="I12" i="133"/>
  <c r="J12" i="133" s="1"/>
  <c r="H12" i="133"/>
  <c r="E12" i="133"/>
  <c r="J11" i="133"/>
  <c r="E11" i="133"/>
  <c r="J10" i="133"/>
  <c r="E10" i="133"/>
  <c r="J9" i="133"/>
  <c r="E9" i="133"/>
  <c r="J8" i="133"/>
  <c r="E8" i="133"/>
  <c r="J7" i="133"/>
  <c r="E7" i="133"/>
  <c r="J6" i="133"/>
  <c r="E6" i="133"/>
  <c r="J5" i="133"/>
  <c r="E5" i="133"/>
  <c r="E4" i="133"/>
  <c r="G3" i="133"/>
  <c r="F3" i="133"/>
  <c r="E3" i="133"/>
  <c r="D26" i="133"/>
  <c r="D4" i="133" s="1"/>
  <c r="B1" i="133"/>
  <c r="J35" i="133" l="1"/>
  <c r="J26" i="133"/>
  <c r="I26" i="133"/>
  <c r="I25" i="133"/>
  <c r="J26" i="132"/>
  <c r="I26" i="132"/>
  <c r="H25" i="132"/>
  <c r="J55" i="132"/>
  <c r="K54" i="132"/>
  <c r="K53" i="132"/>
  <c r="K52" i="132"/>
  <c r="H37" i="132"/>
  <c r="E28" i="132" l="1"/>
  <c r="E29" i="132"/>
  <c r="D30" i="132"/>
  <c r="D29" i="132"/>
  <c r="J71" i="132"/>
  <c r="K71" i="132" s="1"/>
  <c r="K69" i="132"/>
  <c r="K68" i="132"/>
  <c r="K67" i="132"/>
  <c r="K66" i="132"/>
  <c r="K63" i="132"/>
  <c r="K60" i="132"/>
  <c r="J60" i="132"/>
  <c r="K59" i="132"/>
  <c r="K58" i="132"/>
  <c r="K55" i="132"/>
  <c r="K51" i="132"/>
  <c r="K50" i="132"/>
  <c r="K49" i="132"/>
  <c r="B49" i="132"/>
  <c r="K48" i="132"/>
  <c r="F48" i="132"/>
  <c r="E48" i="132"/>
  <c r="K47" i="132"/>
  <c r="F47" i="132"/>
  <c r="E47" i="132"/>
  <c r="K46" i="132"/>
  <c r="F46" i="132"/>
  <c r="E46" i="132"/>
  <c r="F45" i="132"/>
  <c r="E45" i="132"/>
  <c r="F44" i="132"/>
  <c r="E44" i="132"/>
  <c r="F43" i="132"/>
  <c r="E43" i="132"/>
  <c r="E40" i="132"/>
  <c r="I39" i="132"/>
  <c r="I38" i="132"/>
  <c r="I36" i="132"/>
  <c r="D36" i="132"/>
  <c r="C36" i="132"/>
  <c r="E36" i="132" s="1"/>
  <c r="I35" i="132"/>
  <c r="J35" i="132" s="1"/>
  <c r="E35" i="132"/>
  <c r="E34" i="132"/>
  <c r="J33" i="132"/>
  <c r="I33" i="132"/>
  <c r="E33" i="132"/>
  <c r="G26" i="132"/>
  <c r="I25" i="132"/>
  <c r="E25" i="132"/>
  <c r="I24" i="132"/>
  <c r="E24" i="132"/>
  <c r="I23" i="132"/>
  <c r="I22" i="132"/>
  <c r="I21" i="132"/>
  <c r="E21" i="132"/>
  <c r="I20" i="132"/>
  <c r="E20" i="132"/>
  <c r="I19" i="132"/>
  <c r="I18" i="132"/>
  <c r="I17" i="132"/>
  <c r="E17" i="132"/>
  <c r="I16" i="132"/>
  <c r="E16" i="132"/>
  <c r="I15" i="132"/>
  <c r="I14" i="132"/>
  <c r="E13" i="132"/>
  <c r="I12" i="132"/>
  <c r="H12" i="132"/>
  <c r="E12" i="132"/>
  <c r="J11" i="132"/>
  <c r="J10" i="132"/>
  <c r="J9" i="132"/>
  <c r="E9" i="132"/>
  <c r="J8" i="132"/>
  <c r="E8" i="132"/>
  <c r="J7" i="132"/>
  <c r="J6" i="132"/>
  <c r="J5" i="132"/>
  <c r="E5" i="132"/>
  <c r="E4" i="132"/>
  <c r="G3" i="132"/>
  <c r="F3" i="132"/>
  <c r="E3" i="132"/>
  <c r="D26" i="132"/>
  <c r="D4" i="132"/>
  <c r="E23" i="132" s="1"/>
  <c r="B1" i="132"/>
  <c r="J12" i="132" l="1"/>
  <c r="E30" i="132"/>
  <c r="E10" i="132"/>
  <c r="E18" i="132"/>
  <c r="E22" i="132"/>
  <c r="H26" i="132"/>
  <c r="E6" i="132"/>
  <c r="E14" i="132"/>
  <c r="E7" i="132"/>
  <c r="E11" i="132"/>
  <c r="E15" i="132"/>
  <c r="E19" i="132"/>
  <c r="D29" i="131" l="1"/>
  <c r="E28" i="131"/>
  <c r="K70" i="131"/>
  <c r="J70" i="131"/>
  <c r="K68" i="131"/>
  <c r="K67" i="131"/>
  <c r="K66" i="131"/>
  <c r="K65" i="131"/>
  <c r="K62" i="131"/>
  <c r="J59" i="131"/>
  <c r="K59" i="131" s="1"/>
  <c r="K58" i="131"/>
  <c r="K57" i="131"/>
  <c r="J54" i="131"/>
  <c r="K54" i="131" s="1"/>
  <c r="K51" i="131"/>
  <c r="K50" i="131"/>
  <c r="K49" i="131"/>
  <c r="B49" i="131"/>
  <c r="K48" i="131"/>
  <c r="F48" i="131"/>
  <c r="E48" i="131"/>
  <c r="K47" i="131"/>
  <c r="F47" i="131"/>
  <c r="E47" i="131"/>
  <c r="K46" i="131"/>
  <c r="F46" i="131"/>
  <c r="E46" i="131"/>
  <c r="F45" i="131"/>
  <c r="E45" i="131"/>
  <c r="F44" i="131"/>
  <c r="E44" i="131"/>
  <c r="F43" i="131"/>
  <c r="E43" i="131"/>
  <c r="E40" i="131"/>
  <c r="I39" i="131"/>
  <c r="I38" i="131"/>
  <c r="I36" i="131"/>
  <c r="D36" i="131"/>
  <c r="C36" i="131"/>
  <c r="E36" i="131" s="1"/>
  <c r="I35" i="131"/>
  <c r="J35" i="131" s="1"/>
  <c r="E35" i="131"/>
  <c r="E34" i="131"/>
  <c r="J33" i="131"/>
  <c r="I33" i="131"/>
  <c r="E33" i="131"/>
  <c r="D30" i="131"/>
  <c r="E29" i="131"/>
  <c r="E30" i="131" s="1"/>
  <c r="G26" i="131"/>
  <c r="H25" i="131"/>
  <c r="I25" i="131" s="1"/>
  <c r="E25" i="131"/>
  <c r="I24" i="131"/>
  <c r="E24" i="131"/>
  <c r="I23" i="131"/>
  <c r="E23" i="131"/>
  <c r="I22" i="131"/>
  <c r="E22" i="131"/>
  <c r="I21" i="131"/>
  <c r="E21" i="131"/>
  <c r="I20" i="131"/>
  <c r="E20" i="131"/>
  <c r="I19" i="131"/>
  <c r="E19" i="131"/>
  <c r="I18" i="131"/>
  <c r="E18" i="131"/>
  <c r="I17" i="131"/>
  <c r="E17" i="131"/>
  <c r="I16" i="131"/>
  <c r="E16" i="131"/>
  <c r="I15" i="131"/>
  <c r="E15" i="131"/>
  <c r="I14" i="131"/>
  <c r="E14" i="131"/>
  <c r="E13" i="131"/>
  <c r="I12" i="131"/>
  <c r="J12" i="131" s="1"/>
  <c r="H12" i="131"/>
  <c r="E12" i="131"/>
  <c r="J11" i="131"/>
  <c r="E11" i="131"/>
  <c r="J10" i="131"/>
  <c r="E10" i="131"/>
  <c r="J9" i="131"/>
  <c r="E9" i="131"/>
  <c r="J8" i="131"/>
  <c r="E8" i="131"/>
  <c r="J7" i="131"/>
  <c r="E7" i="131"/>
  <c r="J6" i="131"/>
  <c r="E6" i="131"/>
  <c r="J5" i="131"/>
  <c r="E5" i="131"/>
  <c r="E4" i="131"/>
  <c r="G3" i="131"/>
  <c r="F3" i="131"/>
  <c r="E3" i="131"/>
  <c r="D25" i="131"/>
  <c r="D4" i="131" s="1"/>
  <c r="B1" i="131"/>
  <c r="H26" i="131" l="1"/>
  <c r="J26" i="131" l="1"/>
  <c r="I26" i="131"/>
  <c r="D25" i="130" l="1"/>
  <c r="D4" i="130" s="1"/>
  <c r="D29" i="130" l="1"/>
  <c r="D30" i="130" s="1"/>
  <c r="J70" i="130"/>
  <c r="K70" i="130" s="1"/>
  <c r="K68" i="130"/>
  <c r="K67" i="130"/>
  <c r="K66" i="130"/>
  <c r="K65" i="130"/>
  <c r="K62" i="130"/>
  <c r="K59" i="130"/>
  <c r="J59" i="130"/>
  <c r="K58" i="130"/>
  <c r="K57" i="130"/>
  <c r="J54" i="130"/>
  <c r="K54" i="130" s="1"/>
  <c r="K51" i="130"/>
  <c r="K50" i="130"/>
  <c r="K49" i="130"/>
  <c r="B49" i="130"/>
  <c r="K48" i="130"/>
  <c r="F48" i="130"/>
  <c r="E48" i="130"/>
  <c r="K47" i="130"/>
  <c r="F47" i="130"/>
  <c r="E47" i="130"/>
  <c r="K46" i="130"/>
  <c r="F46" i="130"/>
  <c r="E46" i="130"/>
  <c r="F45" i="130"/>
  <c r="E45" i="130"/>
  <c r="F44" i="130"/>
  <c r="E44" i="130"/>
  <c r="F43" i="130"/>
  <c r="E43" i="130"/>
  <c r="E40" i="130"/>
  <c r="I39" i="130"/>
  <c r="I38" i="130"/>
  <c r="I36" i="130"/>
  <c r="D36" i="130"/>
  <c r="C36" i="130"/>
  <c r="I35" i="130"/>
  <c r="J35" i="130" s="1"/>
  <c r="E35" i="130"/>
  <c r="E34" i="130"/>
  <c r="J33" i="130"/>
  <c r="I33" i="130"/>
  <c r="E33" i="130"/>
  <c r="E29" i="130"/>
  <c r="E30" i="130" s="1"/>
  <c r="G26" i="130"/>
  <c r="H25" i="130"/>
  <c r="H26" i="130" s="1"/>
  <c r="I26" i="130" s="1"/>
  <c r="G3" i="130"/>
  <c r="E28" i="130"/>
  <c r="E25" i="130"/>
  <c r="I24" i="130"/>
  <c r="E24" i="130"/>
  <c r="I23" i="130"/>
  <c r="E23" i="130"/>
  <c r="I22" i="130"/>
  <c r="E22" i="130"/>
  <c r="I21" i="130"/>
  <c r="E21" i="130"/>
  <c r="I20" i="130"/>
  <c r="E20" i="130"/>
  <c r="I19" i="130"/>
  <c r="E19" i="130"/>
  <c r="I18" i="130"/>
  <c r="E18" i="130"/>
  <c r="I17" i="130"/>
  <c r="E17" i="130"/>
  <c r="I16" i="130"/>
  <c r="E16" i="130"/>
  <c r="I15" i="130"/>
  <c r="E15" i="130"/>
  <c r="I14" i="130"/>
  <c r="E14" i="130"/>
  <c r="E13" i="130"/>
  <c r="I12" i="130"/>
  <c r="H12" i="130"/>
  <c r="E12" i="130"/>
  <c r="J11" i="130"/>
  <c r="E11" i="130"/>
  <c r="J10" i="130"/>
  <c r="E10" i="130"/>
  <c r="J9" i="130"/>
  <c r="E9" i="130"/>
  <c r="J8" i="130"/>
  <c r="E8" i="130"/>
  <c r="J7" i="130"/>
  <c r="E7" i="130"/>
  <c r="J6" i="130"/>
  <c r="E6" i="130"/>
  <c r="J5" i="130"/>
  <c r="E5" i="130"/>
  <c r="E4" i="130"/>
  <c r="F3" i="130"/>
  <c r="E3" i="130"/>
  <c r="B1" i="130"/>
  <c r="E36" i="130" l="1"/>
  <c r="I25" i="130"/>
  <c r="J12" i="130"/>
  <c r="J26" i="130"/>
  <c r="D29" i="129"/>
  <c r="J70" i="129"/>
  <c r="K70" i="129" s="1"/>
  <c r="K68" i="129"/>
  <c r="K67" i="129"/>
  <c r="K66" i="129"/>
  <c r="K65" i="129"/>
  <c r="K62" i="129"/>
  <c r="K59" i="129"/>
  <c r="J59" i="129"/>
  <c r="K58" i="129"/>
  <c r="K57" i="129"/>
  <c r="J52" i="129"/>
  <c r="K52" i="129" s="1"/>
  <c r="K51" i="129"/>
  <c r="K50" i="129"/>
  <c r="K49" i="129"/>
  <c r="B49" i="129"/>
  <c r="K48" i="129"/>
  <c r="F48" i="129"/>
  <c r="E48" i="129"/>
  <c r="K47" i="129"/>
  <c r="F47" i="129"/>
  <c r="E47" i="129"/>
  <c r="K46" i="129"/>
  <c r="F46" i="129"/>
  <c r="E46" i="129"/>
  <c r="F45" i="129"/>
  <c r="E45" i="129"/>
  <c r="F44" i="129"/>
  <c r="E44" i="129"/>
  <c r="F43" i="129"/>
  <c r="E43" i="129"/>
  <c r="E40" i="129"/>
  <c r="I39" i="129"/>
  <c r="I38" i="129"/>
  <c r="I36" i="129"/>
  <c r="D36" i="129"/>
  <c r="C36" i="129"/>
  <c r="E36" i="129" s="1"/>
  <c r="I35" i="129"/>
  <c r="J35" i="129" s="1"/>
  <c r="E35" i="129"/>
  <c r="E34" i="129"/>
  <c r="J33" i="129"/>
  <c r="I33" i="129"/>
  <c r="E33" i="129"/>
  <c r="D30" i="129"/>
  <c r="E29" i="129"/>
  <c r="E30" i="129" s="1"/>
  <c r="G26" i="129"/>
  <c r="H26" i="129"/>
  <c r="H24" i="129"/>
  <c r="E28" i="129"/>
  <c r="E25" i="129"/>
  <c r="E23" i="129"/>
  <c r="E24" i="129"/>
  <c r="J26" i="129"/>
  <c r="I25" i="129"/>
  <c r="J24" i="129"/>
  <c r="I24" i="129"/>
  <c r="I23" i="129"/>
  <c r="I22" i="129"/>
  <c r="E22" i="129"/>
  <c r="I21" i="129"/>
  <c r="E21" i="129"/>
  <c r="I20" i="129"/>
  <c r="E20" i="129"/>
  <c r="I19" i="129"/>
  <c r="E19" i="129"/>
  <c r="I18" i="129"/>
  <c r="E18" i="129"/>
  <c r="I17" i="129"/>
  <c r="E17" i="129"/>
  <c r="I16" i="129"/>
  <c r="E16" i="129"/>
  <c r="I15" i="129"/>
  <c r="E15" i="129"/>
  <c r="I14" i="129"/>
  <c r="E14" i="129"/>
  <c r="E13" i="129"/>
  <c r="I12" i="129"/>
  <c r="J12" i="129" s="1"/>
  <c r="H12" i="129"/>
  <c r="E12" i="129"/>
  <c r="J11" i="129"/>
  <c r="E11" i="129"/>
  <c r="J10" i="129"/>
  <c r="E10" i="129"/>
  <c r="J9" i="129"/>
  <c r="E9" i="129"/>
  <c r="J8" i="129"/>
  <c r="E8" i="129"/>
  <c r="J7" i="129"/>
  <c r="E7" i="129"/>
  <c r="J6" i="129"/>
  <c r="E6" i="129"/>
  <c r="J5" i="129"/>
  <c r="E5" i="129"/>
  <c r="E4" i="129"/>
  <c r="F3" i="129"/>
  <c r="E3" i="129"/>
  <c r="D25" i="129"/>
  <c r="D4" i="129" s="1"/>
  <c r="I26" i="129" l="1"/>
  <c r="J26" i="128" l="1"/>
  <c r="I24" i="128"/>
  <c r="I26" i="128"/>
  <c r="G26" i="128"/>
  <c r="H26" i="128"/>
  <c r="H24" i="128"/>
  <c r="E29" i="128"/>
  <c r="E28" i="128"/>
  <c r="D29" i="128"/>
  <c r="D30" i="128" s="1"/>
  <c r="J70" i="128"/>
  <c r="K70" i="128" s="1"/>
  <c r="K68" i="128"/>
  <c r="K67" i="128"/>
  <c r="K66" i="128"/>
  <c r="K65" i="128"/>
  <c r="K62" i="128"/>
  <c r="K59" i="128"/>
  <c r="J59" i="128"/>
  <c r="K58" i="128"/>
  <c r="K57" i="128"/>
  <c r="K52" i="128"/>
  <c r="J52" i="128"/>
  <c r="K51" i="128"/>
  <c r="K50" i="128"/>
  <c r="K49" i="128"/>
  <c r="B49" i="128"/>
  <c r="K48" i="128"/>
  <c r="F48" i="128"/>
  <c r="E48" i="128"/>
  <c r="K47" i="128"/>
  <c r="F47" i="128"/>
  <c r="E47" i="128"/>
  <c r="K46" i="128"/>
  <c r="F46" i="128"/>
  <c r="E46" i="128"/>
  <c r="F45" i="128"/>
  <c r="E45" i="128"/>
  <c r="F44" i="128"/>
  <c r="E44" i="128"/>
  <c r="F43" i="128"/>
  <c r="E43" i="128"/>
  <c r="E40" i="128"/>
  <c r="I39" i="128"/>
  <c r="I38" i="128"/>
  <c r="I36" i="128"/>
  <c r="D36" i="128"/>
  <c r="C36" i="128"/>
  <c r="E36" i="128" s="1"/>
  <c r="I35" i="128"/>
  <c r="J35" i="128" s="1"/>
  <c r="E35" i="128"/>
  <c r="E34" i="128"/>
  <c r="J33" i="128"/>
  <c r="I33" i="128"/>
  <c r="E33" i="128"/>
  <c r="F29" i="128"/>
  <c r="I25" i="128"/>
  <c r="J24" i="128"/>
  <c r="I23" i="128"/>
  <c r="I22" i="128"/>
  <c r="E22" i="128"/>
  <c r="I21" i="128"/>
  <c r="E21" i="128"/>
  <c r="I20" i="128"/>
  <c r="E20" i="128"/>
  <c r="I19" i="128"/>
  <c r="E19" i="128"/>
  <c r="I18" i="128"/>
  <c r="E18" i="128"/>
  <c r="I17" i="128"/>
  <c r="E17" i="128"/>
  <c r="I16" i="128"/>
  <c r="E16" i="128"/>
  <c r="I15" i="128"/>
  <c r="E15" i="128"/>
  <c r="I14" i="128"/>
  <c r="E14" i="128"/>
  <c r="E13" i="128"/>
  <c r="I12" i="128"/>
  <c r="J12" i="128" s="1"/>
  <c r="H12" i="128"/>
  <c r="E12" i="128"/>
  <c r="J11" i="128"/>
  <c r="E11" i="128"/>
  <c r="J10" i="128"/>
  <c r="E10" i="128"/>
  <c r="J9" i="128"/>
  <c r="E9" i="128"/>
  <c r="J8" i="128"/>
  <c r="E8" i="128"/>
  <c r="J7" i="128"/>
  <c r="E7" i="128"/>
  <c r="J6" i="128"/>
  <c r="E6" i="128"/>
  <c r="J5" i="128"/>
  <c r="E5" i="128"/>
  <c r="E4" i="128"/>
  <c r="F3" i="128"/>
  <c r="E3" i="128"/>
  <c r="D25" i="128"/>
  <c r="D4" i="128" s="1"/>
  <c r="E30" i="128" l="1"/>
  <c r="J59" i="127" l="1"/>
  <c r="J52" i="127" l="1"/>
  <c r="J26" i="127" l="1"/>
  <c r="I24" i="127"/>
  <c r="F29" i="127"/>
  <c r="E28" i="127"/>
  <c r="E29" i="127"/>
  <c r="D29" i="127"/>
  <c r="D30" i="127" s="1"/>
  <c r="J70" i="127"/>
  <c r="K70" i="127" s="1"/>
  <c r="K68" i="127"/>
  <c r="K67" i="127"/>
  <c r="K66" i="127"/>
  <c r="K65" i="127"/>
  <c r="K62" i="127"/>
  <c r="K59" i="127"/>
  <c r="K58" i="127"/>
  <c r="K57" i="127"/>
  <c r="K52" i="127"/>
  <c r="K51" i="127"/>
  <c r="K50" i="127"/>
  <c r="K49" i="127"/>
  <c r="B49" i="127"/>
  <c r="K48" i="127"/>
  <c r="F48" i="127"/>
  <c r="E48" i="127"/>
  <c r="K47" i="127"/>
  <c r="F47" i="127"/>
  <c r="E47" i="127"/>
  <c r="K46" i="127"/>
  <c r="F46" i="127"/>
  <c r="E46" i="127"/>
  <c r="F45" i="127"/>
  <c r="E45" i="127"/>
  <c r="F44" i="127"/>
  <c r="E44" i="127"/>
  <c r="F43" i="127"/>
  <c r="E43" i="127"/>
  <c r="E40" i="127"/>
  <c r="I39" i="127"/>
  <c r="I38" i="127"/>
  <c r="I36" i="127"/>
  <c r="D36" i="127"/>
  <c r="C36" i="127"/>
  <c r="I35" i="127"/>
  <c r="E35" i="127"/>
  <c r="E34" i="127"/>
  <c r="J33" i="127"/>
  <c r="I33" i="127"/>
  <c r="E33" i="127"/>
  <c r="E30" i="127"/>
  <c r="G26" i="127"/>
  <c r="I25" i="127"/>
  <c r="H24" i="127"/>
  <c r="H26" i="127" s="1"/>
  <c r="I23" i="127"/>
  <c r="I22" i="127"/>
  <c r="E22" i="127"/>
  <c r="I21" i="127"/>
  <c r="E21" i="127"/>
  <c r="I20" i="127"/>
  <c r="E20" i="127"/>
  <c r="I19" i="127"/>
  <c r="E19" i="127"/>
  <c r="I18" i="127"/>
  <c r="E18" i="127"/>
  <c r="I17" i="127"/>
  <c r="E17" i="127"/>
  <c r="I16" i="127"/>
  <c r="E16" i="127"/>
  <c r="I15" i="127"/>
  <c r="E15" i="127"/>
  <c r="I14" i="127"/>
  <c r="E14" i="127"/>
  <c r="E13" i="127"/>
  <c r="I12" i="127"/>
  <c r="J12" i="127" s="1"/>
  <c r="H12" i="127"/>
  <c r="E12" i="127"/>
  <c r="J11" i="127"/>
  <c r="E11" i="127"/>
  <c r="J10" i="127"/>
  <c r="E10" i="127"/>
  <c r="J9" i="127"/>
  <c r="E9" i="127"/>
  <c r="J8" i="127"/>
  <c r="E8" i="127"/>
  <c r="J7" i="127"/>
  <c r="E7" i="127"/>
  <c r="J6" i="127"/>
  <c r="E6" i="127"/>
  <c r="J5" i="127"/>
  <c r="E5" i="127"/>
  <c r="E4" i="127"/>
  <c r="F3" i="127"/>
  <c r="E3" i="127"/>
  <c r="D25" i="127"/>
  <c r="D4" i="127"/>
  <c r="J35" i="127" l="1"/>
  <c r="E36" i="127"/>
  <c r="I26" i="127"/>
  <c r="J24" i="127"/>
  <c r="J52" i="126" l="1"/>
  <c r="H24" i="126" l="1"/>
  <c r="D29" i="126"/>
  <c r="E28" i="126"/>
  <c r="J70" i="126"/>
  <c r="K70" i="126" s="1"/>
  <c r="K68" i="126"/>
  <c r="K67" i="126"/>
  <c r="K66" i="126"/>
  <c r="K65" i="126"/>
  <c r="K62" i="126"/>
  <c r="K59" i="126"/>
  <c r="J59" i="126"/>
  <c r="K58" i="126"/>
  <c r="K57" i="126"/>
  <c r="K52" i="126"/>
  <c r="K51" i="126"/>
  <c r="K50" i="126"/>
  <c r="K49" i="126"/>
  <c r="B49" i="126"/>
  <c r="K48" i="126"/>
  <c r="F48" i="126"/>
  <c r="E48" i="126"/>
  <c r="K47" i="126"/>
  <c r="F47" i="126"/>
  <c r="E47" i="126"/>
  <c r="K46" i="126"/>
  <c r="F46" i="126"/>
  <c r="E46" i="126"/>
  <c r="F45" i="126"/>
  <c r="E45" i="126"/>
  <c r="F44" i="126"/>
  <c r="E44" i="126"/>
  <c r="F43" i="126"/>
  <c r="E43" i="126"/>
  <c r="E40" i="126"/>
  <c r="I39" i="126"/>
  <c r="I38" i="126"/>
  <c r="I36" i="126"/>
  <c r="D36" i="126"/>
  <c r="C36" i="126"/>
  <c r="E36" i="126" s="1"/>
  <c r="I35" i="126"/>
  <c r="J35" i="126" s="1"/>
  <c r="E35" i="126"/>
  <c r="E34" i="126"/>
  <c r="J33" i="126"/>
  <c r="I33" i="126"/>
  <c r="E33" i="126"/>
  <c r="F29" i="126"/>
  <c r="D30" i="126"/>
  <c r="H26" i="126"/>
  <c r="J26" i="126" s="1"/>
  <c r="G26" i="126"/>
  <c r="I25" i="126"/>
  <c r="J24" i="126"/>
  <c r="I24" i="126"/>
  <c r="I23" i="126"/>
  <c r="I22" i="126"/>
  <c r="E22" i="126"/>
  <c r="I21" i="126"/>
  <c r="E21" i="126"/>
  <c r="I20" i="126"/>
  <c r="E20" i="126"/>
  <c r="I19" i="126"/>
  <c r="E19" i="126"/>
  <c r="I18" i="126"/>
  <c r="E18" i="126"/>
  <c r="I17" i="126"/>
  <c r="E17" i="126"/>
  <c r="I16" i="126"/>
  <c r="E16" i="126"/>
  <c r="I15" i="126"/>
  <c r="E15" i="126"/>
  <c r="I14" i="126"/>
  <c r="E14" i="126"/>
  <c r="E13" i="126"/>
  <c r="I12" i="126"/>
  <c r="H12" i="126"/>
  <c r="E12" i="126"/>
  <c r="J11" i="126"/>
  <c r="E11" i="126"/>
  <c r="J10" i="126"/>
  <c r="E10" i="126"/>
  <c r="J9" i="126"/>
  <c r="E9" i="126"/>
  <c r="J8" i="126"/>
  <c r="E8" i="126"/>
  <c r="J7" i="126"/>
  <c r="E7" i="126"/>
  <c r="J6" i="126"/>
  <c r="E6" i="126"/>
  <c r="J5" i="126"/>
  <c r="E5" i="126"/>
  <c r="E4" i="126"/>
  <c r="F3" i="126"/>
  <c r="E3" i="126"/>
  <c r="D19" i="126"/>
  <c r="D25" i="126" s="1"/>
  <c r="D4" i="126" s="1"/>
  <c r="C19" i="126"/>
  <c r="E29" i="126" l="1"/>
  <c r="E30" i="126" s="1"/>
  <c r="J12" i="126"/>
  <c r="I26" i="126"/>
  <c r="D29" i="125"/>
  <c r="E28" i="125"/>
  <c r="J70" i="125"/>
  <c r="K70" i="125" s="1"/>
  <c r="K68" i="125"/>
  <c r="K67" i="125"/>
  <c r="K66" i="125"/>
  <c r="K65" i="125"/>
  <c r="K62" i="125"/>
  <c r="K59" i="125"/>
  <c r="J59" i="125"/>
  <c r="K58" i="125"/>
  <c r="K57" i="125"/>
  <c r="J53" i="125"/>
  <c r="J52" i="125"/>
  <c r="K52" i="125" s="1"/>
  <c r="K51" i="125"/>
  <c r="K50" i="125"/>
  <c r="K49" i="125"/>
  <c r="B49" i="125"/>
  <c r="K48" i="125"/>
  <c r="F48" i="125"/>
  <c r="E48" i="125"/>
  <c r="K47" i="125"/>
  <c r="F47" i="125"/>
  <c r="E47" i="125"/>
  <c r="K46" i="125"/>
  <c r="F46" i="125"/>
  <c r="E46" i="125"/>
  <c r="F45" i="125"/>
  <c r="E45" i="125"/>
  <c r="F44" i="125"/>
  <c r="E44" i="125"/>
  <c r="F43" i="125"/>
  <c r="E43" i="125"/>
  <c r="E40" i="125"/>
  <c r="I39" i="125"/>
  <c r="I38" i="125"/>
  <c r="I36" i="125"/>
  <c r="D36" i="125"/>
  <c r="C36" i="125"/>
  <c r="E36" i="125" s="1"/>
  <c r="I35" i="125"/>
  <c r="E35" i="125"/>
  <c r="E34" i="125"/>
  <c r="J33" i="125"/>
  <c r="I33" i="125"/>
  <c r="E33" i="125"/>
  <c r="F29" i="125"/>
  <c r="D30" i="125"/>
  <c r="H26" i="125"/>
  <c r="J26" i="125" s="1"/>
  <c r="G26" i="125"/>
  <c r="I25" i="125"/>
  <c r="J24" i="125"/>
  <c r="I24" i="125"/>
  <c r="H24" i="125"/>
  <c r="I23" i="125"/>
  <c r="I22" i="125"/>
  <c r="E22" i="125"/>
  <c r="I21" i="125"/>
  <c r="E21" i="125"/>
  <c r="I20" i="125"/>
  <c r="E20" i="125"/>
  <c r="I19" i="125"/>
  <c r="E19" i="125"/>
  <c r="I18" i="125"/>
  <c r="E18" i="125"/>
  <c r="I17" i="125"/>
  <c r="E17" i="125"/>
  <c r="I16" i="125"/>
  <c r="E16" i="125"/>
  <c r="I15" i="125"/>
  <c r="E15" i="125"/>
  <c r="I14" i="125"/>
  <c r="E14" i="125"/>
  <c r="E13" i="125"/>
  <c r="I12" i="125"/>
  <c r="H12" i="125"/>
  <c r="E12" i="125"/>
  <c r="J11" i="125"/>
  <c r="E11" i="125"/>
  <c r="J10" i="125"/>
  <c r="E10" i="125"/>
  <c r="J9" i="125"/>
  <c r="E9" i="125"/>
  <c r="J8" i="125"/>
  <c r="E8" i="125"/>
  <c r="J7" i="125"/>
  <c r="E7" i="125"/>
  <c r="J6" i="125"/>
  <c r="E6" i="125"/>
  <c r="J5" i="125"/>
  <c r="E5" i="125"/>
  <c r="E4" i="125"/>
  <c r="F3" i="125"/>
  <c r="E3" i="125"/>
  <c r="D25" i="125"/>
  <c r="D4" i="125" s="1"/>
  <c r="J35" i="125" l="1"/>
  <c r="J12" i="125"/>
  <c r="E29" i="125"/>
  <c r="E30" i="125" s="1"/>
  <c r="I26" i="125"/>
  <c r="J24" i="124" l="1"/>
  <c r="F29" i="124"/>
  <c r="G26" i="124" l="1"/>
  <c r="H24" i="124"/>
  <c r="B49" i="124" l="1"/>
  <c r="J59" i="124"/>
  <c r="K58" i="124"/>
  <c r="E29" i="124" l="1"/>
  <c r="D29" i="124"/>
  <c r="K70" i="124"/>
  <c r="J70" i="124"/>
  <c r="J53" i="124" s="1"/>
  <c r="K68" i="124"/>
  <c r="K67" i="124"/>
  <c r="K66" i="124"/>
  <c r="K65" i="124"/>
  <c r="K62" i="124"/>
  <c r="K59" i="124"/>
  <c r="K57" i="124"/>
  <c r="J52" i="124"/>
  <c r="K52" i="124" s="1"/>
  <c r="K51" i="124"/>
  <c r="K50" i="124"/>
  <c r="K49" i="124"/>
  <c r="K48" i="124"/>
  <c r="F48" i="124"/>
  <c r="E48" i="124"/>
  <c r="K47" i="124"/>
  <c r="F47" i="124"/>
  <c r="E47" i="124"/>
  <c r="K46" i="124"/>
  <c r="F46" i="124"/>
  <c r="E46" i="124"/>
  <c r="F45" i="124"/>
  <c r="E45" i="124"/>
  <c r="F44" i="124"/>
  <c r="E44" i="124"/>
  <c r="F43" i="124"/>
  <c r="E43" i="124"/>
  <c r="E40" i="124"/>
  <c r="I39" i="124"/>
  <c r="I38" i="124"/>
  <c r="I36" i="124"/>
  <c r="D36" i="124"/>
  <c r="C36" i="124"/>
  <c r="E36" i="124" s="1"/>
  <c r="I35" i="124"/>
  <c r="J35" i="124" s="1"/>
  <c r="E35" i="124"/>
  <c r="E34" i="124"/>
  <c r="J33" i="124"/>
  <c r="I33" i="124"/>
  <c r="E33" i="124"/>
  <c r="D30" i="124"/>
  <c r="E28" i="124"/>
  <c r="H26" i="124"/>
  <c r="J26" i="124"/>
  <c r="I25" i="124"/>
  <c r="I24" i="124"/>
  <c r="I23" i="124"/>
  <c r="I22" i="124"/>
  <c r="E22" i="124"/>
  <c r="I21" i="124"/>
  <c r="E21" i="124"/>
  <c r="I20" i="124"/>
  <c r="E20" i="124"/>
  <c r="I19" i="124"/>
  <c r="E19" i="124"/>
  <c r="I18" i="124"/>
  <c r="E18" i="124"/>
  <c r="I17" i="124"/>
  <c r="E17" i="124"/>
  <c r="I16" i="124"/>
  <c r="E16" i="124"/>
  <c r="I15" i="124"/>
  <c r="E15" i="124"/>
  <c r="I14" i="124"/>
  <c r="E14" i="124"/>
  <c r="E13" i="124"/>
  <c r="I12" i="124"/>
  <c r="J12" i="124" s="1"/>
  <c r="H12" i="124"/>
  <c r="E12" i="124"/>
  <c r="J11" i="124"/>
  <c r="E11" i="124"/>
  <c r="J10" i="124"/>
  <c r="E10" i="124"/>
  <c r="J9" i="124"/>
  <c r="E9" i="124"/>
  <c r="J8" i="124"/>
  <c r="E8" i="124"/>
  <c r="J7" i="124"/>
  <c r="E7" i="124"/>
  <c r="J6" i="124"/>
  <c r="E6" i="124"/>
  <c r="J5" i="124"/>
  <c r="E5" i="124"/>
  <c r="E4" i="124"/>
  <c r="F3" i="124"/>
  <c r="E3" i="124"/>
  <c r="D25" i="124"/>
  <c r="D4" i="124"/>
  <c r="B1" i="124"/>
  <c r="I26" i="124" l="1"/>
  <c r="E30" i="124"/>
  <c r="D29" i="123"/>
  <c r="J70" i="123"/>
  <c r="K70" i="123" s="1"/>
  <c r="K68" i="123"/>
  <c r="K67" i="123"/>
  <c r="K66" i="123"/>
  <c r="K65" i="123"/>
  <c r="K62" i="123"/>
  <c r="J59" i="123"/>
  <c r="K59" i="123" s="1"/>
  <c r="K57" i="123"/>
  <c r="J52" i="123"/>
  <c r="K52" i="123" s="1"/>
  <c r="K51" i="123"/>
  <c r="K50" i="123"/>
  <c r="K49" i="123"/>
  <c r="K48" i="123"/>
  <c r="F48" i="123"/>
  <c r="E48" i="123"/>
  <c r="K47" i="123"/>
  <c r="F47" i="123"/>
  <c r="E47" i="123"/>
  <c r="K46" i="123"/>
  <c r="F46" i="123"/>
  <c r="E46" i="123"/>
  <c r="F45" i="123"/>
  <c r="E45" i="123"/>
  <c r="F44" i="123"/>
  <c r="E44" i="123"/>
  <c r="F43" i="123"/>
  <c r="E43" i="123"/>
  <c r="E40" i="123"/>
  <c r="I39" i="123"/>
  <c r="I38" i="123"/>
  <c r="I36" i="123"/>
  <c r="D36" i="123"/>
  <c r="C36" i="123"/>
  <c r="E36" i="123" s="1"/>
  <c r="I35" i="123"/>
  <c r="J35" i="123" s="1"/>
  <c r="E35" i="123"/>
  <c r="E34" i="123"/>
  <c r="J33" i="123"/>
  <c r="I33" i="123"/>
  <c r="E33" i="123"/>
  <c r="D30" i="123"/>
  <c r="E28" i="123"/>
  <c r="H26" i="123"/>
  <c r="J26" i="123" s="1"/>
  <c r="G26" i="123"/>
  <c r="I25" i="123"/>
  <c r="I24" i="123"/>
  <c r="I23" i="123"/>
  <c r="I22" i="123"/>
  <c r="E22" i="123"/>
  <c r="I21" i="123"/>
  <c r="E21" i="123"/>
  <c r="I20" i="123"/>
  <c r="E20" i="123"/>
  <c r="I19" i="123"/>
  <c r="E19" i="123"/>
  <c r="I18" i="123"/>
  <c r="E18" i="123"/>
  <c r="I17" i="123"/>
  <c r="E17" i="123"/>
  <c r="I16" i="123"/>
  <c r="E16" i="123"/>
  <c r="I15" i="123"/>
  <c r="E15" i="123"/>
  <c r="I14" i="123"/>
  <c r="E14" i="123"/>
  <c r="E13" i="123"/>
  <c r="I12" i="123"/>
  <c r="J12" i="123" s="1"/>
  <c r="H12" i="123"/>
  <c r="E12" i="123"/>
  <c r="J11" i="123"/>
  <c r="E11" i="123"/>
  <c r="J10" i="123"/>
  <c r="E10" i="123"/>
  <c r="J9" i="123"/>
  <c r="E9" i="123"/>
  <c r="J8" i="123"/>
  <c r="E8" i="123"/>
  <c r="J7" i="123"/>
  <c r="E7" i="123"/>
  <c r="J6" i="123"/>
  <c r="E6" i="123"/>
  <c r="J5" i="123"/>
  <c r="E5" i="123"/>
  <c r="E4" i="123"/>
  <c r="F3" i="123"/>
  <c r="E3" i="123"/>
  <c r="D25" i="123"/>
  <c r="D4" i="123" s="1"/>
  <c r="B1" i="123"/>
  <c r="E29" i="123" l="1"/>
  <c r="E30" i="123" s="1"/>
  <c r="J53" i="123"/>
  <c r="I26" i="123"/>
  <c r="K68" i="122" l="1"/>
  <c r="K67" i="122"/>
  <c r="D29" i="122" l="1"/>
  <c r="D30" i="122" s="1"/>
  <c r="J70" i="122"/>
  <c r="K70" i="122" s="1"/>
  <c r="K66" i="122"/>
  <c r="K65" i="122"/>
  <c r="K62" i="122"/>
  <c r="J59" i="122"/>
  <c r="K59" i="122" s="1"/>
  <c r="K57" i="122"/>
  <c r="J52" i="122"/>
  <c r="K52" i="122" s="1"/>
  <c r="K51" i="122"/>
  <c r="K50" i="122"/>
  <c r="K49" i="122"/>
  <c r="K48" i="122"/>
  <c r="F48" i="122"/>
  <c r="E48" i="122"/>
  <c r="K47" i="122"/>
  <c r="F47" i="122"/>
  <c r="E47" i="122"/>
  <c r="K46" i="122"/>
  <c r="F46" i="122"/>
  <c r="E46" i="122"/>
  <c r="F45" i="122"/>
  <c r="E45" i="122"/>
  <c r="F44" i="122"/>
  <c r="E44" i="122"/>
  <c r="F43" i="122"/>
  <c r="E43" i="122"/>
  <c r="E40" i="122"/>
  <c r="I39" i="122"/>
  <c r="I38" i="122"/>
  <c r="I36" i="122"/>
  <c r="D36" i="122"/>
  <c r="C36" i="122"/>
  <c r="E36" i="122" s="1"/>
  <c r="I35" i="122"/>
  <c r="E35" i="122"/>
  <c r="E34" i="122"/>
  <c r="J33" i="122"/>
  <c r="I33" i="122"/>
  <c r="E33" i="122"/>
  <c r="E28" i="122"/>
  <c r="H26" i="122"/>
  <c r="J26" i="122" s="1"/>
  <c r="G26" i="122"/>
  <c r="I25" i="122"/>
  <c r="I24" i="122"/>
  <c r="I23" i="122"/>
  <c r="I22" i="122"/>
  <c r="E22" i="122"/>
  <c r="I21" i="122"/>
  <c r="E21" i="122"/>
  <c r="I20" i="122"/>
  <c r="E20" i="122"/>
  <c r="I19" i="122"/>
  <c r="E19" i="122"/>
  <c r="I18" i="122"/>
  <c r="E18" i="122"/>
  <c r="I17" i="122"/>
  <c r="E17" i="122"/>
  <c r="I16" i="122"/>
  <c r="E16" i="122"/>
  <c r="I15" i="122"/>
  <c r="E15" i="122"/>
  <c r="I14" i="122"/>
  <c r="E14" i="122"/>
  <c r="E13" i="122"/>
  <c r="I12" i="122"/>
  <c r="J12" i="122" s="1"/>
  <c r="H12" i="122"/>
  <c r="E12" i="122"/>
  <c r="J11" i="122"/>
  <c r="E11" i="122"/>
  <c r="J10" i="122"/>
  <c r="E10" i="122"/>
  <c r="J9" i="122"/>
  <c r="E9" i="122"/>
  <c r="J8" i="122"/>
  <c r="E8" i="122"/>
  <c r="J7" i="122"/>
  <c r="E7" i="122"/>
  <c r="J6" i="122"/>
  <c r="E6" i="122"/>
  <c r="J5" i="122"/>
  <c r="E5" i="122"/>
  <c r="E4" i="122"/>
  <c r="F3" i="122"/>
  <c r="E3" i="122"/>
  <c r="D25" i="122"/>
  <c r="D4" i="122"/>
  <c r="J35" i="122" l="1"/>
  <c r="E29" i="122"/>
  <c r="E30" i="122" s="1"/>
  <c r="J53" i="122"/>
  <c r="I26" i="122"/>
  <c r="D29" i="121" l="1"/>
  <c r="E28" i="121"/>
  <c r="J68" i="121"/>
  <c r="K68" i="121" s="1"/>
  <c r="K66" i="121"/>
  <c r="K65" i="121"/>
  <c r="K62" i="121"/>
  <c r="J59" i="121"/>
  <c r="K59" i="121" s="1"/>
  <c r="K57" i="121"/>
  <c r="J52" i="121"/>
  <c r="K52" i="121" s="1"/>
  <c r="K51" i="121"/>
  <c r="K50" i="121"/>
  <c r="K49" i="121"/>
  <c r="K48" i="121"/>
  <c r="F48" i="121"/>
  <c r="E48" i="121"/>
  <c r="K47" i="121"/>
  <c r="F47" i="121"/>
  <c r="E47" i="121"/>
  <c r="K46" i="121"/>
  <c r="F46" i="121"/>
  <c r="E46" i="121"/>
  <c r="F45" i="121"/>
  <c r="E45" i="121"/>
  <c r="F44" i="121"/>
  <c r="E44" i="121"/>
  <c r="F43" i="121"/>
  <c r="E43" i="121"/>
  <c r="E40" i="121"/>
  <c r="I39" i="121"/>
  <c r="I38" i="121"/>
  <c r="I36" i="121"/>
  <c r="D36" i="121"/>
  <c r="C36" i="121"/>
  <c r="E36" i="121" s="1"/>
  <c r="I35" i="121"/>
  <c r="E35" i="121"/>
  <c r="E34" i="121"/>
  <c r="J33" i="121"/>
  <c r="I33" i="121"/>
  <c r="E33" i="121"/>
  <c r="E29" i="121"/>
  <c r="H26" i="121"/>
  <c r="J26" i="121" s="1"/>
  <c r="G26" i="121"/>
  <c r="I25" i="121"/>
  <c r="I24" i="121"/>
  <c r="I23" i="121"/>
  <c r="I22" i="121"/>
  <c r="E22" i="121"/>
  <c r="I21" i="121"/>
  <c r="E21" i="121"/>
  <c r="I20" i="121"/>
  <c r="E20" i="121"/>
  <c r="I19" i="121"/>
  <c r="E19" i="121"/>
  <c r="I18" i="121"/>
  <c r="E18" i="121"/>
  <c r="I17" i="121"/>
  <c r="E17" i="121"/>
  <c r="I16" i="121"/>
  <c r="E16" i="121"/>
  <c r="I15" i="121"/>
  <c r="E15" i="121"/>
  <c r="I14" i="121"/>
  <c r="E14" i="121"/>
  <c r="E13" i="121"/>
  <c r="I12" i="121"/>
  <c r="J12" i="121" s="1"/>
  <c r="H12" i="121"/>
  <c r="E12" i="121"/>
  <c r="J11" i="121"/>
  <c r="E11" i="121"/>
  <c r="J10" i="121"/>
  <c r="E10" i="121"/>
  <c r="J9" i="121"/>
  <c r="E9" i="121"/>
  <c r="J8" i="121"/>
  <c r="E8" i="121"/>
  <c r="J7" i="121"/>
  <c r="E7" i="121"/>
  <c r="J6" i="121"/>
  <c r="E6" i="121"/>
  <c r="J5" i="121"/>
  <c r="E5" i="121"/>
  <c r="E4" i="121"/>
  <c r="F3" i="121"/>
  <c r="E3" i="121"/>
  <c r="D25" i="121"/>
  <c r="D4" i="121"/>
  <c r="B1" i="121"/>
  <c r="J35" i="121" l="1"/>
  <c r="E30" i="121"/>
  <c r="D30" i="121"/>
  <c r="J53" i="121"/>
  <c r="I26" i="121"/>
  <c r="D29" i="120" l="1"/>
  <c r="E28" i="120"/>
  <c r="J68" i="120"/>
  <c r="K68" i="120" s="1"/>
  <c r="K66" i="120"/>
  <c r="K65" i="120"/>
  <c r="K62" i="120"/>
  <c r="K59" i="120"/>
  <c r="J59" i="120"/>
  <c r="K57" i="120"/>
  <c r="K52" i="120"/>
  <c r="J52" i="120"/>
  <c r="K51" i="120"/>
  <c r="K50" i="120"/>
  <c r="K49" i="120"/>
  <c r="K48" i="120"/>
  <c r="F48" i="120"/>
  <c r="E48" i="120"/>
  <c r="K47" i="120"/>
  <c r="F47" i="120"/>
  <c r="E47" i="120"/>
  <c r="K46" i="120"/>
  <c r="F46" i="120"/>
  <c r="E46" i="120"/>
  <c r="F45" i="120"/>
  <c r="E45" i="120"/>
  <c r="F44" i="120"/>
  <c r="E44" i="120"/>
  <c r="F43" i="120"/>
  <c r="E43" i="120"/>
  <c r="E40" i="120"/>
  <c r="I39" i="120"/>
  <c r="I38" i="120"/>
  <c r="I36" i="120"/>
  <c r="D36" i="120"/>
  <c r="C36" i="120"/>
  <c r="E36" i="120" s="1"/>
  <c r="I35" i="120"/>
  <c r="J35" i="120" s="1"/>
  <c r="E35" i="120"/>
  <c r="E34" i="120"/>
  <c r="J33" i="120"/>
  <c r="I33" i="120"/>
  <c r="E33" i="120"/>
  <c r="D30" i="120"/>
  <c r="E29" i="120"/>
  <c r="E30" i="120" s="1"/>
  <c r="J26" i="120"/>
  <c r="I26" i="120"/>
  <c r="H26" i="120"/>
  <c r="G26" i="120"/>
  <c r="I25" i="120"/>
  <c r="I24" i="120"/>
  <c r="I23" i="120"/>
  <c r="I22" i="120"/>
  <c r="E22" i="120"/>
  <c r="I21" i="120"/>
  <c r="E21" i="120"/>
  <c r="I20" i="120"/>
  <c r="E20" i="120"/>
  <c r="I19" i="120"/>
  <c r="E19" i="120"/>
  <c r="I18" i="120"/>
  <c r="E18" i="120"/>
  <c r="I17" i="120"/>
  <c r="E17" i="120"/>
  <c r="I16" i="120"/>
  <c r="E16" i="120"/>
  <c r="I15" i="120"/>
  <c r="E15" i="120"/>
  <c r="I14" i="120"/>
  <c r="E14" i="120"/>
  <c r="E13" i="120"/>
  <c r="I12" i="120"/>
  <c r="H12" i="120"/>
  <c r="J12" i="120" s="1"/>
  <c r="E12" i="120"/>
  <c r="J11" i="120"/>
  <c r="E11" i="120"/>
  <c r="J10" i="120"/>
  <c r="E10" i="120"/>
  <c r="J9" i="120"/>
  <c r="E9" i="120"/>
  <c r="J8" i="120"/>
  <c r="E8" i="120"/>
  <c r="J7" i="120"/>
  <c r="E7" i="120"/>
  <c r="J6" i="120"/>
  <c r="E6" i="120"/>
  <c r="J5" i="120"/>
  <c r="E5" i="120"/>
  <c r="E4" i="120"/>
  <c r="F3" i="120"/>
  <c r="E3" i="120"/>
  <c r="D25" i="120"/>
  <c r="D4" i="120" s="1"/>
  <c r="B1" i="120"/>
  <c r="J53" i="120" l="1"/>
  <c r="E29" i="119" l="1"/>
  <c r="D29" i="119"/>
  <c r="D30" i="119" s="1"/>
  <c r="J68" i="119"/>
  <c r="K68" i="119" s="1"/>
  <c r="K66" i="119"/>
  <c r="K65" i="119"/>
  <c r="K62" i="119"/>
  <c r="J59" i="119"/>
  <c r="K59" i="119" s="1"/>
  <c r="K57" i="119"/>
  <c r="J52" i="119"/>
  <c r="K52" i="119" s="1"/>
  <c r="K51" i="119"/>
  <c r="K50" i="119"/>
  <c r="K49" i="119"/>
  <c r="K48" i="119"/>
  <c r="F48" i="119"/>
  <c r="E48" i="119"/>
  <c r="K47" i="119"/>
  <c r="F47" i="119"/>
  <c r="E47" i="119"/>
  <c r="K46" i="119"/>
  <c r="F46" i="119"/>
  <c r="E46" i="119"/>
  <c r="F45" i="119"/>
  <c r="E45" i="119"/>
  <c r="F44" i="119"/>
  <c r="E44" i="119"/>
  <c r="F43" i="119"/>
  <c r="E43" i="119"/>
  <c r="E40" i="119"/>
  <c r="I39" i="119"/>
  <c r="I38" i="119"/>
  <c r="I36" i="119"/>
  <c r="D36" i="119"/>
  <c r="C36" i="119"/>
  <c r="E36" i="119" s="1"/>
  <c r="I35" i="119"/>
  <c r="E35" i="119"/>
  <c r="E34" i="119"/>
  <c r="J33" i="119"/>
  <c r="I33" i="119"/>
  <c r="E33" i="119"/>
  <c r="E28" i="119"/>
  <c r="H26" i="119"/>
  <c r="J26" i="119" s="1"/>
  <c r="G26" i="119"/>
  <c r="I25" i="119"/>
  <c r="I24" i="119"/>
  <c r="I23" i="119"/>
  <c r="I22" i="119"/>
  <c r="E22" i="119"/>
  <c r="I21" i="119"/>
  <c r="E21" i="119"/>
  <c r="I20" i="119"/>
  <c r="E20" i="119"/>
  <c r="I19" i="119"/>
  <c r="E19" i="119"/>
  <c r="I18" i="119"/>
  <c r="E18" i="119"/>
  <c r="I17" i="119"/>
  <c r="E17" i="119"/>
  <c r="I16" i="119"/>
  <c r="E16" i="119"/>
  <c r="I15" i="119"/>
  <c r="E15" i="119"/>
  <c r="I14" i="119"/>
  <c r="E14" i="119"/>
  <c r="E13" i="119"/>
  <c r="I12" i="119"/>
  <c r="H12" i="119"/>
  <c r="E12" i="119"/>
  <c r="J11" i="119"/>
  <c r="E11" i="119"/>
  <c r="J10" i="119"/>
  <c r="E10" i="119"/>
  <c r="J9" i="119"/>
  <c r="E9" i="119"/>
  <c r="J8" i="119"/>
  <c r="E8" i="119"/>
  <c r="J7" i="119"/>
  <c r="E7" i="119"/>
  <c r="J6" i="119"/>
  <c r="E6" i="119"/>
  <c r="J5" i="119"/>
  <c r="E5" i="119"/>
  <c r="E4" i="119"/>
  <c r="F3" i="119"/>
  <c r="E3" i="119"/>
  <c r="D25" i="119"/>
  <c r="D4" i="119" s="1"/>
  <c r="J35" i="119" l="1"/>
  <c r="E30" i="119"/>
  <c r="J53" i="119"/>
  <c r="J12" i="119"/>
  <c r="I26" i="119"/>
  <c r="D30" i="118" l="1"/>
  <c r="D29" i="118"/>
  <c r="E29" i="118" s="1"/>
  <c r="E30" i="118" s="1"/>
  <c r="E28" i="118"/>
  <c r="J68" i="118"/>
  <c r="K66" i="118"/>
  <c r="K65" i="118"/>
  <c r="K62" i="118"/>
  <c r="J59" i="118"/>
  <c r="K59" i="118" s="1"/>
  <c r="K57" i="118"/>
  <c r="J52" i="118"/>
  <c r="K52" i="118" s="1"/>
  <c r="K51" i="118"/>
  <c r="K50" i="118"/>
  <c r="K49" i="118"/>
  <c r="K48" i="118"/>
  <c r="F48" i="118"/>
  <c r="E48" i="118"/>
  <c r="K47" i="118"/>
  <c r="F47" i="118"/>
  <c r="E47" i="118"/>
  <c r="K46" i="118"/>
  <c r="F46" i="118"/>
  <c r="E46" i="118"/>
  <c r="F45" i="118"/>
  <c r="E45" i="118"/>
  <c r="F44" i="118"/>
  <c r="E44" i="118"/>
  <c r="F43" i="118"/>
  <c r="E43" i="118"/>
  <c r="E40" i="118"/>
  <c r="I39" i="118"/>
  <c r="I38" i="118"/>
  <c r="I36" i="118"/>
  <c r="D36" i="118"/>
  <c r="C36" i="118"/>
  <c r="E36" i="118" s="1"/>
  <c r="I35" i="118"/>
  <c r="J35" i="118" s="1"/>
  <c r="E35" i="118"/>
  <c r="E34" i="118"/>
  <c r="J33" i="118"/>
  <c r="I33" i="118"/>
  <c r="E33" i="118"/>
  <c r="H26" i="118"/>
  <c r="J26" i="118" s="1"/>
  <c r="G26" i="118"/>
  <c r="I25" i="118"/>
  <c r="I24" i="118"/>
  <c r="I23" i="118"/>
  <c r="I22" i="118"/>
  <c r="E22" i="118"/>
  <c r="I21" i="118"/>
  <c r="E21" i="118"/>
  <c r="I20" i="118"/>
  <c r="E20" i="118"/>
  <c r="I19" i="118"/>
  <c r="E19" i="118"/>
  <c r="I18" i="118"/>
  <c r="E18" i="118"/>
  <c r="I17" i="118"/>
  <c r="E17" i="118"/>
  <c r="I16" i="118"/>
  <c r="E16" i="118"/>
  <c r="I15" i="118"/>
  <c r="E15" i="118"/>
  <c r="I14" i="118"/>
  <c r="E14" i="118"/>
  <c r="E13" i="118"/>
  <c r="I12" i="118"/>
  <c r="H12" i="118"/>
  <c r="E12" i="118"/>
  <c r="J11" i="118"/>
  <c r="E11" i="118"/>
  <c r="J10" i="118"/>
  <c r="E10" i="118"/>
  <c r="J9" i="118"/>
  <c r="E9" i="118"/>
  <c r="J8" i="118"/>
  <c r="E8" i="118"/>
  <c r="J7" i="118"/>
  <c r="E7" i="118"/>
  <c r="J6" i="118"/>
  <c r="E6" i="118"/>
  <c r="J5" i="118"/>
  <c r="E5" i="118"/>
  <c r="E4" i="118"/>
  <c r="F3" i="118"/>
  <c r="E3" i="118"/>
  <c r="D25" i="118"/>
  <c r="D4" i="118" s="1"/>
  <c r="K68" i="118" l="1"/>
  <c r="J53" i="118"/>
  <c r="J12" i="118"/>
  <c r="I26" i="118"/>
  <c r="K59" i="117" l="1"/>
  <c r="J59" i="117"/>
  <c r="J68" i="117"/>
  <c r="K68" i="117" s="1"/>
  <c r="J52" i="117"/>
  <c r="K52" i="117" s="1"/>
  <c r="K66" i="117"/>
  <c r="K65" i="117"/>
  <c r="K62" i="117"/>
  <c r="K57" i="117"/>
  <c r="K51" i="117"/>
  <c r="K50" i="117"/>
  <c r="K49" i="117"/>
  <c r="K48" i="117"/>
  <c r="K47" i="117"/>
  <c r="K46" i="117"/>
  <c r="D30" i="117" l="1"/>
  <c r="E29" i="117"/>
  <c r="D29" i="117"/>
  <c r="E28" i="117"/>
  <c r="F48" i="117"/>
  <c r="E48" i="117"/>
  <c r="F47" i="117"/>
  <c r="E47" i="117"/>
  <c r="F46" i="117"/>
  <c r="E46" i="117"/>
  <c r="F45" i="117"/>
  <c r="E45" i="117"/>
  <c r="F44" i="117"/>
  <c r="E44" i="117"/>
  <c r="F43" i="117"/>
  <c r="E43" i="117"/>
  <c r="E40" i="117"/>
  <c r="I39" i="117"/>
  <c r="I38" i="117"/>
  <c r="I36" i="117"/>
  <c r="E36" i="117"/>
  <c r="D36" i="117"/>
  <c r="C36" i="117"/>
  <c r="I35" i="117"/>
  <c r="E35" i="117"/>
  <c r="E34" i="117"/>
  <c r="J33" i="117"/>
  <c r="I33" i="117"/>
  <c r="E33" i="117"/>
  <c r="J26" i="117"/>
  <c r="H26" i="117"/>
  <c r="I26" i="117" s="1"/>
  <c r="G26" i="117"/>
  <c r="I25" i="117"/>
  <c r="I24" i="117"/>
  <c r="I23" i="117"/>
  <c r="I22" i="117"/>
  <c r="E22" i="117"/>
  <c r="I21" i="117"/>
  <c r="E21" i="117"/>
  <c r="I20" i="117"/>
  <c r="E20" i="117"/>
  <c r="I19" i="117"/>
  <c r="E19" i="117"/>
  <c r="I18" i="117"/>
  <c r="E18" i="117"/>
  <c r="I17" i="117"/>
  <c r="E17" i="117"/>
  <c r="I16" i="117"/>
  <c r="E16" i="117"/>
  <c r="I15" i="117"/>
  <c r="E15" i="117"/>
  <c r="I14" i="117"/>
  <c r="E14" i="117"/>
  <c r="E13" i="117"/>
  <c r="I12" i="117"/>
  <c r="J12" i="117" s="1"/>
  <c r="H12" i="117"/>
  <c r="E12" i="117"/>
  <c r="J11" i="117"/>
  <c r="E11" i="117"/>
  <c r="J10" i="117"/>
  <c r="E10" i="117"/>
  <c r="J9" i="117"/>
  <c r="E9" i="117"/>
  <c r="J8" i="117"/>
  <c r="E8" i="117"/>
  <c r="J7" i="117"/>
  <c r="E7" i="117"/>
  <c r="J6" i="117"/>
  <c r="E6" i="117"/>
  <c r="J5" i="117"/>
  <c r="E5" i="117"/>
  <c r="E4" i="117"/>
  <c r="F3" i="117"/>
  <c r="E3" i="117"/>
  <c r="D25" i="117"/>
  <c r="D4" i="117" s="1"/>
  <c r="J35" i="117" l="1"/>
  <c r="E30" i="117"/>
  <c r="E30" i="116" l="1"/>
  <c r="D30" i="116"/>
  <c r="E29" i="116"/>
  <c r="D29" i="116"/>
  <c r="E28" i="116"/>
  <c r="F48" i="116"/>
  <c r="E48" i="116"/>
  <c r="F47" i="116"/>
  <c r="E47" i="116"/>
  <c r="F46" i="116"/>
  <c r="E46" i="116"/>
  <c r="F45" i="116"/>
  <c r="E45" i="116"/>
  <c r="F44" i="116"/>
  <c r="E44" i="116"/>
  <c r="F43" i="116"/>
  <c r="E43" i="116"/>
  <c r="E40" i="116"/>
  <c r="I39" i="116"/>
  <c r="I38" i="116"/>
  <c r="I36" i="116"/>
  <c r="D36" i="116"/>
  <c r="C36" i="116"/>
  <c r="E36" i="116" s="1"/>
  <c r="I35" i="116"/>
  <c r="E35" i="116"/>
  <c r="E34" i="116"/>
  <c r="J33" i="116"/>
  <c r="I33" i="116"/>
  <c r="E33" i="116"/>
  <c r="H26" i="116"/>
  <c r="J26" i="116" s="1"/>
  <c r="G26" i="116"/>
  <c r="I25" i="116"/>
  <c r="I24" i="116"/>
  <c r="I23" i="116"/>
  <c r="I22" i="116"/>
  <c r="E22" i="116"/>
  <c r="I21" i="116"/>
  <c r="E21" i="116"/>
  <c r="I20" i="116"/>
  <c r="E20" i="116"/>
  <c r="I19" i="116"/>
  <c r="E19" i="116"/>
  <c r="I18" i="116"/>
  <c r="E18" i="116"/>
  <c r="I17" i="116"/>
  <c r="E17" i="116"/>
  <c r="I16" i="116"/>
  <c r="E16" i="116"/>
  <c r="I15" i="116"/>
  <c r="E15" i="116"/>
  <c r="I14" i="116"/>
  <c r="E14" i="116"/>
  <c r="E13" i="116"/>
  <c r="I12" i="116"/>
  <c r="J12" i="116" s="1"/>
  <c r="H12" i="116"/>
  <c r="E12" i="116"/>
  <c r="J11" i="116"/>
  <c r="E11" i="116"/>
  <c r="J10" i="116"/>
  <c r="E10" i="116"/>
  <c r="J9" i="116"/>
  <c r="E9" i="116"/>
  <c r="J8" i="116"/>
  <c r="E8" i="116"/>
  <c r="J7" i="116"/>
  <c r="E7" i="116"/>
  <c r="J6" i="116"/>
  <c r="E6" i="116"/>
  <c r="J5" i="116"/>
  <c r="E5" i="116"/>
  <c r="E4" i="116"/>
  <c r="F3" i="116"/>
  <c r="E3" i="116"/>
  <c r="D24" i="116"/>
  <c r="D4" i="116" s="1"/>
  <c r="B1" i="116"/>
  <c r="J35" i="116" l="1"/>
  <c r="I26" i="116"/>
  <c r="D30" i="115" l="1"/>
  <c r="E30" i="115"/>
  <c r="E29" i="115"/>
  <c r="D29" i="115"/>
  <c r="F48" i="115"/>
  <c r="E48" i="115"/>
  <c r="F47" i="115"/>
  <c r="E47" i="115"/>
  <c r="F46" i="115"/>
  <c r="E46" i="115"/>
  <c r="F45" i="115"/>
  <c r="E45" i="115"/>
  <c r="F44" i="115"/>
  <c r="E44" i="115"/>
  <c r="F43" i="115"/>
  <c r="E43" i="115"/>
  <c r="E40" i="115"/>
  <c r="I39" i="115"/>
  <c r="I38" i="115"/>
  <c r="I36" i="115"/>
  <c r="D36" i="115"/>
  <c r="C36" i="115"/>
  <c r="E36" i="115" s="1"/>
  <c r="I35" i="115"/>
  <c r="E35" i="115"/>
  <c r="E34" i="115"/>
  <c r="J33" i="115"/>
  <c r="I33" i="115"/>
  <c r="J35" i="115" s="1"/>
  <c r="E33" i="115"/>
  <c r="E28" i="115"/>
  <c r="H26" i="115"/>
  <c r="J26" i="115" s="1"/>
  <c r="G26" i="115"/>
  <c r="I25" i="115"/>
  <c r="I24" i="115"/>
  <c r="I23" i="115"/>
  <c r="I22" i="115"/>
  <c r="E22" i="115"/>
  <c r="I21" i="115"/>
  <c r="E21" i="115"/>
  <c r="I20" i="115"/>
  <c r="E20" i="115"/>
  <c r="I19" i="115"/>
  <c r="E19" i="115"/>
  <c r="I18" i="115"/>
  <c r="E18" i="115"/>
  <c r="I17" i="115"/>
  <c r="E17" i="115"/>
  <c r="I16" i="115"/>
  <c r="E16" i="115"/>
  <c r="I15" i="115"/>
  <c r="E15" i="115"/>
  <c r="I14" i="115"/>
  <c r="E14" i="115"/>
  <c r="E13" i="115"/>
  <c r="I12" i="115"/>
  <c r="J12" i="115" s="1"/>
  <c r="H12" i="115"/>
  <c r="E12" i="115"/>
  <c r="J11" i="115"/>
  <c r="E11" i="115"/>
  <c r="J10" i="115"/>
  <c r="E10" i="115"/>
  <c r="J9" i="115"/>
  <c r="E9" i="115"/>
  <c r="J8" i="115"/>
  <c r="E8" i="115"/>
  <c r="J7" i="115"/>
  <c r="E7" i="115"/>
  <c r="J6" i="115"/>
  <c r="E6" i="115"/>
  <c r="J5" i="115"/>
  <c r="E5" i="115"/>
  <c r="E4" i="115"/>
  <c r="F3" i="115"/>
  <c r="E3" i="115"/>
  <c r="D23" i="115"/>
  <c r="D4" i="115"/>
  <c r="I26" i="115" l="1"/>
  <c r="H26" i="114"/>
  <c r="G26" i="114"/>
  <c r="I24" i="114"/>
  <c r="I25" i="114"/>
  <c r="F3" i="114"/>
  <c r="E3" i="114"/>
  <c r="D30" i="114"/>
  <c r="D29" i="114"/>
  <c r="E28" i="114"/>
  <c r="F48" i="114"/>
  <c r="E48" i="114"/>
  <c r="F47" i="114"/>
  <c r="E47" i="114"/>
  <c r="F46" i="114"/>
  <c r="E46" i="114"/>
  <c r="F45" i="114"/>
  <c r="E45" i="114"/>
  <c r="F44" i="114"/>
  <c r="E44" i="114"/>
  <c r="F43" i="114"/>
  <c r="E43" i="114"/>
  <c r="E40" i="114"/>
  <c r="I39" i="114"/>
  <c r="I38" i="114"/>
  <c r="I36" i="114"/>
  <c r="D36" i="114"/>
  <c r="C36" i="114"/>
  <c r="E36" i="114" s="1"/>
  <c r="J35" i="114"/>
  <c r="I35" i="114"/>
  <c r="E35" i="114"/>
  <c r="E34" i="114"/>
  <c r="J33" i="114"/>
  <c r="I33" i="114"/>
  <c r="E33" i="114"/>
  <c r="E29" i="114"/>
  <c r="J26" i="114"/>
  <c r="I23" i="114"/>
  <c r="I22" i="114"/>
  <c r="E22" i="114"/>
  <c r="I21" i="114"/>
  <c r="E21" i="114"/>
  <c r="I20" i="114"/>
  <c r="E20" i="114"/>
  <c r="I19" i="114"/>
  <c r="E19" i="114"/>
  <c r="I18" i="114"/>
  <c r="E18" i="114"/>
  <c r="I17" i="114"/>
  <c r="E17" i="114"/>
  <c r="I16" i="114"/>
  <c r="E16" i="114"/>
  <c r="I15" i="114"/>
  <c r="E15" i="114"/>
  <c r="I14" i="114"/>
  <c r="E14" i="114"/>
  <c r="E13" i="114"/>
  <c r="I12" i="114"/>
  <c r="E12" i="114"/>
  <c r="J11" i="114"/>
  <c r="E11" i="114"/>
  <c r="J10" i="114"/>
  <c r="E10" i="114"/>
  <c r="J9" i="114"/>
  <c r="E9" i="114"/>
  <c r="J8" i="114"/>
  <c r="E8" i="114"/>
  <c r="J7" i="114"/>
  <c r="E7" i="114"/>
  <c r="J6" i="114"/>
  <c r="E6" i="114"/>
  <c r="J5" i="114"/>
  <c r="E5" i="114"/>
  <c r="E4" i="114"/>
  <c r="D23" i="114"/>
  <c r="D4" i="114"/>
  <c r="E30" i="114" l="1"/>
  <c r="H12" i="114"/>
  <c r="J12" i="114" s="1"/>
  <c r="I26" i="114"/>
  <c r="D30" i="113" l="1"/>
  <c r="E30" i="113"/>
  <c r="E29" i="113"/>
  <c r="D29" i="113"/>
  <c r="E28" i="113"/>
  <c r="J69" i="113" l="1"/>
  <c r="K68" i="113"/>
  <c r="K67" i="113"/>
  <c r="K66" i="113"/>
  <c r="K65" i="113"/>
  <c r="K69" i="113" s="1"/>
  <c r="K62" i="113"/>
  <c r="K59" i="113"/>
  <c r="K58" i="113"/>
  <c r="K57" i="113"/>
  <c r="J54" i="113"/>
  <c r="K53" i="113"/>
  <c r="K54" i="113" s="1"/>
  <c r="K52" i="113"/>
  <c r="K51" i="113"/>
  <c r="K50" i="113"/>
  <c r="K49" i="113"/>
  <c r="K48" i="113"/>
  <c r="F48" i="113"/>
  <c r="E48" i="113"/>
  <c r="K47" i="113"/>
  <c r="F47" i="113"/>
  <c r="E47" i="113"/>
  <c r="K46" i="113"/>
  <c r="F46" i="113"/>
  <c r="E46" i="113"/>
  <c r="F45" i="113"/>
  <c r="E45" i="113"/>
  <c r="F44" i="113"/>
  <c r="E44" i="113"/>
  <c r="F43" i="113"/>
  <c r="E43" i="113"/>
  <c r="E40" i="113"/>
  <c r="I39" i="113"/>
  <c r="I38" i="113"/>
  <c r="I36" i="113"/>
  <c r="D36" i="113"/>
  <c r="C36" i="113"/>
  <c r="E36" i="113" s="1"/>
  <c r="I35" i="113"/>
  <c r="J35" i="113" s="1"/>
  <c r="E35" i="113"/>
  <c r="E34" i="113"/>
  <c r="J33" i="113"/>
  <c r="I33" i="113"/>
  <c r="E33" i="113"/>
  <c r="H25" i="113"/>
  <c r="I25" i="113" s="1"/>
  <c r="G25" i="113"/>
  <c r="I23" i="113"/>
  <c r="I22" i="113"/>
  <c r="E22" i="113"/>
  <c r="I21" i="113"/>
  <c r="E21" i="113"/>
  <c r="I20" i="113"/>
  <c r="E20" i="113"/>
  <c r="I19" i="113"/>
  <c r="E19" i="113"/>
  <c r="I18" i="113"/>
  <c r="E18" i="113"/>
  <c r="I17" i="113"/>
  <c r="E17" i="113"/>
  <c r="I16" i="113"/>
  <c r="E16" i="113"/>
  <c r="I15" i="113"/>
  <c r="E15" i="113"/>
  <c r="I14" i="113"/>
  <c r="E14" i="113"/>
  <c r="E13" i="113"/>
  <c r="I12" i="113"/>
  <c r="E12" i="113"/>
  <c r="J11" i="113"/>
  <c r="E11" i="113"/>
  <c r="H10" i="113"/>
  <c r="J10" i="113" s="1"/>
  <c r="E10" i="113"/>
  <c r="H9" i="113"/>
  <c r="J9" i="113" s="1"/>
  <c r="E9" i="113"/>
  <c r="J8" i="113"/>
  <c r="E8" i="113"/>
  <c r="J7" i="113"/>
  <c r="E7" i="113"/>
  <c r="J6" i="113"/>
  <c r="E6" i="113"/>
  <c r="J5" i="113"/>
  <c r="E5" i="113"/>
  <c r="E4" i="113"/>
  <c r="E3" i="113"/>
  <c r="D22" i="113"/>
  <c r="D4" i="113" s="1"/>
  <c r="B1" i="113"/>
  <c r="H12" i="113" l="1"/>
  <c r="J12" i="113" s="1"/>
  <c r="J25" i="113"/>
  <c r="K68" i="112" l="1"/>
  <c r="J69" i="112"/>
  <c r="I25" i="112" l="1"/>
  <c r="J25" i="112"/>
  <c r="H25" i="112"/>
  <c r="G25" i="112"/>
  <c r="D30" i="112"/>
  <c r="E30" i="112"/>
  <c r="D29" i="112"/>
  <c r="E28" i="112"/>
  <c r="K67" i="112"/>
  <c r="K69" i="112" s="1"/>
  <c r="K66" i="112"/>
  <c r="K65" i="112"/>
  <c r="K62" i="112"/>
  <c r="K59" i="112"/>
  <c r="K58" i="112"/>
  <c r="K57" i="112"/>
  <c r="J54" i="112"/>
  <c r="K53" i="112"/>
  <c r="K54" i="112" s="1"/>
  <c r="K52" i="112"/>
  <c r="K51" i="112"/>
  <c r="K50" i="112"/>
  <c r="K49" i="112"/>
  <c r="K48" i="112"/>
  <c r="F48" i="112"/>
  <c r="E48" i="112"/>
  <c r="K47" i="112"/>
  <c r="F47" i="112"/>
  <c r="E47" i="112"/>
  <c r="K46" i="112"/>
  <c r="F46" i="112"/>
  <c r="E46" i="112"/>
  <c r="F45" i="112"/>
  <c r="E45" i="112"/>
  <c r="F44" i="112"/>
  <c r="E44" i="112"/>
  <c r="F43" i="112"/>
  <c r="E43" i="112"/>
  <c r="E40" i="112"/>
  <c r="I39" i="112"/>
  <c r="I38" i="112"/>
  <c r="I36" i="112"/>
  <c r="D36" i="112"/>
  <c r="C36" i="112"/>
  <c r="E36" i="112" s="1"/>
  <c r="I35" i="112"/>
  <c r="J35" i="112" s="1"/>
  <c r="E35" i="112"/>
  <c r="E34" i="112"/>
  <c r="J33" i="112"/>
  <c r="I33" i="112"/>
  <c r="E33" i="112"/>
  <c r="E27" i="112"/>
  <c r="E26" i="112"/>
  <c r="E25" i="112"/>
  <c r="E24" i="112"/>
  <c r="I23" i="112"/>
  <c r="E23" i="112"/>
  <c r="I22" i="112"/>
  <c r="E22" i="112"/>
  <c r="I21" i="112"/>
  <c r="E21" i="112"/>
  <c r="I20" i="112"/>
  <c r="E20" i="112"/>
  <c r="I19" i="112"/>
  <c r="E19" i="112"/>
  <c r="I18" i="112"/>
  <c r="E18" i="112"/>
  <c r="I17" i="112"/>
  <c r="E17" i="112"/>
  <c r="I16" i="112"/>
  <c r="E16" i="112"/>
  <c r="I15" i="112"/>
  <c r="E15" i="112"/>
  <c r="I14" i="112"/>
  <c r="E14" i="112"/>
  <c r="E13" i="112"/>
  <c r="I12" i="112"/>
  <c r="E12" i="112"/>
  <c r="J11" i="112"/>
  <c r="E11" i="112"/>
  <c r="J10" i="112"/>
  <c r="H10" i="112"/>
  <c r="E10" i="112"/>
  <c r="H9" i="112"/>
  <c r="J9" i="112" s="1"/>
  <c r="E9" i="112"/>
  <c r="J8" i="112"/>
  <c r="E8" i="112"/>
  <c r="J7" i="112"/>
  <c r="E7" i="112"/>
  <c r="J6" i="112"/>
  <c r="E6" i="112"/>
  <c r="J5" i="112"/>
  <c r="E5" i="112"/>
  <c r="E4" i="112"/>
  <c r="E3" i="112"/>
  <c r="D27" i="112"/>
  <c r="D4" i="112" s="1"/>
  <c r="B1" i="112"/>
  <c r="E29" i="112" l="1"/>
  <c r="H12" i="112"/>
  <c r="J12" i="112" s="1"/>
  <c r="H10" i="111" l="1"/>
  <c r="H9" i="111"/>
  <c r="D29" i="111" l="1"/>
  <c r="D30" i="111" s="1"/>
  <c r="E28" i="111"/>
  <c r="J67" i="111"/>
  <c r="K67" i="111" s="1"/>
  <c r="K66" i="111"/>
  <c r="K65" i="111"/>
  <c r="K62" i="111"/>
  <c r="K59" i="111"/>
  <c r="K58" i="111"/>
  <c r="K57" i="111"/>
  <c r="J54" i="111"/>
  <c r="K53" i="111"/>
  <c r="K54" i="111" s="1"/>
  <c r="K52" i="111"/>
  <c r="K51" i="111"/>
  <c r="K50" i="111"/>
  <c r="K49" i="111"/>
  <c r="K48" i="111"/>
  <c r="F48" i="111"/>
  <c r="E48" i="111"/>
  <c r="K47" i="111"/>
  <c r="F47" i="111"/>
  <c r="E47" i="111"/>
  <c r="K46" i="111"/>
  <c r="F46" i="111"/>
  <c r="E46" i="111"/>
  <c r="F45" i="111"/>
  <c r="E45" i="111"/>
  <c r="F44" i="111"/>
  <c r="E44" i="111"/>
  <c r="F43" i="111"/>
  <c r="E43" i="111"/>
  <c r="E40" i="111"/>
  <c r="I39" i="111"/>
  <c r="I38" i="111"/>
  <c r="I36" i="111"/>
  <c r="D36" i="111"/>
  <c r="C36" i="111"/>
  <c r="E36" i="111" s="1"/>
  <c r="I35" i="111"/>
  <c r="J35" i="111" s="1"/>
  <c r="E35" i="111"/>
  <c r="E34" i="111"/>
  <c r="J33" i="111"/>
  <c r="I33" i="111"/>
  <c r="E33" i="111"/>
  <c r="I31" i="111"/>
  <c r="F28" i="111"/>
  <c r="E27" i="111"/>
  <c r="E26" i="111"/>
  <c r="H25" i="111"/>
  <c r="J25" i="111" s="1"/>
  <c r="G25" i="111"/>
  <c r="I25" i="111" s="1"/>
  <c r="E25" i="111"/>
  <c r="E24" i="111"/>
  <c r="H23" i="111"/>
  <c r="J23" i="111" s="1"/>
  <c r="E23" i="111"/>
  <c r="I22" i="111"/>
  <c r="E22" i="111"/>
  <c r="I21" i="111"/>
  <c r="E21" i="111"/>
  <c r="I20" i="111"/>
  <c r="E20" i="111"/>
  <c r="I19" i="111"/>
  <c r="E19" i="111"/>
  <c r="I18" i="111"/>
  <c r="E18" i="111"/>
  <c r="I17" i="111"/>
  <c r="E17" i="111"/>
  <c r="I16" i="111"/>
  <c r="E16" i="111"/>
  <c r="I15" i="111"/>
  <c r="E15" i="111"/>
  <c r="I14" i="111"/>
  <c r="E14" i="111"/>
  <c r="E13" i="111"/>
  <c r="I12" i="111"/>
  <c r="H12" i="111"/>
  <c r="E12" i="111"/>
  <c r="J11" i="111"/>
  <c r="E11" i="111"/>
  <c r="J10" i="111"/>
  <c r="E10" i="111"/>
  <c r="J9" i="111"/>
  <c r="E9" i="111"/>
  <c r="J8" i="111"/>
  <c r="E8" i="111"/>
  <c r="J7" i="111"/>
  <c r="E7" i="111"/>
  <c r="J6" i="111"/>
  <c r="E6" i="111"/>
  <c r="J5" i="111"/>
  <c r="E5" i="111"/>
  <c r="E4" i="111"/>
  <c r="E3" i="111"/>
  <c r="D27" i="111"/>
  <c r="D4" i="111" s="1"/>
  <c r="J12" i="111" l="1"/>
  <c r="E29" i="111"/>
  <c r="E30" i="111" s="1"/>
  <c r="I23" i="111"/>
  <c r="K54" i="110" l="1"/>
  <c r="J54" i="110"/>
  <c r="K53" i="110"/>
  <c r="K52" i="110"/>
  <c r="F28" i="110" l="1"/>
  <c r="J25" i="110"/>
  <c r="I25" i="110"/>
  <c r="H25" i="110"/>
  <c r="G25" i="110"/>
  <c r="D29" i="110"/>
  <c r="E29" i="110" s="1"/>
  <c r="E30" i="110" s="1"/>
  <c r="J67" i="110"/>
  <c r="K67" i="110" s="1"/>
  <c r="K66" i="110"/>
  <c r="K65" i="110"/>
  <c r="K62" i="110"/>
  <c r="K59" i="110"/>
  <c r="K58" i="110"/>
  <c r="K57" i="110"/>
  <c r="K51" i="110"/>
  <c r="K50" i="110"/>
  <c r="K49" i="110"/>
  <c r="K48" i="110"/>
  <c r="F48" i="110"/>
  <c r="E48" i="110"/>
  <c r="K47" i="110"/>
  <c r="F47" i="110"/>
  <c r="E47" i="110"/>
  <c r="K46" i="110"/>
  <c r="F46" i="110"/>
  <c r="E46" i="110"/>
  <c r="F45" i="110"/>
  <c r="E45" i="110"/>
  <c r="F44" i="110"/>
  <c r="E44" i="110"/>
  <c r="F43" i="110"/>
  <c r="E43" i="110"/>
  <c r="E40" i="110"/>
  <c r="I39" i="110"/>
  <c r="I38" i="110"/>
  <c r="I36" i="110"/>
  <c r="D36" i="110"/>
  <c r="C36" i="110"/>
  <c r="E36" i="110" s="1"/>
  <c r="I35" i="110"/>
  <c r="J35" i="110" s="1"/>
  <c r="E35" i="110"/>
  <c r="E34" i="110"/>
  <c r="J33" i="110"/>
  <c r="I33" i="110"/>
  <c r="E33" i="110"/>
  <c r="I31" i="110"/>
  <c r="E28" i="110"/>
  <c r="H23" i="110"/>
  <c r="J23" i="110" s="1"/>
  <c r="I22" i="110"/>
  <c r="I21" i="110"/>
  <c r="I20" i="110"/>
  <c r="I19" i="110"/>
  <c r="I18" i="110"/>
  <c r="I17" i="110"/>
  <c r="I16" i="110"/>
  <c r="I15" i="110"/>
  <c r="I14" i="110"/>
  <c r="I12" i="110"/>
  <c r="H12" i="110"/>
  <c r="J11" i="110"/>
  <c r="J10" i="110"/>
  <c r="J9" i="110"/>
  <c r="J8" i="110"/>
  <c r="J7" i="110"/>
  <c r="J6" i="110"/>
  <c r="J5" i="110"/>
  <c r="E3" i="110"/>
  <c r="D27" i="110"/>
  <c r="B1" i="110"/>
  <c r="D30" i="110" l="1"/>
  <c r="D4" i="110"/>
  <c r="J12" i="110"/>
  <c r="I23" i="110"/>
  <c r="E22" i="110" l="1"/>
  <c r="E18" i="110"/>
  <c r="E14" i="110"/>
  <c r="E10" i="110"/>
  <c r="E6" i="110"/>
  <c r="E13" i="110"/>
  <c r="E26" i="110"/>
  <c r="E21" i="110"/>
  <c r="E17" i="110"/>
  <c r="E9" i="110"/>
  <c r="E5" i="110"/>
  <c r="E25" i="110"/>
  <c r="E4" i="110"/>
  <c r="E24" i="110"/>
  <c r="E20" i="110"/>
  <c r="E16" i="110"/>
  <c r="E12" i="110"/>
  <c r="E8" i="110"/>
  <c r="E23" i="110"/>
  <c r="E19" i="110"/>
  <c r="E15" i="110"/>
  <c r="E11" i="110"/>
  <c r="E7" i="110"/>
  <c r="E27" i="110"/>
  <c r="E30" i="109" l="1"/>
  <c r="J23" i="109" l="1"/>
  <c r="H23" i="109"/>
  <c r="D29" i="109"/>
  <c r="E29" i="109" s="1"/>
  <c r="K65" i="109"/>
  <c r="J65" i="109"/>
  <c r="K64" i="109"/>
  <c r="K63" i="109"/>
  <c r="K60" i="109"/>
  <c r="K57" i="109"/>
  <c r="K56" i="109"/>
  <c r="K55" i="109"/>
  <c r="K52" i="109"/>
  <c r="J52" i="109"/>
  <c r="K51" i="109"/>
  <c r="K50" i="109"/>
  <c r="K49" i="109"/>
  <c r="K48" i="109"/>
  <c r="F48" i="109"/>
  <c r="E48" i="109"/>
  <c r="K47" i="109"/>
  <c r="F47" i="109"/>
  <c r="E47" i="109"/>
  <c r="K46" i="109"/>
  <c r="F46" i="109"/>
  <c r="E46" i="109"/>
  <c r="F45" i="109"/>
  <c r="E45" i="109"/>
  <c r="F44" i="109"/>
  <c r="E44" i="109"/>
  <c r="F43" i="109"/>
  <c r="E43" i="109"/>
  <c r="E40" i="109"/>
  <c r="I39" i="109"/>
  <c r="I38" i="109"/>
  <c r="I36" i="109"/>
  <c r="D36" i="109"/>
  <c r="C36" i="109"/>
  <c r="E36" i="109" s="1"/>
  <c r="I35" i="109"/>
  <c r="E35" i="109"/>
  <c r="E34" i="109"/>
  <c r="J33" i="109"/>
  <c r="I33" i="109"/>
  <c r="E33" i="109"/>
  <c r="I31" i="109"/>
  <c r="E28" i="109"/>
  <c r="I22" i="109"/>
  <c r="I21" i="109"/>
  <c r="I20" i="109"/>
  <c r="I19" i="109"/>
  <c r="I18" i="109"/>
  <c r="I17" i="109"/>
  <c r="I16" i="109"/>
  <c r="I15" i="109"/>
  <c r="I14" i="109"/>
  <c r="I12" i="109"/>
  <c r="H12" i="109"/>
  <c r="J11" i="109"/>
  <c r="J10" i="109"/>
  <c r="J9" i="109"/>
  <c r="J8" i="109"/>
  <c r="J7" i="109"/>
  <c r="J6" i="109"/>
  <c r="J5" i="109"/>
  <c r="E3" i="109"/>
  <c r="D27" i="109"/>
  <c r="E27" i="109" s="1"/>
  <c r="D4" i="109"/>
  <c r="E22" i="109" s="1"/>
  <c r="J12" i="109" l="1"/>
  <c r="J35" i="109"/>
  <c r="D30" i="109"/>
  <c r="E24" i="109"/>
  <c r="E11" i="109"/>
  <c r="E16" i="109"/>
  <c r="E4" i="109"/>
  <c r="E25" i="109"/>
  <c r="E7" i="109"/>
  <c r="E15" i="109"/>
  <c r="E8" i="109"/>
  <c r="E5" i="109"/>
  <c r="E17" i="109"/>
  <c r="E21" i="109"/>
  <c r="E26" i="109"/>
  <c r="E19" i="109"/>
  <c r="E12" i="109"/>
  <c r="E9" i="109"/>
  <c r="E13" i="109"/>
  <c r="E23" i="109"/>
  <c r="E20" i="109"/>
  <c r="E6" i="109"/>
  <c r="E10" i="109"/>
  <c r="E14" i="109"/>
  <c r="E18" i="109"/>
  <c r="I23" i="109"/>
  <c r="H35" i="108"/>
  <c r="H33" i="108"/>
  <c r="J23" i="108" l="1"/>
  <c r="H23" i="108"/>
  <c r="I23" i="108" s="1"/>
  <c r="E29" i="108"/>
  <c r="E30" i="108" s="1"/>
  <c r="D29" i="108"/>
  <c r="E28" i="108"/>
  <c r="J65" i="108"/>
  <c r="K65" i="108" s="1"/>
  <c r="K64" i="108"/>
  <c r="K63" i="108"/>
  <c r="K60" i="108"/>
  <c r="K57" i="108"/>
  <c r="K56" i="108"/>
  <c r="K55" i="108"/>
  <c r="J52" i="108"/>
  <c r="K51" i="108"/>
  <c r="K50" i="108"/>
  <c r="K52" i="108" s="1"/>
  <c r="K49" i="108"/>
  <c r="K48" i="108"/>
  <c r="F48" i="108"/>
  <c r="E48" i="108"/>
  <c r="K47" i="108"/>
  <c r="F47" i="108"/>
  <c r="E47" i="108"/>
  <c r="K46" i="108"/>
  <c r="F46" i="108"/>
  <c r="E46" i="108"/>
  <c r="F45" i="108"/>
  <c r="E45" i="108"/>
  <c r="F44" i="108"/>
  <c r="E44" i="108"/>
  <c r="F43" i="108"/>
  <c r="E43" i="108"/>
  <c r="E40" i="108"/>
  <c r="I39" i="108"/>
  <c r="I38" i="108"/>
  <c r="I36" i="108"/>
  <c r="D36" i="108"/>
  <c r="C36" i="108"/>
  <c r="E36" i="108" s="1"/>
  <c r="I35" i="108"/>
  <c r="E35" i="108"/>
  <c r="E34" i="108"/>
  <c r="J33" i="108"/>
  <c r="I33" i="108"/>
  <c r="E33" i="108"/>
  <c r="I31" i="108"/>
  <c r="E26" i="108"/>
  <c r="E27" i="108"/>
  <c r="I22" i="108"/>
  <c r="E22" i="108"/>
  <c r="I21" i="108"/>
  <c r="I20" i="108"/>
  <c r="I19" i="108"/>
  <c r="I18" i="108"/>
  <c r="E18" i="108"/>
  <c r="I17" i="108"/>
  <c r="I16" i="108"/>
  <c r="I15" i="108"/>
  <c r="I14" i="108"/>
  <c r="E14" i="108"/>
  <c r="I12" i="108"/>
  <c r="H12" i="108"/>
  <c r="J11" i="108"/>
  <c r="J10" i="108"/>
  <c r="E10" i="108"/>
  <c r="J9" i="108"/>
  <c r="J8" i="108"/>
  <c r="J7" i="108"/>
  <c r="J6" i="108"/>
  <c r="E6" i="108"/>
  <c r="J5" i="108"/>
  <c r="E3" i="108"/>
  <c r="D27" i="108"/>
  <c r="D4" i="108"/>
  <c r="E13" i="108" s="1"/>
  <c r="B1" i="108"/>
  <c r="J35" i="108" l="1"/>
  <c r="D30" i="108"/>
  <c r="E7" i="108"/>
  <c r="E23" i="108"/>
  <c r="E8" i="108"/>
  <c r="E12" i="108"/>
  <c r="E16" i="108"/>
  <c r="E20" i="108"/>
  <c r="E15" i="108"/>
  <c r="E24" i="108"/>
  <c r="E11" i="108"/>
  <c r="E19" i="108"/>
  <c r="J12" i="108"/>
  <c r="E17" i="108"/>
  <c r="E21" i="108"/>
  <c r="E25" i="108"/>
  <c r="E4" i="108"/>
  <c r="E5" i="108"/>
  <c r="E9" i="108"/>
  <c r="J8" i="107" l="1"/>
  <c r="E26" i="107" l="1"/>
  <c r="E27" i="107"/>
  <c r="D27" i="107"/>
  <c r="J63" i="107"/>
  <c r="K63" i="107" s="1"/>
  <c r="K62" i="107"/>
  <c r="K61" i="107"/>
  <c r="K58" i="107"/>
  <c r="K55" i="107"/>
  <c r="K54" i="107"/>
  <c r="K53" i="107"/>
  <c r="J50" i="107"/>
  <c r="K49" i="107"/>
  <c r="K50" i="107" s="1"/>
  <c r="K48" i="107"/>
  <c r="K47" i="107"/>
  <c r="K46" i="107"/>
  <c r="F46" i="107"/>
  <c r="E46" i="107"/>
  <c r="K45" i="107"/>
  <c r="F45" i="107"/>
  <c r="E45" i="107"/>
  <c r="K44" i="107"/>
  <c r="F44" i="107"/>
  <c r="E44" i="107"/>
  <c r="F43" i="107"/>
  <c r="E43" i="107"/>
  <c r="F42" i="107"/>
  <c r="E42" i="107"/>
  <c r="F41" i="107"/>
  <c r="E41" i="107"/>
  <c r="E38" i="107"/>
  <c r="I37" i="107"/>
  <c r="I36" i="107"/>
  <c r="I34" i="107"/>
  <c r="D34" i="107"/>
  <c r="C34" i="107"/>
  <c r="E34" i="107" s="1"/>
  <c r="I33" i="107"/>
  <c r="J33" i="107" s="1"/>
  <c r="E33" i="107"/>
  <c r="E32" i="107"/>
  <c r="J31" i="107"/>
  <c r="H31" i="107"/>
  <c r="I31" i="107" s="1"/>
  <c r="E31" i="107"/>
  <c r="I29" i="107"/>
  <c r="H23" i="107"/>
  <c r="E25" i="107"/>
  <c r="E24" i="107"/>
  <c r="I23" i="107"/>
  <c r="E23" i="107"/>
  <c r="I22" i="107"/>
  <c r="E22" i="107"/>
  <c r="I21" i="107"/>
  <c r="E21" i="107"/>
  <c r="I20" i="107"/>
  <c r="E20" i="107"/>
  <c r="I19" i="107"/>
  <c r="E19" i="107"/>
  <c r="I18" i="107"/>
  <c r="E18" i="107"/>
  <c r="I17" i="107"/>
  <c r="E17" i="107"/>
  <c r="I16" i="107"/>
  <c r="E16" i="107"/>
  <c r="I15" i="107"/>
  <c r="E15" i="107"/>
  <c r="I14" i="107"/>
  <c r="E14" i="107"/>
  <c r="E13" i="107"/>
  <c r="I12" i="107"/>
  <c r="H12" i="107"/>
  <c r="E12" i="107"/>
  <c r="J11" i="107"/>
  <c r="E11" i="107"/>
  <c r="J10" i="107"/>
  <c r="E10" i="107"/>
  <c r="J9" i="107"/>
  <c r="E9" i="107"/>
  <c r="E8" i="107"/>
  <c r="J7" i="107"/>
  <c r="E7" i="107"/>
  <c r="J6" i="107"/>
  <c r="E6" i="107"/>
  <c r="J5" i="107"/>
  <c r="E5" i="107"/>
  <c r="E4" i="107"/>
  <c r="E3" i="107"/>
  <c r="D25" i="107"/>
  <c r="D4" i="107"/>
  <c r="B1" i="107"/>
  <c r="J12" i="107" l="1"/>
  <c r="E28" i="107"/>
  <c r="D28" i="107"/>
  <c r="J31" i="105" l="1"/>
  <c r="J49" i="106"/>
  <c r="K49" i="106"/>
  <c r="K48" i="106"/>
  <c r="K47" i="106"/>
  <c r="H30" i="106"/>
  <c r="J30" i="106"/>
  <c r="H23" i="106" l="1"/>
  <c r="E26" i="106"/>
  <c r="D26" i="106"/>
  <c r="K62" i="106"/>
  <c r="J62" i="106"/>
  <c r="K61" i="106"/>
  <c r="K60" i="106"/>
  <c r="K57" i="106"/>
  <c r="K54" i="106"/>
  <c r="K53" i="106"/>
  <c r="K52" i="106"/>
  <c r="K46" i="106"/>
  <c r="K45" i="106"/>
  <c r="F45" i="106"/>
  <c r="E45" i="106"/>
  <c r="K44" i="106"/>
  <c r="F44" i="106"/>
  <c r="E44" i="106"/>
  <c r="K43" i="106"/>
  <c r="F43" i="106"/>
  <c r="E43" i="106"/>
  <c r="F42" i="106"/>
  <c r="E42" i="106"/>
  <c r="F41" i="106"/>
  <c r="E41" i="106"/>
  <c r="F40" i="106"/>
  <c r="E40" i="106"/>
  <c r="E37" i="106"/>
  <c r="I36" i="106"/>
  <c r="I35" i="106"/>
  <c r="I33" i="106"/>
  <c r="D33" i="106"/>
  <c r="C33" i="106"/>
  <c r="E33" i="106" s="1"/>
  <c r="I32" i="106"/>
  <c r="J32" i="106" s="1"/>
  <c r="E32" i="106"/>
  <c r="E31" i="106"/>
  <c r="I30" i="106"/>
  <c r="E30" i="106"/>
  <c r="I28" i="106"/>
  <c r="D27" i="106"/>
  <c r="E27" i="106"/>
  <c r="E25" i="106"/>
  <c r="E24" i="106"/>
  <c r="I23" i="106"/>
  <c r="E23" i="106"/>
  <c r="I22" i="106"/>
  <c r="E22" i="106"/>
  <c r="I21" i="106"/>
  <c r="E21" i="106"/>
  <c r="I20" i="106"/>
  <c r="E20" i="106"/>
  <c r="I19" i="106"/>
  <c r="E19" i="106"/>
  <c r="I18" i="106"/>
  <c r="E18" i="106"/>
  <c r="I17" i="106"/>
  <c r="E17" i="106"/>
  <c r="I16" i="106"/>
  <c r="E16" i="106"/>
  <c r="I15" i="106"/>
  <c r="E15" i="106"/>
  <c r="I14" i="106"/>
  <c r="E14" i="106"/>
  <c r="E13" i="106"/>
  <c r="I12" i="106"/>
  <c r="J12" i="106" s="1"/>
  <c r="H12" i="106"/>
  <c r="E12" i="106"/>
  <c r="J11" i="106"/>
  <c r="E11" i="106"/>
  <c r="J10" i="106"/>
  <c r="E10" i="106"/>
  <c r="J9" i="106"/>
  <c r="E9" i="106"/>
  <c r="J8" i="106"/>
  <c r="E8" i="106"/>
  <c r="J7" i="106"/>
  <c r="E7" i="106"/>
  <c r="J6" i="106"/>
  <c r="E6" i="106"/>
  <c r="J5" i="106"/>
  <c r="E5" i="106"/>
  <c r="E4" i="106"/>
  <c r="E3" i="106"/>
  <c r="D24" i="106"/>
  <c r="D4" i="106"/>
  <c r="H23" i="105" l="1"/>
  <c r="H29" i="105" l="1"/>
  <c r="K45" i="105"/>
  <c r="E26" i="105" l="1"/>
  <c r="D26" i="105"/>
  <c r="E25" i="105"/>
  <c r="D25" i="105"/>
  <c r="E24" i="105"/>
  <c r="E23" i="105"/>
  <c r="K60" i="105"/>
  <c r="J60" i="105"/>
  <c r="K59" i="105"/>
  <c r="K58" i="105"/>
  <c r="K55" i="105"/>
  <c r="K50" i="105"/>
  <c r="K49" i="105"/>
  <c r="K48" i="105"/>
  <c r="K44" i="105"/>
  <c r="F44" i="105"/>
  <c r="E44" i="105"/>
  <c r="K43" i="105"/>
  <c r="F43" i="105"/>
  <c r="E43" i="105"/>
  <c r="K42" i="105"/>
  <c r="F42" i="105"/>
  <c r="E42" i="105"/>
  <c r="F41" i="105"/>
  <c r="E41" i="105"/>
  <c r="F40" i="105"/>
  <c r="E40" i="105"/>
  <c r="F39" i="105"/>
  <c r="E39" i="105"/>
  <c r="E36" i="105"/>
  <c r="I35" i="105"/>
  <c r="I34" i="105"/>
  <c r="I32" i="105"/>
  <c r="D32" i="105"/>
  <c r="C32" i="105"/>
  <c r="E32" i="105" s="1"/>
  <c r="I31" i="105"/>
  <c r="E31" i="105"/>
  <c r="E30" i="105"/>
  <c r="I29" i="105"/>
  <c r="E29" i="105"/>
  <c r="I27" i="105"/>
  <c r="I23" i="105"/>
  <c r="I22" i="105"/>
  <c r="E22" i="105"/>
  <c r="I21" i="105"/>
  <c r="E21" i="105"/>
  <c r="I20" i="105"/>
  <c r="E20" i="105"/>
  <c r="I19" i="105"/>
  <c r="E19" i="105"/>
  <c r="I18" i="105"/>
  <c r="E18" i="105"/>
  <c r="I17" i="105"/>
  <c r="E17" i="105"/>
  <c r="I16" i="105"/>
  <c r="E16" i="105"/>
  <c r="I15" i="105"/>
  <c r="E15" i="105"/>
  <c r="I14" i="105"/>
  <c r="E14" i="105"/>
  <c r="E13" i="105"/>
  <c r="I12" i="105"/>
  <c r="J12" i="105" s="1"/>
  <c r="H12" i="105"/>
  <c r="E12" i="105"/>
  <c r="J11" i="105"/>
  <c r="E11" i="105"/>
  <c r="J10" i="105"/>
  <c r="E10" i="105"/>
  <c r="J9" i="105"/>
  <c r="E9" i="105"/>
  <c r="J8" i="105"/>
  <c r="E8" i="105"/>
  <c r="J7" i="105"/>
  <c r="E7" i="105"/>
  <c r="J6" i="105"/>
  <c r="E6" i="105"/>
  <c r="J5" i="105"/>
  <c r="E5" i="105"/>
  <c r="E4" i="105"/>
  <c r="E3" i="105"/>
  <c r="D23" i="105"/>
  <c r="D4" i="105"/>
  <c r="B1" i="105"/>
  <c r="J59" i="104" l="1"/>
  <c r="K59" i="104"/>
  <c r="K61" i="104" s="1"/>
  <c r="K57" i="104"/>
  <c r="K61" i="103"/>
  <c r="K58" i="104"/>
  <c r="E24" i="104" l="1"/>
  <c r="D24" i="104"/>
  <c r="K54" i="104"/>
  <c r="K49" i="104"/>
  <c r="K48" i="104"/>
  <c r="K47" i="104"/>
  <c r="K43" i="104"/>
  <c r="F43" i="104"/>
  <c r="E43" i="104"/>
  <c r="K42" i="104"/>
  <c r="F42" i="104"/>
  <c r="E42" i="104"/>
  <c r="K41" i="104"/>
  <c r="F41" i="104"/>
  <c r="E41" i="104"/>
  <c r="F40" i="104"/>
  <c r="E40" i="104"/>
  <c r="F39" i="104"/>
  <c r="E39" i="104"/>
  <c r="F38" i="104"/>
  <c r="E38" i="104"/>
  <c r="E35" i="104"/>
  <c r="I34" i="104"/>
  <c r="I33" i="104"/>
  <c r="I31" i="104"/>
  <c r="D31" i="104"/>
  <c r="C31" i="104"/>
  <c r="E31" i="104" s="1"/>
  <c r="I30" i="104"/>
  <c r="E30" i="104"/>
  <c r="E29" i="104"/>
  <c r="H28" i="104"/>
  <c r="I28" i="104" s="1"/>
  <c r="E28" i="104"/>
  <c r="I26" i="104"/>
  <c r="H23" i="104"/>
  <c r="E23" i="104"/>
  <c r="I23" i="104"/>
  <c r="I22" i="104"/>
  <c r="E22" i="104"/>
  <c r="I21" i="104"/>
  <c r="E21" i="104"/>
  <c r="I20" i="104"/>
  <c r="E20" i="104"/>
  <c r="I19" i="104"/>
  <c r="E19" i="104"/>
  <c r="I18" i="104"/>
  <c r="E18" i="104"/>
  <c r="I17" i="104"/>
  <c r="E17" i="104"/>
  <c r="I16" i="104"/>
  <c r="E16" i="104"/>
  <c r="I15" i="104"/>
  <c r="E15" i="104"/>
  <c r="I14" i="104"/>
  <c r="E14" i="104"/>
  <c r="E13" i="104"/>
  <c r="I12" i="104"/>
  <c r="H12" i="104"/>
  <c r="E12" i="104"/>
  <c r="J11" i="104"/>
  <c r="E11" i="104"/>
  <c r="J10" i="104"/>
  <c r="E10" i="104"/>
  <c r="J9" i="104"/>
  <c r="E9" i="104"/>
  <c r="J8" i="104"/>
  <c r="E8" i="104"/>
  <c r="J7" i="104"/>
  <c r="E7" i="104"/>
  <c r="J6" i="104"/>
  <c r="E6" i="104"/>
  <c r="J5" i="104"/>
  <c r="E5" i="104"/>
  <c r="E4" i="104"/>
  <c r="E3" i="104"/>
  <c r="E25" i="104" l="1"/>
  <c r="D25" i="104"/>
  <c r="J30" i="104"/>
  <c r="J12" i="104"/>
  <c r="D22" i="104" l="1"/>
  <c r="D4" i="104" s="1"/>
  <c r="K63" i="103" l="1"/>
  <c r="J60" i="103"/>
  <c r="J59" i="103"/>
  <c r="H23" i="103" l="1"/>
  <c r="D27" i="103"/>
  <c r="E27" i="103"/>
  <c r="D26" i="103"/>
  <c r="E26" i="103"/>
  <c r="K56" i="103"/>
  <c r="K51" i="103"/>
  <c r="K50" i="103"/>
  <c r="K49" i="103"/>
  <c r="K45" i="103"/>
  <c r="F45" i="103"/>
  <c r="E45" i="103"/>
  <c r="K44" i="103"/>
  <c r="F44" i="103"/>
  <c r="E44" i="103"/>
  <c r="K43" i="103"/>
  <c r="F43" i="103"/>
  <c r="E43" i="103"/>
  <c r="F42" i="103"/>
  <c r="E42" i="103"/>
  <c r="F41" i="103"/>
  <c r="E41" i="103"/>
  <c r="F40" i="103"/>
  <c r="E40" i="103"/>
  <c r="E37" i="103"/>
  <c r="I36" i="103"/>
  <c r="I35" i="103"/>
  <c r="I33" i="103"/>
  <c r="D33" i="103"/>
  <c r="C33" i="103"/>
  <c r="E33" i="103" s="1"/>
  <c r="I32" i="103"/>
  <c r="E32" i="103"/>
  <c r="E31" i="103"/>
  <c r="H30" i="103"/>
  <c r="I30" i="103" s="1"/>
  <c r="E30" i="103"/>
  <c r="I28" i="103"/>
  <c r="E25" i="103"/>
  <c r="E22" i="103"/>
  <c r="E23" i="103"/>
  <c r="E24" i="103"/>
  <c r="I23" i="103"/>
  <c r="I22" i="103"/>
  <c r="I21" i="103"/>
  <c r="E21" i="103"/>
  <c r="I20" i="103"/>
  <c r="E20" i="103"/>
  <c r="I19" i="103"/>
  <c r="E19" i="103"/>
  <c r="I18" i="103"/>
  <c r="E18" i="103"/>
  <c r="I17" i="103"/>
  <c r="E17" i="103"/>
  <c r="I16" i="103"/>
  <c r="E16" i="103"/>
  <c r="I15" i="103"/>
  <c r="E15" i="103"/>
  <c r="I14" i="103"/>
  <c r="E14" i="103"/>
  <c r="E13" i="103"/>
  <c r="I12" i="103"/>
  <c r="H12" i="103"/>
  <c r="E12" i="103"/>
  <c r="J11" i="103"/>
  <c r="E11" i="103"/>
  <c r="J10" i="103"/>
  <c r="E10" i="103"/>
  <c r="J9" i="103"/>
  <c r="E9" i="103"/>
  <c r="J8" i="103"/>
  <c r="E8" i="103"/>
  <c r="J7" i="103"/>
  <c r="E7" i="103"/>
  <c r="J6" i="103"/>
  <c r="E6" i="103"/>
  <c r="J5" i="103"/>
  <c r="E5" i="103"/>
  <c r="E4" i="103"/>
  <c r="E3" i="103"/>
  <c r="D24" i="103"/>
  <c r="D4" i="103"/>
  <c r="J12" i="103" l="1"/>
  <c r="J32" i="103"/>
  <c r="H23" i="102" l="1"/>
  <c r="D26" i="102"/>
  <c r="D25" i="102"/>
  <c r="E22" i="102"/>
  <c r="K53" i="102"/>
  <c r="K50" i="102"/>
  <c r="K49" i="102"/>
  <c r="K48" i="102"/>
  <c r="K44" i="102"/>
  <c r="F44" i="102"/>
  <c r="E44" i="102"/>
  <c r="K43" i="102"/>
  <c r="F43" i="102"/>
  <c r="E43" i="102"/>
  <c r="K42" i="102"/>
  <c r="F42" i="102"/>
  <c r="E42" i="102"/>
  <c r="F41" i="102"/>
  <c r="E41" i="102"/>
  <c r="F40" i="102"/>
  <c r="E40" i="102"/>
  <c r="F39" i="102"/>
  <c r="E39" i="102"/>
  <c r="E36" i="102"/>
  <c r="I35" i="102"/>
  <c r="I34" i="102"/>
  <c r="I32" i="102"/>
  <c r="D32" i="102"/>
  <c r="C32" i="102"/>
  <c r="E32" i="102" s="1"/>
  <c r="I31" i="102"/>
  <c r="E31" i="102"/>
  <c r="E30" i="102"/>
  <c r="H29" i="102"/>
  <c r="I29" i="102" s="1"/>
  <c r="E29" i="102"/>
  <c r="I27" i="102"/>
  <c r="I23" i="102"/>
  <c r="I22" i="102"/>
  <c r="I21" i="102"/>
  <c r="E21" i="102"/>
  <c r="I20" i="102"/>
  <c r="E20" i="102"/>
  <c r="I19" i="102"/>
  <c r="E19" i="102"/>
  <c r="I18" i="102"/>
  <c r="E18" i="102"/>
  <c r="I17" i="102"/>
  <c r="E17" i="102"/>
  <c r="I16" i="102"/>
  <c r="E16" i="102"/>
  <c r="I15" i="102"/>
  <c r="E15" i="102"/>
  <c r="I14" i="102"/>
  <c r="E14" i="102"/>
  <c r="E13" i="102"/>
  <c r="I12" i="102"/>
  <c r="J12" i="102" s="1"/>
  <c r="H12" i="102"/>
  <c r="E12" i="102"/>
  <c r="J11" i="102"/>
  <c r="E11" i="102"/>
  <c r="J10" i="102"/>
  <c r="E10" i="102"/>
  <c r="J9" i="102"/>
  <c r="E9" i="102"/>
  <c r="J8" i="102"/>
  <c r="E8" i="102"/>
  <c r="J7" i="102"/>
  <c r="E7" i="102"/>
  <c r="J6" i="102"/>
  <c r="E6" i="102"/>
  <c r="J5" i="102"/>
  <c r="E5" i="102"/>
  <c r="E4" i="102"/>
  <c r="E3" i="102"/>
  <c r="D21" i="102"/>
  <c r="D4" i="102"/>
  <c r="J31" i="102" l="1"/>
  <c r="E25" i="102"/>
  <c r="E26" i="102" s="1"/>
  <c r="E26" i="101" l="1"/>
  <c r="D26" i="101"/>
  <c r="K54" i="101"/>
  <c r="K51" i="101"/>
  <c r="K50" i="101"/>
  <c r="K49" i="101"/>
  <c r="K45" i="101"/>
  <c r="F45" i="101"/>
  <c r="E45" i="101"/>
  <c r="K44" i="101"/>
  <c r="F44" i="101"/>
  <c r="E44" i="101"/>
  <c r="K43" i="101"/>
  <c r="F43" i="101"/>
  <c r="E43" i="101"/>
  <c r="F42" i="101"/>
  <c r="E42" i="101"/>
  <c r="F41" i="101"/>
  <c r="E41" i="101"/>
  <c r="F40" i="101"/>
  <c r="E40" i="101"/>
  <c r="E37" i="101"/>
  <c r="I36" i="101"/>
  <c r="I35" i="101"/>
  <c r="I33" i="101"/>
  <c r="D33" i="101"/>
  <c r="C33" i="101"/>
  <c r="E33" i="101" s="1"/>
  <c r="I32" i="101"/>
  <c r="E32" i="101"/>
  <c r="E31" i="101"/>
  <c r="H30" i="101"/>
  <c r="I30" i="101" s="1"/>
  <c r="E30" i="101"/>
  <c r="I28" i="101"/>
  <c r="D27" i="101"/>
  <c r="E5" i="101"/>
  <c r="E25" i="101"/>
  <c r="H24" i="101"/>
  <c r="I24" i="101" s="1"/>
  <c r="E24" i="101"/>
  <c r="I23" i="101"/>
  <c r="E23" i="101"/>
  <c r="I22" i="101"/>
  <c r="E22" i="101"/>
  <c r="I21" i="101"/>
  <c r="E21" i="101"/>
  <c r="I20" i="101"/>
  <c r="E20" i="101"/>
  <c r="I19" i="101"/>
  <c r="E19" i="101"/>
  <c r="I18" i="101"/>
  <c r="E18" i="101"/>
  <c r="I17" i="101"/>
  <c r="E17" i="101"/>
  <c r="I16" i="101"/>
  <c r="E16" i="101"/>
  <c r="I15" i="101"/>
  <c r="E15" i="101"/>
  <c r="E14" i="101"/>
  <c r="I13" i="101"/>
  <c r="J13" i="101" s="1"/>
  <c r="H13" i="101"/>
  <c r="E13" i="101"/>
  <c r="J12" i="101"/>
  <c r="E12" i="101"/>
  <c r="J11" i="101"/>
  <c r="E11" i="101"/>
  <c r="J10" i="101"/>
  <c r="E10" i="101"/>
  <c r="J9" i="101"/>
  <c r="E9" i="101"/>
  <c r="J8" i="101"/>
  <c r="E8" i="101"/>
  <c r="J7" i="101"/>
  <c r="E7" i="101"/>
  <c r="J6" i="101"/>
  <c r="E6" i="101"/>
  <c r="E4" i="101"/>
  <c r="D24" i="101"/>
  <c r="D4" i="101" s="1"/>
  <c r="J32" i="101" l="1"/>
  <c r="E27" i="101"/>
  <c r="I34" i="100" l="1"/>
  <c r="E25" i="100" l="1"/>
  <c r="D25" i="100"/>
  <c r="D26" i="100" s="1"/>
  <c r="K53" i="100"/>
  <c r="K50" i="100"/>
  <c r="K49" i="100"/>
  <c r="K48" i="100"/>
  <c r="K44" i="100"/>
  <c r="F44" i="100"/>
  <c r="E44" i="100"/>
  <c r="K43" i="100"/>
  <c r="F43" i="100"/>
  <c r="E43" i="100"/>
  <c r="K42" i="100"/>
  <c r="F42" i="100"/>
  <c r="E42" i="100"/>
  <c r="F41" i="100"/>
  <c r="E41" i="100"/>
  <c r="F40" i="100"/>
  <c r="E40" i="100"/>
  <c r="F39" i="100"/>
  <c r="E39" i="100"/>
  <c r="E36" i="100"/>
  <c r="I35" i="100"/>
  <c r="I32" i="100"/>
  <c r="D32" i="100"/>
  <c r="C32" i="100"/>
  <c r="E32" i="100" s="1"/>
  <c r="I31" i="100"/>
  <c r="J31" i="100" s="1"/>
  <c r="E31" i="100"/>
  <c r="E30" i="100"/>
  <c r="H29" i="100"/>
  <c r="I29" i="100" s="1"/>
  <c r="E29" i="100"/>
  <c r="I27" i="100"/>
  <c r="E24" i="100"/>
  <c r="H23" i="100"/>
  <c r="I23" i="100" s="1"/>
  <c r="E23" i="100"/>
  <c r="I22" i="100"/>
  <c r="E22" i="100"/>
  <c r="I21" i="100"/>
  <c r="E21" i="100"/>
  <c r="I20" i="100"/>
  <c r="E20" i="100"/>
  <c r="I19" i="100"/>
  <c r="E19" i="100"/>
  <c r="I18" i="100"/>
  <c r="E18" i="100"/>
  <c r="I17" i="100"/>
  <c r="E17" i="100"/>
  <c r="I16" i="100"/>
  <c r="E16" i="100"/>
  <c r="I15" i="100"/>
  <c r="E15" i="100"/>
  <c r="I14" i="100"/>
  <c r="E14" i="100"/>
  <c r="E13" i="100"/>
  <c r="I12" i="100"/>
  <c r="J12" i="100" s="1"/>
  <c r="H12" i="100"/>
  <c r="E12" i="100"/>
  <c r="J11" i="100"/>
  <c r="E11" i="100"/>
  <c r="J10" i="100"/>
  <c r="E10" i="100"/>
  <c r="J9" i="100"/>
  <c r="E9" i="100"/>
  <c r="J8" i="100"/>
  <c r="E8" i="100"/>
  <c r="J7" i="100"/>
  <c r="E7" i="100"/>
  <c r="J6" i="100"/>
  <c r="E6" i="100"/>
  <c r="J5" i="100"/>
  <c r="E5" i="100"/>
  <c r="E3" i="100"/>
  <c r="D23" i="100"/>
  <c r="D4" i="100" s="1"/>
  <c r="E26" i="100" l="1"/>
  <c r="K53" i="99" l="1"/>
  <c r="H34" i="99"/>
  <c r="D25" i="99" l="1"/>
  <c r="K50" i="99"/>
  <c r="K49" i="99"/>
  <c r="K48" i="99"/>
  <c r="K44" i="99"/>
  <c r="F44" i="99"/>
  <c r="E44" i="99"/>
  <c r="K43" i="99"/>
  <c r="F43" i="99"/>
  <c r="E43" i="99"/>
  <c r="K42" i="99"/>
  <c r="F42" i="99"/>
  <c r="E42" i="99"/>
  <c r="F41" i="99"/>
  <c r="E41" i="99"/>
  <c r="F40" i="99"/>
  <c r="E40" i="99"/>
  <c r="F39" i="99"/>
  <c r="E39" i="99"/>
  <c r="E36" i="99"/>
  <c r="I35" i="99"/>
  <c r="I32" i="99"/>
  <c r="D32" i="99"/>
  <c r="C32" i="99"/>
  <c r="E32" i="99" s="1"/>
  <c r="I31" i="99"/>
  <c r="J31" i="99" s="1"/>
  <c r="E31" i="99"/>
  <c r="E30" i="99"/>
  <c r="H29" i="99"/>
  <c r="I29" i="99" s="1"/>
  <c r="E29" i="99"/>
  <c r="I27" i="99"/>
  <c r="D26" i="99"/>
  <c r="E24" i="99"/>
  <c r="H23" i="99"/>
  <c r="I23" i="99" s="1"/>
  <c r="E23" i="99"/>
  <c r="I22" i="99"/>
  <c r="E22" i="99"/>
  <c r="I21" i="99"/>
  <c r="E21" i="99"/>
  <c r="I20" i="99"/>
  <c r="I19" i="99"/>
  <c r="E19" i="99"/>
  <c r="I18" i="99"/>
  <c r="E18" i="99"/>
  <c r="I17" i="99"/>
  <c r="E17" i="99"/>
  <c r="I16" i="99"/>
  <c r="I15" i="99"/>
  <c r="E15" i="99"/>
  <c r="I14" i="99"/>
  <c r="E14" i="99"/>
  <c r="E13" i="99"/>
  <c r="I12" i="99"/>
  <c r="H12" i="99"/>
  <c r="J11" i="99"/>
  <c r="E11" i="99"/>
  <c r="J10" i="99"/>
  <c r="E10" i="99"/>
  <c r="J9" i="99"/>
  <c r="E9" i="99"/>
  <c r="J8" i="99"/>
  <c r="J7" i="99"/>
  <c r="E7" i="99"/>
  <c r="J6" i="99"/>
  <c r="E6" i="99"/>
  <c r="J5" i="99"/>
  <c r="E5" i="99"/>
  <c r="E3" i="99"/>
  <c r="D23" i="99"/>
  <c r="D4" i="99"/>
  <c r="E20" i="99" s="1"/>
  <c r="B1" i="99"/>
  <c r="E25" i="99" l="1"/>
  <c r="E26" i="99" s="1"/>
  <c r="J12" i="99"/>
  <c r="E8" i="99"/>
  <c r="E12" i="99"/>
  <c r="E16" i="99"/>
  <c r="K50" i="98"/>
  <c r="H29" i="98"/>
  <c r="H23" i="98" l="1"/>
  <c r="E26" i="98"/>
  <c r="D26" i="98"/>
  <c r="D25" i="98"/>
  <c r="E25" i="98" s="1"/>
  <c r="E24" i="98"/>
  <c r="E23" i="98"/>
  <c r="E20" i="98"/>
  <c r="E21" i="98"/>
  <c r="E22" i="98"/>
  <c r="K49" i="98"/>
  <c r="K48" i="98"/>
  <c r="K44" i="98"/>
  <c r="F44" i="98"/>
  <c r="E44" i="98"/>
  <c r="K43" i="98"/>
  <c r="F43" i="98"/>
  <c r="E43" i="98"/>
  <c r="K42" i="98"/>
  <c r="F42" i="98"/>
  <c r="E42" i="98"/>
  <c r="F41" i="98"/>
  <c r="E41" i="98"/>
  <c r="F40" i="98"/>
  <c r="E40" i="98"/>
  <c r="F39" i="98"/>
  <c r="E39" i="98"/>
  <c r="E36" i="98"/>
  <c r="I35" i="98"/>
  <c r="I32" i="98"/>
  <c r="D32" i="98"/>
  <c r="C32" i="98"/>
  <c r="E32" i="98" s="1"/>
  <c r="I31" i="98"/>
  <c r="E31" i="98"/>
  <c r="E30" i="98"/>
  <c r="I29" i="98"/>
  <c r="J31" i="98" s="1"/>
  <c r="E29" i="98"/>
  <c r="I27" i="98"/>
  <c r="I23" i="98"/>
  <c r="I22" i="98"/>
  <c r="I21" i="98"/>
  <c r="I20" i="98"/>
  <c r="I19" i="98"/>
  <c r="E19" i="98"/>
  <c r="I18" i="98"/>
  <c r="E18" i="98"/>
  <c r="I17" i="98"/>
  <c r="E17" i="98"/>
  <c r="I16" i="98"/>
  <c r="E16" i="98"/>
  <c r="I15" i="98"/>
  <c r="E15" i="98"/>
  <c r="I14" i="98"/>
  <c r="E14" i="98"/>
  <c r="E13" i="98"/>
  <c r="I12" i="98"/>
  <c r="J12" i="98" s="1"/>
  <c r="H12" i="98"/>
  <c r="E12" i="98"/>
  <c r="J11" i="98"/>
  <c r="E11" i="98"/>
  <c r="J10" i="98"/>
  <c r="E10" i="98"/>
  <c r="J9" i="98"/>
  <c r="E9" i="98"/>
  <c r="J8" i="98"/>
  <c r="E8" i="98"/>
  <c r="J7" i="98"/>
  <c r="E7" i="98"/>
  <c r="J6" i="98"/>
  <c r="E6" i="98"/>
  <c r="J5" i="98"/>
  <c r="E5" i="98"/>
  <c r="E3" i="98"/>
  <c r="D23" i="98"/>
  <c r="D4" i="98"/>
  <c r="I28" i="97" l="1"/>
  <c r="H28" i="97"/>
  <c r="K48" i="97" l="1"/>
  <c r="K47" i="97"/>
  <c r="K41" i="97"/>
  <c r="K42" i="97"/>
  <c r="K43" i="97"/>
  <c r="D25" i="97"/>
  <c r="E23" i="97"/>
  <c r="E24" i="97"/>
  <c r="D24" i="97"/>
  <c r="F43" i="97"/>
  <c r="E43" i="97"/>
  <c r="F42" i="97"/>
  <c r="E42" i="97"/>
  <c r="F41" i="97"/>
  <c r="E41" i="97"/>
  <c r="F40" i="97"/>
  <c r="E40" i="97"/>
  <c r="F39" i="97"/>
  <c r="E39" i="97"/>
  <c r="F38" i="97"/>
  <c r="E38" i="97"/>
  <c r="E35" i="97"/>
  <c r="I34" i="97"/>
  <c r="I31" i="97"/>
  <c r="D31" i="97"/>
  <c r="C31" i="97"/>
  <c r="E31" i="97" s="1"/>
  <c r="I30" i="97"/>
  <c r="J30" i="97" s="1"/>
  <c r="E30" i="97"/>
  <c r="E29" i="97"/>
  <c r="E28" i="97"/>
  <c r="I26" i="97"/>
  <c r="I22" i="97"/>
  <c r="I21" i="97"/>
  <c r="I20" i="97"/>
  <c r="I19" i="97"/>
  <c r="E19" i="97"/>
  <c r="I18" i="97"/>
  <c r="E18" i="97"/>
  <c r="I17" i="97"/>
  <c r="E17" i="97"/>
  <c r="I16" i="97"/>
  <c r="E16" i="97"/>
  <c r="I15" i="97"/>
  <c r="E15" i="97"/>
  <c r="I14" i="97"/>
  <c r="E14" i="97"/>
  <c r="E13" i="97"/>
  <c r="I12" i="97"/>
  <c r="J12" i="97" s="1"/>
  <c r="H12" i="97"/>
  <c r="E12" i="97"/>
  <c r="J11" i="97"/>
  <c r="E11" i="97"/>
  <c r="J10" i="97"/>
  <c r="E10" i="97"/>
  <c r="J9" i="97"/>
  <c r="E9" i="97"/>
  <c r="J8" i="97"/>
  <c r="E8" i="97"/>
  <c r="J7" i="97"/>
  <c r="E7" i="97"/>
  <c r="J6" i="97"/>
  <c r="E6" i="97"/>
  <c r="J5" i="97"/>
  <c r="E5" i="97"/>
  <c r="E3" i="97"/>
  <c r="D22" i="97"/>
  <c r="D4" i="97" s="1"/>
  <c r="H23" i="97" l="1"/>
  <c r="I23" i="97" s="1"/>
  <c r="E25" i="97"/>
  <c r="H24" i="96"/>
  <c r="G24" i="96"/>
  <c r="H23" i="96" l="1"/>
  <c r="E29" i="96"/>
  <c r="D29" i="96"/>
  <c r="E28" i="96"/>
  <c r="D28" i="96"/>
  <c r="E27" i="96"/>
  <c r="J57" i="96"/>
  <c r="J56" i="96"/>
  <c r="J50" i="96"/>
  <c r="J47" i="96"/>
  <c r="F47" i="96"/>
  <c r="E47" i="96"/>
  <c r="F46" i="96"/>
  <c r="E46" i="96"/>
  <c r="F45" i="96"/>
  <c r="E45" i="96"/>
  <c r="F44" i="96"/>
  <c r="E44" i="96"/>
  <c r="F43" i="96"/>
  <c r="E43" i="96"/>
  <c r="F42" i="96"/>
  <c r="E42" i="96"/>
  <c r="E39" i="96"/>
  <c r="I38" i="96"/>
  <c r="I35" i="96"/>
  <c r="D35" i="96"/>
  <c r="C35" i="96"/>
  <c r="E35" i="96" s="1"/>
  <c r="I34" i="96"/>
  <c r="J34" i="96" s="1"/>
  <c r="E34" i="96"/>
  <c r="E33" i="96"/>
  <c r="E32" i="96"/>
  <c r="I30" i="96"/>
  <c r="I22" i="96"/>
  <c r="I21" i="96"/>
  <c r="I20" i="96"/>
  <c r="I19" i="96"/>
  <c r="E19" i="96"/>
  <c r="I18" i="96"/>
  <c r="E18" i="96"/>
  <c r="I17" i="96"/>
  <c r="E17" i="96"/>
  <c r="I16" i="96"/>
  <c r="E16" i="96"/>
  <c r="I15" i="96"/>
  <c r="E15" i="96"/>
  <c r="I14" i="96"/>
  <c r="E14" i="96"/>
  <c r="E13" i="96"/>
  <c r="I12" i="96"/>
  <c r="H12" i="96"/>
  <c r="E12" i="96"/>
  <c r="J11" i="96"/>
  <c r="E11" i="96"/>
  <c r="J10" i="96"/>
  <c r="E10" i="96"/>
  <c r="J9" i="96"/>
  <c r="E9" i="96"/>
  <c r="J8" i="96"/>
  <c r="E8" i="96"/>
  <c r="J7" i="96"/>
  <c r="E7" i="96"/>
  <c r="J6" i="96"/>
  <c r="E6" i="96"/>
  <c r="J5" i="96"/>
  <c r="E5" i="96"/>
  <c r="E3" i="96"/>
  <c r="D23" i="96"/>
  <c r="D4" i="96" s="1"/>
  <c r="B1" i="96"/>
  <c r="J12" i="96" l="1"/>
  <c r="J24" i="96"/>
  <c r="I24" i="96"/>
  <c r="I23" i="96"/>
  <c r="E8" i="95" l="1"/>
  <c r="J57" i="95" l="1"/>
  <c r="J56" i="95"/>
  <c r="H23" i="95" l="1"/>
  <c r="D29" i="95"/>
  <c r="E28" i="95"/>
  <c r="D28" i="95"/>
  <c r="E29" i="95" s="1"/>
  <c r="E27" i="95"/>
  <c r="J50" i="95"/>
  <c r="J47" i="95"/>
  <c r="F47" i="95"/>
  <c r="E47" i="95"/>
  <c r="F46" i="95"/>
  <c r="E46" i="95"/>
  <c r="F45" i="95"/>
  <c r="E45" i="95"/>
  <c r="F44" i="95"/>
  <c r="E44" i="95"/>
  <c r="F43" i="95"/>
  <c r="E43" i="95"/>
  <c r="F42" i="95"/>
  <c r="E42" i="95"/>
  <c r="E39" i="95"/>
  <c r="I38" i="95"/>
  <c r="I35" i="95"/>
  <c r="D35" i="95"/>
  <c r="C35" i="95"/>
  <c r="E35" i="95" s="1"/>
  <c r="I34" i="95"/>
  <c r="J34" i="95" s="1"/>
  <c r="E34" i="95"/>
  <c r="E33" i="95"/>
  <c r="E32" i="95"/>
  <c r="I30" i="95"/>
  <c r="H24" i="95"/>
  <c r="J24" i="95" s="1"/>
  <c r="G24" i="95"/>
  <c r="I23" i="95"/>
  <c r="I22" i="95"/>
  <c r="I21" i="95"/>
  <c r="I20" i="95"/>
  <c r="I19" i="95"/>
  <c r="E19" i="95"/>
  <c r="I18" i="95"/>
  <c r="E18" i="95"/>
  <c r="I17" i="95"/>
  <c r="E17" i="95"/>
  <c r="I16" i="95"/>
  <c r="E16" i="95"/>
  <c r="I15" i="95"/>
  <c r="E15" i="95"/>
  <c r="I14" i="95"/>
  <c r="E14" i="95"/>
  <c r="E13" i="95"/>
  <c r="I12" i="95"/>
  <c r="J12" i="95" s="1"/>
  <c r="H12" i="95"/>
  <c r="E12" i="95"/>
  <c r="J11" i="95"/>
  <c r="E11" i="95"/>
  <c r="J10" i="95"/>
  <c r="E10" i="95"/>
  <c r="J9" i="95"/>
  <c r="E9" i="95"/>
  <c r="J8" i="95"/>
  <c r="J7" i="95"/>
  <c r="E7" i="95"/>
  <c r="J6" i="95"/>
  <c r="E6" i="95"/>
  <c r="J5" i="95"/>
  <c r="E5" i="95"/>
  <c r="E3" i="95"/>
  <c r="D19" i="95"/>
  <c r="D4" i="95" s="1"/>
  <c r="I24" i="95" l="1"/>
  <c r="I34" i="94"/>
  <c r="D28" i="94" l="1"/>
  <c r="D29" i="94" s="1"/>
  <c r="J50" i="94"/>
  <c r="J47" i="94"/>
  <c r="F47" i="94"/>
  <c r="E47" i="94"/>
  <c r="F46" i="94"/>
  <c r="E46" i="94"/>
  <c r="F45" i="94"/>
  <c r="E45" i="94"/>
  <c r="F44" i="94"/>
  <c r="E44" i="94"/>
  <c r="F43" i="94"/>
  <c r="E43" i="94"/>
  <c r="F42" i="94"/>
  <c r="E42" i="94"/>
  <c r="E39" i="94"/>
  <c r="I38" i="94"/>
  <c r="I35" i="94"/>
  <c r="D35" i="94"/>
  <c r="C35" i="94"/>
  <c r="E35" i="94" s="1"/>
  <c r="J34" i="94"/>
  <c r="E34" i="94"/>
  <c r="E33" i="94"/>
  <c r="E32" i="94"/>
  <c r="I30" i="94"/>
  <c r="E27" i="94"/>
  <c r="G24" i="94"/>
  <c r="I23" i="94"/>
  <c r="H23" i="94"/>
  <c r="H24" i="94" s="1"/>
  <c r="J24" i="94" s="1"/>
  <c r="I22" i="94"/>
  <c r="I21" i="94"/>
  <c r="I20" i="94"/>
  <c r="I19" i="94"/>
  <c r="I18" i="94"/>
  <c r="I17" i="94"/>
  <c r="I16" i="94"/>
  <c r="I15" i="94"/>
  <c r="I14" i="94"/>
  <c r="I12" i="94"/>
  <c r="H12" i="94"/>
  <c r="J11" i="94"/>
  <c r="J10" i="94"/>
  <c r="J9" i="94"/>
  <c r="J8" i="94"/>
  <c r="J7" i="94"/>
  <c r="J6" i="94"/>
  <c r="J5" i="94"/>
  <c r="E3" i="94"/>
  <c r="D26" i="94"/>
  <c r="D4" i="94" s="1"/>
  <c r="E23" i="94" s="1"/>
  <c r="B1" i="94"/>
  <c r="E28" i="94" l="1"/>
  <c r="E29" i="94" s="1"/>
  <c r="E8" i="94"/>
  <c r="E16" i="94"/>
  <c r="E9" i="94"/>
  <c r="E12" i="94"/>
  <c r="E20" i="94"/>
  <c r="E5" i="94"/>
  <c r="E13" i="94"/>
  <c r="E26" i="94"/>
  <c r="E24" i="94"/>
  <c r="J12" i="94"/>
  <c r="E17" i="94"/>
  <c r="E21" i="94"/>
  <c r="E6" i="94"/>
  <c r="E10" i="94"/>
  <c r="E14" i="94"/>
  <c r="E18" i="94"/>
  <c r="E22" i="94"/>
  <c r="E25" i="94"/>
  <c r="E7" i="94"/>
  <c r="E11" i="94"/>
  <c r="E15" i="94"/>
  <c r="E19" i="94"/>
  <c r="I24" i="94"/>
  <c r="J47" i="93" l="1"/>
  <c r="H23" i="93" l="1"/>
  <c r="I23" i="93" s="1"/>
  <c r="G24" i="93"/>
  <c r="D29" i="93"/>
  <c r="E28" i="93"/>
  <c r="D28" i="93"/>
  <c r="E3" i="93"/>
  <c r="J50" i="93"/>
  <c r="F47" i="93"/>
  <c r="E47" i="93"/>
  <c r="F46" i="93"/>
  <c r="E46" i="93"/>
  <c r="F45" i="93"/>
  <c r="E45" i="93"/>
  <c r="F44" i="93"/>
  <c r="E44" i="93"/>
  <c r="F43" i="93"/>
  <c r="E43" i="93"/>
  <c r="F42" i="93"/>
  <c r="E42" i="93"/>
  <c r="E39" i="93"/>
  <c r="I38" i="93"/>
  <c r="I35" i="93"/>
  <c r="D35" i="93"/>
  <c r="C35" i="93"/>
  <c r="E35" i="93" s="1"/>
  <c r="J34" i="93"/>
  <c r="E34" i="93"/>
  <c r="E33" i="93"/>
  <c r="E32" i="93"/>
  <c r="I30" i="93"/>
  <c r="E27" i="93"/>
  <c r="I22" i="93"/>
  <c r="I21" i="93"/>
  <c r="I20" i="93"/>
  <c r="I19" i="93"/>
  <c r="I18" i="93"/>
  <c r="I17" i="93"/>
  <c r="I16" i="93"/>
  <c r="I15" i="93"/>
  <c r="I14" i="93"/>
  <c r="I12" i="93"/>
  <c r="H12" i="93"/>
  <c r="J11" i="93"/>
  <c r="J10" i="93"/>
  <c r="J9" i="93"/>
  <c r="J8" i="93"/>
  <c r="J7" i="93"/>
  <c r="J6" i="93"/>
  <c r="J5" i="93"/>
  <c r="D26" i="93"/>
  <c r="E26" i="93" s="1"/>
  <c r="D4" i="93"/>
  <c r="E22" i="93" s="1"/>
  <c r="B1" i="93"/>
  <c r="H24" i="93" l="1"/>
  <c r="E29" i="93"/>
  <c r="E7" i="93"/>
  <c r="E11" i="93"/>
  <c r="E15" i="93"/>
  <c r="E19" i="93"/>
  <c r="E23" i="93"/>
  <c r="E16" i="93"/>
  <c r="E25" i="93"/>
  <c r="E24" i="93"/>
  <c r="E8" i="93"/>
  <c r="E20" i="93"/>
  <c r="J24" i="93"/>
  <c r="E5" i="93"/>
  <c r="E9" i="93"/>
  <c r="E17" i="93"/>
  <c r="E13" i="93"/>
  <c r="E12" i="93"/>
  <c r="J12" i="93"/>
  <c r="E21" i="93"/>
  <c r="E6" i="93"/>
  <c r="E10" i="93"/>
  <c r="E14" i="93"/>
  <c r="E18" i="93"/>
  <c r="I24" i="93"/>
  <c r="J24" i="92" l="1"/>
  <c r="I24" i="92"/>
  <c r="G24" i="92"/>
  <c r="J22" i="92" s="1"/>
  <c r="H22" i="92"/>
  <c r="D28" i="92"/>
  <c r="D29" i="92" s="1"/>
  <c r="J49" i="92"/>
  <c r="F47" i="92"/>
  <c r="E47" i="92"/>
  <c r="J46" i="92"/>
  <c r="F46" i="92"/>
  <c r="E46" i="92"/>
  <c r="F45" i="92"/>
  <c r="E45" i="92"/>
  <c r="F44" i="92"/>
  <c r="E44" i="92"/>
  <c r="F43" i="92"/>
  <c r="E43" i="92"/>
  <c r="F42" i="92"/>
  <c r="E42" i="92"/>
  <c r="E39" i="92"/>
  <c r="I38" i="92"/>
  <c r="I35" i="92"/>
  <c r="D35" i="92"/>
  <c r="C35" i="92"/>
  <c r="E35" i="92" s="1"/>
  <c r="J34" i="92"/>
  <c r="E34" i="92"/>
  <c r="E33" i="92"/>
  <c r="E32" i="92"/>
  <c r="I30" i="92"/>
  <c r="E27" i="92"/>
  <c r="E26" i="92"/>
  <c r="E25" i="92"/>
  <c r="H24" i="92"/>
  <c r="E24" i="92"/>
  <c r="E23" i="92"/>
  <c r="I22" i="92"/>
  <c r="E22" i="92"/>
  <c r="I21" i="92"/>
  <c r="E21" i="92"/>
  <c r="I20" i="92"/>
  <c r="E20" i="92"/>
  <c r="I19" i="92"/>
  <c r="E19" i="92"/>
  <c r="I18" i="92"/>
  <c r="E18" i="92"/>
  <c r="I17" i="92"/>
  <c r="E17" i="92"/>
  <c r="I16" i="92"/>
  <c r="E16" i="92"/>
  <c r="I15" i="92"/>
  <c r="E15" i="92"/>
  <c r="I14" i="92"/>
  <c r="E14" i="92"/>
  <c r="E13" i="92"/>
  <c r="I12" i="92"/>
  <c r="J12" i="92" s="1"/>
  <c r="H12" i="92"/>
  <c r="E12" i="92"/>
  <c r="J11" i="92"/>
  <c r="E11" i="92"/>
  <c r="J10" i="92"/>
  <c r="E10" i="92"/>
  <c r="J9" i="92"/>
  <c r="E9" i="92"/>
  <c r="J8" i="92"/>
  <c r="E8" i="92"/>
  <c r="J7" i="92"/>
  <c r="E7" i="92"/>
  <c r="J6" i="92"/>
  <c r="E6" i="92"/>
  <c r="J5" i="92"/>
  <c r="E5" i="92"/>
  <c r="E3" i="92"/>
  <c r="D26" i="92"/>
  <c r="D4" i="92"/>
  <c r="E28" i="92" l="1"/>
  <c r="E29" i="92" s="1"/>
  <c r="I35" i="91"/>
  <c r="I34" i="91"/>
  <c r="F27" i="91" l="1"/>
  <c r="I22" i="91"/>
  <c r="E28" i="91"/>
  <c r="D28" i="91"/>
  <c r="D29" i="91" s="1"/>
  <c r="J49" i="91"/>
  <c r="F47" i="91"/>
  <c r="E47" i="91"/>
  <c r="J46" i="91"/>
  <c r="F46" i="91"/>
  <c r="E46" i="91"/>
  <c r="F45" i="91"/>
  <c r="E45" i="91"/>
  <c r="F44" i="91"/>
  <c r="E44" i="91"/>
  <c r="F43" i="91"/>
  <c r="E43" i="91"/>
  <c r="F42" i="91"/>
  <c r="E42" i="91"/>
  <c r="E39" i="91"/>
  <c r="I38" i="91"/>
  <c r="D35" i="91"/>
  <c r="C35" i="91"/>
  <c r="J34" i="91"/>
  <c r="E34" i="91"/>
  <c r="E33" i="91"/>
  <c r="E32" i="91"/>
  <c r="I30" i="91"/>
  <c r="E27" i="91"/>
  <c r="G24" i="91"/>
  <c r="H22" i="91"/>
  <c r="H24" i="91" s="1"/>
  <c r="E22" i="91"/>
  <c r="I21" i="91"/>
  <c r="I20" i="91"/>
  <c r="I19" i="91"/>
  <c r="I18" i="91"/>
  <c r="E18" i="91"/>
  <c r="I17" i="91"/>
  <c r="I16" i="91"/>
  <c r="I15" i="91"/>
  <c r="I14" i="91"/>
  <c r="E14" i="91"/>
  <c r="I12" i="91"/>
  <c r="H12" i="91"/>
  <c r="J11" i="91"/>
  <c r="E11" i="91"/>
  <c r="J10" i="91"/>
  <c r="J9" i="91"/>
  <c r="J8" i="91"/>
  <c r="J7" i="91"/>
  <c r="E7" i="91"/>
  <c r="J6" i="91"/>
  <c r="J5" i="91"/>
  <c r="E3" i="91"/>
  <c r="D26" i="91"/>
  <c r="E26" i="91" s="1"/>
  <c r="D4" i="91"/>
  <c r="E13" i="91" s="1"/>
  <c r="B1" i="91"/>
  <c r="E35" i="91" l="1"/>
  <c r="E29" i="91"/>
  <c r="J12" i="91"/>
  <c r="E23" i="91"/>
  <c r="E16" i="91"/>
  <c r="E15" i="91"/>
  <c r="E19" i="91"/>
  <c r="E8" i="91"/>
  <c r="E24" i="91"/>
  <c r="E9" i="91"/>
  <c r="E12" i="91"/>
  <c r="E20" i="91"/>
  <c r="E5" i="91"/>
  <c r="E25" i="91"/>
  <c r="E17" i="91"/>
  <c r="E21" i="91"/>
  <c r="E6" i="91"/>
  <c r="E10" i="91"/>
  <c r="J24" i="91"/>
  <c r="I24" i="91"/>
  <c r="J46" i="90" l="1"/>
  <c r="J49" i="90"/>
  <c r="I30" i="90"/>
  <c r="J34" i="90"/>
  <c r="D29" i="90" l="1"/>
  <c r="E29" i="90"/>
  <c r="E28" i="90"/>
  <c r="D28" i="90"/>
  <c r="E10" i="90"/>
  <c r="F47" i="90"/>
  <c r="E47" i="90"/>
  <c r="F46" i="90"/>
  <c r="E46" i="90"/>
  <c r="F45" i="90"/>
  <c r="E45" i="90"/>
  <c r="F44" i="90"/>
  <c r="E44" i="90"/>
  <c r="F43" i="90"/>
  <c r="E43" i="90"/>
  <c r="F42" i="90"/>
  <c r="E42" i="90"/>
  <c r="E39" i="90"/>
  <c r="I38" i="90"/>
  <c r="D35" i="90"/>
  <c r="C35" i="90"/>
  <c r="E35" i="90" s="1"/>
  <c r="E34" i="90"/>
  <c r="E33" i="90"/>
  <c r="E32" i="90"/>
  <c r="H22" i="90"/>
  <c r="H24" i="90" s="1"/>
  <c r="J24" i="90" s="1"/>
  <c r="E27" i="90"/>
  <c r="E25" i="90"/>
  <c r="E26" i="90"/>
  <c r="G24" i="90"/>
  <c r="E24" i="90"/>
  <c r="E23" i="90"/>
  <c r="I22" i="90"/>
  <c r="E22" i="90"/>
  <c r="I21" i="90"/>
  <c r="E21" i="90"/>
  <c r="I20" i="90"/>
  <c r="E20" i="90"/>
  <c r="I19" i="90"/>
  <c r="E19" i="90"/>
  <c r="I18" i="90"/>
  <c r="E18" i="90"/>
  <c r="I17" i="90"/>
  <c r="E17" i="90"/>
  <c r="I16" i="90"/>
  <c r="E16" i="90"/>
  <c r="I15" i="90"/>
  <c r="E15" i="90"/>
  <c r="I14" i="90"/>
  <c r="E14" i="90"/>
  <c r="E13" i="90"/>
  <c r="I12" i="90"/>
  <c r="J12" i="90" s="1"/>
  <c r="H12" i="90"/>
  <c r="E12" i="90"/>
  <c r="J11" i="90"/>
  <c r="E11" i="90"/>
  <c r="J10" i="90"/>
  <c r="J9" i="90"/>
  <c r="E9" i="90"/>
  <c r="J8" i="90"/>
  <c r="E8" i="90"/>
  <c r="J7" i="90"/>
  <c r="E7" i="90"/>
  <c r="J6" i="90"/>
  <c r="E6" i="90"/>
  <c r="J5" i="90"/>
  <c r="E5" i="90"/>
  <c r="E3" i="90"/>
  <c r="D26" i="90"/>
  <c r="D4" i="90" s="1"/>
  <c r="I24" i="90" l="1"/>
  <c r="H22" i="89" l="1"/>
  <c r="E26" i="89"/>
  <c r="D26" i="89"/>
  <c r="F45" i="89"/>
  <c r="E45" i="89"/>
  <c r="F44" i="89"/>
  <c r="E44" i="89"/>
  <c r="J47" i="89"/>
  <c r="K47" i="89" s="1"/>
  <c r="F43" i="89"/>
  <c r="E43" i="89"/>
  <c r="F42" i="89"/>
  <c r="E42" i="89"/>
  <c r="F41" i="89"/>
  <c r="E41" i="89"/>
  <c r="F40" i="89"/>
  <c r="E40" i="89"/>
  <c r="E37" i="89"/>
  <c r="I36" i="89"/>
  <c r="D33" i="89"/>
  <c r="C33" i="89"/>
  <c r="E33" i="89" s="1"/>
  <c r="J32" i="89"/>
  <c r="E32" i="89"/>
  <c r="E31" i="89"/>
  <c r="E30" i="89"/>
  <c r="D27" i="89"/>
  <c r="E25" i="89"/>
  <c r="E23" i="89"/>
  <c r="E24" i="89"/>
  <c r="G24" i="89"/>
  <c r="I22" i="89"/>
  <c r="H24" i="89"/>
  <c r="E22" i="89"/>
  <c r="I21" i="89"/>
  <c r="E21" i="89"/>
  <c r="I20" i="89"/>
  <c r="E20" i="89"/>
  <c r="I19" i="89"/>
  <c r="E19" i="89"/>
  <c r="I18" i="89"/>
  <c r="E18" i="89"/>
  <c r="I17" i="89"/>
  <c r="E17" i="89"/>
  <c r="I16" i="89"/>
  <c r="E16" i="89"/>
  <c r="I15" i="89"/>
  <c r="E15" i="89"/>
  <c r="I14" i="89"/>
  <c r="E14" i="89"/>
  <c r="E13" i="89"/>
  <c r="I12" i="89"/>
  <c r="J12" i="89" s="1"/>
  <c r="H12" i="89"/>
  <c r="E12" i="89"/>
  <c r="J11" i="89"/>
  <c r="E11" i="89"/>
  <c r="J10" i="89"/>
  <c r="E10" i="89"/>
  <c r="J9" i="89"/>
  <c r="E9" i="89"/>
  <c r="J8" i="89"/>
  <c r="E8" i="89"/>
  <c r="J7" i="89"/>
  <c r="E7" i="89"/>
  <c r="J6" i="89"/>
  <c r="E6" i="89"/>
  <c r="J5" i="89"/>
  <c r="E5" i="89"/>
  <c r="E3" i="89"/>
  <c r="D24" i="89"/>
  <c r="D4" i="89" s="1"/>
  <c r="E27" i="89" l="1"/>
  <c r="I24" i="89"/>
  <c r="J24" i="89"/>
  <c r="H22" i="88" l="1"/>
  <c r="I22" i="88" s="1"/>
  <c r="E27" i="88"/>
  <c r="D27" i="88"/>
  <c r="E26" i="88"/>
  <c r="D26" i="88"/>
  <c r="E25" i="88"/>
  <c r="F45" i="88"/>
  <c r="E45" i="88"/>
  <c r="F44" i="88"/>
  <c r="E44" i="88"/>
  <c r="J43" i="88"/>
  <c r="J47" i="88" s="1"/>
  <c r="K47" i="88" s="1"/>
  <c r="F43" i="88"/>
  <c r="E43" i="88"/>
  <c r="F42" i="88"/>
  <c r="E42" i="88"/>
  <c r="F41" i="88"/>
  <c r="E41" i="88"/>
  <c r="F40" i="88"/>
  <c r="E40" i="88"/>
  <c r="E37" i="88"/>
  <c r="I36" i="88"/>
  <c r="D33" i="88"/>
  <c r="C33" i="88"/>
  <c r="E33" i="88" s="1"/>
  <c r="J32" i="88"/>
  <c r="E32" i="88"/>
  <c r="E31" i="88"/>
  <c r="E30" i="88"/>
  <c r="G24" i="88"/>
  <c r="E22" i="88"/>
  <c r="I21" i="88"/>
  <c r="E21" i="88"/>
  <c r="I20" i="88"/>
  <c r="E20" i="88"/>
  <c r="I19" i="88"/>
  <c r="E19" i="88"/>
  <c r="I18" i="88"/>
  <c r="E18" i="88"/>
  <c r="I17" i="88"/>
  <c r="E17" i="88"/>
  <c r="I16" i="88"/>
  <c r="E16" i="88"/>
  <c r="I15" i="88"/>
  <c r="E15" i="88"/>
  <c r="I14" i="88"/>
  <c r="E14" i="88"/>
  <c r="E13" i="88"/>
  <c r="I12" i="88"/>
  <c r="J12" i="88" s="1"/>
  <c r="H12" i="88"/>
  <c r="E12" i="88"/>
  <c r="J11" i="88"/>
  <c r="E11" i="88"/>
  <c r="J10" i="88"/>
  <c r="E10" i="88"/>
  <c r="J9" i="88"/>
  <c r="E9" i="88"/>
  <c r="J8" i="88"/>
  <c r="E8" i="88"/>
  <c r="J7" i="88"/>
  <c r="E7" i="88"/>
  <c r="J6" i="88"/>
  <c r="E6" i="88"/>
  <c r="J5" i="88"/>
  <c r="E5" i="88"/>
  <c r="E3" i="88"/>
  <c r="D24" i="88"/>
  <c r="D4" i="88" s="1"/>
  <c r="B1" i="88"/>
  <c r="H24" i="88" l="1"/>
  <c r="I24" i="88" s="1"/>
  <c r="J24" i="88"/>
  <c r="D25" i="87" l="1"/>
  <c r="F44" i="87"/>
  <c r="E44" i="87"/>
  <c r="F43" i="87"/>
  <c r="E43" i="87"/>
  <c r="J42" i="87"/>
  <c r="J46" i="87" s="1"/>
  <c r="K46" i="87" s="1"/>
  <c r="F42" i="87"/>
  <c r="E42" i="87"/>
  <c r="F41" i="87"/>
  <c r="E41" i="87"/>
  <c r="F40" i="87"/>
  <c r="E40" i="87"/>
  <c r="F39" i="87"/>
  <c r="E39" i="87"/>
  <c r="E36" i="87"/>
  <c r="I35" i="87"/>
  <c r="D32" i="87"/>
  <c r="C32" i="87"/>
  <c r="E32" i="87" s="1"/>
  <c r="J31" i="87"/>
  <c r="E31" i="87"/>
  <c r="E30" i="87"/>
  <c r="E29" i="87"/>
  <c r="D26" i="87"/>
  <c r="H24" i="87"/>
  <c r="J24" i="87" s="1"/>
  <c r="G24" i="87"/>
  <c r="E23" i="87"/>
  <c r="H22" i="87"/>
  <c r="I22" i="87" s="1"/>
  <c r="I21" i="87"/>
  <c r="I20" i="87"/>
  <c r="I19" i="87"/>
  <c r="I18" i="87"/>
  <c r="I17" i="87"/>
  <c r="I16" i="87"/>
  <c r="I15" i="87"/>
  <c r="I14" i="87"/>
  <c r="I12" i="87"/>
  <c r="H12" i="87"/>
  <c r="J11" i="87"/>
  <c r="J10" i="87"/>
  <c r="J9" i="87"/>
  <c r="J8" i="87"/>
  <c r="J7" i="87"/>
  <c r="J6" i="87"/>
  <c r="J5" i="87"/>
  <c r="E3" i="87"/>
  <c r="D22" i="87"/>
  <c r="E22" i="87" s="1"/>
  <c r="D4" i="87"/>
  <c r="E19" i="87" s="1"/>
  <c r="B1" i="87"/>
  <c r="I24" i="87" l="1"/>
  <c r="E25" i="87"/>
  <c r="E26" i="87" s="1"/>
  <c r="E12" i="87"/>
  <c r="E20" i="87"/>
  <c r="E5" i="87"/>
  <c r="E9" i="87"/>
  <c r="J12" i="87"/>
  <c r="E17" i="87"/>
  <c r="E21" i="87"/>
  <c r="E13" i="87"/>
  <c r="E6" i="87"/>
  <c r="E10" i="87"/>
  <c r="E14" i="87"/>
  <c r="E18" i="87"/>
  <c r="E8" i="87"/>
  <c r="E16" i="87"/>
  <c r="E7" i="87"/>
  <c r="E11" i="87"/>
  <c r="E15" i="87"/>
  <c r="H22" i="86" l="1"/>
  <c r="D26" i="86"/>
  <c r="E26" i="86"/>
  <c r="E25" i="86"/>
  <c r="D25" i="86"/>
  <c r="E23" i="86"/>
  <c r="F44" i="86"/>
  <c r="E44" i="86"/>
  <c r="F43" i="86"/>
  <c r="E43" i="86"/>
  <c r="J42" i="86"/>
  <c r="J46" i="86" s="1"/>
  <c r="K46" i="86" s="1"/>
  <c r="F42" i="86"/>
  <c r="E42" i="86"/>
  <c r="F41" i="86"/>
  <c r="E41" i="86"/>
  <c r="F40" i="86"/>
  <c r="E40" i="86"/>
  <c r="F39" i="86"/>
  <c r="E39" i="86"/>
  <c r="E36" i="86"/>
  <c r="I35" i="86"/>
  <c r="D32" i="86"/>
  <c r="C32" i="86"/>
  <c r="E32" i="86" s="1"/>
  <c r="J31" i="86"/>
  <c r="E31" i="86"/>
  <c r="E30" i="86"/>
  <c r="E29" i="86"/>
  <c r="H24" i="86"/>
  <c r="J24" i="86" s="1"/>
  <c r="G24" i="86"/>
  <c r="I22" i="86"/>
  <c r="E22" i="86"/>
  <c r="I21" i="86"/>
  <c r="E21" i="86"/>
  <c r="I20" i="86"/>
  <c r="E20" i="86"/>
  <c r="I19" i="86"/>
  <c r="E19" i="86"/>
  <c r="I18" i="86"/>
  <c r="E18" i="86"/>
  <c r="I17" i="86"/>
  <c r="E17" i="86"/>
  <c r="I16" i="86"/>
  <c r="E16" i="86"/>
  <c r="I15" i="86"/>
  <c r="E15" i="86"/>
  <c r="I14" i="86"/>
  <c r="E14" i="86"/>
  <c r="E13" i="86"/>
  <c r="I12" i="86"/>
  <c r="H12" i="86"/>
  <c r="E12" i="86"/>
  <c r="J11" i="86"/>
  <c r="E11" i="86"/>
  <c r="J10" i="86"/>
  <c r="E10" i="86"/>
  <c r="J9" i="86"/>
  <c r="E9" i="86"/>
  <c r="J8" i="86"/>
  <c r="E8" i="86"/>
  <c r="J7" i="86"/>
  <c r="E7" i="86"/>
  <c r="J6" i="86"/>
  <c r="E6" i="86"/>
  <c r="J5" i="86"/>
  <c r="E5" i="86"/>
  <c r="E3" i="86"/>
  <c r="D22" i="86"/>
  <c r="D4" i="86"/>
  <c r="B1" i="86"/>
  <c r="J12" i="86" l="1"/>
  <c r="I24" i="86"/>
  <c r="E29" i="85" l="1"/>
  <c r="E28" i="85"/>
  <c r="D28" i="85"/>
  <c r="E27" i="85"/>
  <c r="H22" i="85"/>
  <c r="E25" i="85"/>
  <c r="J34" i="85"/>
  <c r="J45" i="85" l="1"/>
  <c r="J49" i="85"/>
  <c r="F47" i="85"/>
  <c r="E47" i="85"/>
  <c r="F46" i="85"/>
  <c r="E46" i="85"/>
  <c r="F45" i="85"/>
  <c r="E45" i="85"/>
  <c r="F44" i="85"/>
  <c r="E44" i="85"/>
  <c r="F43" i="85"/>
  <c r="E43" i="85"/>
  <c r="F42" i="85"/>
  <c r="E42" i="85"/>
  <c r="E39" i="85"/>
  <c r="I38" i="85"/>
  <c r="D35" i="85"/>
  <c r="C35" i="85"/>
  <c r="E34" i="85"/>
  <c r="E33" i="85"/>
  <c r="E32" i="85"/>
  <c r="D29" i="85"/>
  <c r="G24" i="85"/>
  <c r="I22" i="85"/>
  <c r="H24" i="85"/>
  <c r="J24" i="85" s="1"/>
  <c r="E22" i="85"/>
  <c r="I21" i="85"/>
  <c r="I20" i="85"/>
  <c r="I19" i="85"/>
  <c r="I18" i="85"/>
  <c r="E18" i="85"/>
  <c r="I17" i="85"/>
  <c r="I16" i="85"/>
  <c r="I15" i="85"/>
  <c r="I14" i="85"/>
  <c r="E14" i="85"/>
  <c r="I12" i="85"/>
  <c r="H12" i="85"/>
  <c r="J11" i="85"/>
  <c r="J10" i="85"/>
  <c r="E10" i="85"/>
  <c r="J9" i="85"/>
  <c r="J8" i="85"/>
  <c r="J7" i="85"/>
  <c r="J6" i="85"/>
  <c r="E6" i="85"/>
  <c r="J5" i="85"/>
  <c r="E3" i="85"/>
  <c r="D26" i="85"/>
  <c r="D4" i="85"/>
  <c r="E13" i="85" s="1"/>
  <c r="E35" i="85" l="1"/>
  <c r="K49" i="85"/>
  <c r="E11" i="85"/>
  <c r="E23" i="85"/>
  <c r="E8" i="85"/>
  <c r="E16" i="85"/>
  <c r="E24" i="85"/>
  <c r="E9" i="85"/>
  <c r="J12" i="85"/>
  <c r="E17" i="85"/>
  <c r="E21" i="85"/>
  <c r="E7" i="85"/>
  <c r="E15" i="85"/>
  <c r="E19" i="85"/>
  <c r="E12" i="85"/>
  <c r="E20" i="85"/>
  <c r="E5" i="85"/>
  <c r="I24" i="85"/>
  <c r="J33" i="84" l="1"/>
  <c r="H22" i="84" l="1"/>
  <c r="E28" i="84"/>
  <c r="E27" i="84"/>
  <c r="D27" i="84"/>
  <c r="D28" i="84" s="1"/>
  <c r="E26" i="84"/>
  <c r="F46" i="84"/>
  <c r="E46" i="84"/>
  <c r="F45" i="84"/>
  <c r="E45" i="84"/>
  <c r="F44" i="84"/>
  <c r="E44" i="84"/>
  <c r="F43" i="84"/>
  <c r="E43" i="84"/>
  <c r="F42" i="84"/>
  <c r="E42" i="84"/>
  <c r="F41" i="84"/>
  <c r="E41" i="84"/>
  <c r="E38" i="84"/>
  <c r="I37" i="84"/>
  <c r="D34" i="84"/>
  <c r="C34" i="84"/>
  <c r="E33" i="84"/>
  <c r="E32" i="84"/>
  <c r="E31" i="84"/>
  <c r="G24" i="84"/>
  <c r="E22" i="84"/>
  <c r="I21" i="84"/>
  <c r="E21" i="84"/>
  <c r="I20" i="84"/>
  <c r="I19" i="84"/>
  <c r="I18" i="84"/>
  <c r="E18" i="84"/>
  <c r="I17" i="84"/>
  <c r="E17" i="84"/>
  <c r="I16" i="84"/>
  <c r="I15" i="84"/>
  <c r="I14" i="84"/>
  <c r="E14" i="84"/>
  <c r="E13" i="84"/>
  <c r="I12" i="84"/>
  <c r="H12" i="84"/>
  <c r="J11" i="84"/>
  <c r="J10" i="84"/>
  <c r="E10" i="84"/>
  <c r="J9" i="84"/>
  <c r="E9" i="84"/>
  <c r="J8" i="84"/>
  <c r="J7" i="84"/>
  <c r="J6" i="84"/>
  <c r="E6" i="84"/>
  <c r="J5" i="84"/>
  <c r="E5" i="84"/>
  <c r="E4" i="84"/>
  <c r="E3" i="84"/>
  <c r="D25" i="84"/>
  <c r="D4" i="84" s="1"/>
  <c r="E20" i="84" s="1"/>
  <c r="E34" i="84" l="1"/>
  <c r="J12" i="84"/>
  <c r="H24" i="84"/>
  <c r="I24" i="84" s="1"/>
  <c r="E7" i="84"/>
  <c r="E11" i="84"/>
  <c r="E15" i="84"/>
  <c r="E19" i="84"/>
  <c r="E23" i="84"/>
  <c r="E24" i="84"/>
  <c r="E8" i="84"/>
  <c r="E12" i="84"/>
  <c r="E16" i="84"/>
  <c r="J24" i="84"/>
  <c r="I22" i="84"/>
  <c r="H22" i="83" l="1"/>
  <c r="I22" i="83" s="1"/>
  <c r="E27" i="83"/>
  <c r="E26" i="83"/>
  <c r="D26" i="83"/>
  <c r="E25" i="83"/>
  <c r="E24" i="83"/>
  <c r="F45" i="83"/>
  <c r="E45" i="83"/>
  <c r="F44" i="83"/>
  <c r="E44" i="83"/>
  <c r="F43" i="83"/>
  <c r="E43" i="83"/>
  <c r="F42" i="83"/>
  <c r="E42" i="83"/>
  <c r="F41" i="83"/>
  <c r="E41" i="83"/>
  <c r="F40" i="83"/>
  <c r="E40" i="83"/>
  <c r="E37" i="83"/>
  <c r="I36" i="83"/>
  <c r="D33" i="83"/>
  <c r="C33" i="83"/>
  <c r="E32" i="83"/>
  <c r="E31" i="83"/>
  <c r="E30" i="83"/>
  <c r="G24" i="83"/>
  <c r="E23" i="83"/>
  <c r="E22" i="83"/>
  <c r="I21" i="83"/>
  <c r="E21" i="83"/>
  <c r="I20" i="83"/>
  <c r="E20" i="83"/>
  <c r="I19" i="83"/>
  <c r="E19" i="83"/>
  <c r="I18" i="83"/>
  <c r="E18" i="83"/>
  <c r="I17" i="83"/>
  <c r="E17" i="83"/>
  <c r="I16" i="83"/>
  <c r="E16" i="83"/>
  <c r="I15" i="83"/>
  <c r="E15" i="83"/>
  <c r="I14" i="83"/>
  <c r="E14" i="83"/>
  <c r="E13" i="83"/>
  <c r="I12" i="83"/>
  <c r="H12" i="83"/>
  <c r="E12" i="83"/>
  <c r="J11" i="83"/>
  <c r="E11" i="83"/>
  <c r="J10" i="83"/>
  <c r="E10" i="83"/>
  <c r="J9" i="83"/>
  <c r="E9" i="83"/>
  <c r="J8" i="83"/>
  <c r="E8" i="83"/>
  <c r="J7" i="83"/>
  <c r="E7" i="83"/>
  <c r="J6" i="83"/>
  <c r="E6" i="83"/>
  <c r="J5" i="83"/>
  <c r="E5" i="83"/>
  <c r="E4" i="83"/>
  <c r="E3" i="83"/>
  <c r="D24" i="83"/>
  <c r="D4" i="83"/>
  <c r="J12" i="83" l="1"/>
  <c r="E33" i="83"/>
  <c r="D27" i="83"/>
  <c r="H24" i="83"/>
  <c r="J24" i="83" l="1"/>
  <c r="I24" i="83"/>
  <c r="H22" i="82" l="1"/>
  <c r="D25" i="82"/>
  <c r="E25" i="82"/>
  <c r="E26" i="82" s="1"/>
  <c r="E24" i="82"/>
  <c r="F44" i="82"/>
  <c r="E44" i="82"/>
  <c r="F43" i="82"/>
  <c r="E43" i="82"/>
  <c r="F42" i="82"/>
  <c r="E42" i="82"/>
  <c r="F41" i="82"/>
  <c r="E41" i="82"/>
  <c r="F40" i="82"/>
  <c r="E40" i="82"/>
  <c r="F39" i="82"/>
  <c r="E39" i="82"/>
  <c r="E36" i="82"/>
  <c r="I35" i="82"/>
  <c r="D32" i="82"/>
  <c r="C32" i="82"/>
  <c r="E31" i="82"/>
  <c r="E30" i="82"/>
  <c r="E29" i="82"/>
  <c r="D26" i="82"/>
  <c r="E23" i="82"/>
  <c r="H24" i="82"/>
  <c r="I24" i="82" s="1"/>
  <c r="G24" i="82"/>
  <c r="I22" i="82"/>
  <c r="E22" i="82"/>
  <c r="I21" i="82"/>
  <c r="E21" i="82"/>
  <c r="I20" i="82"/>
  <c r="E20" i="82"/>
  <c r="I19" i="82"/>
  <c r="E19" i="82"/>
  <c r="I18" i="82"/>
  <c r="E18" i="82"/>
  <c r="I17" i="82"/>
  <c r="E17" i="82"/>
  <c r="I16" i="82"/>
  <c r="E16" i="82"/>
  <c r="I15" i="82"/>
  <c r="E15" i="82"/>
  <c r="I14" i="82"/>
  <c r="E14" i="82"/>
  <c r="E13" i="82"/>
  <c r="I12" i="82"/>
  <c r="H12" i="82"/>
  <c r="E12" i="82"/>
  <c r="J11" i="82"/>
  <c r="E11" i="82"/>
  <c r="J10" i="82"/>
  <c r="E10" i="82"/>
  <c r="J9" i="82"/>
  <c r="E9" i="82"/>
  <c r="J8" i="82"/>
  <c r="E8" i="82"/>
  <c r="J7" i="82"/>
  <c r="E7" i="82"/>
  <c r="J6" i="82"/>
  <c r="E6" i="82"/>
  <c r="J5" i="82"/>
  <c r="E5" i="82"/>
  <c r="E4" i="82"/>
  <c r="E3" i="82"/>
  <c r="D23" i="82"/>
  <c r="D4" i="82" s="1"/>
  <c r="J12" i="82" l="1"/>
  <c r="E32" i="82"/>
  <c r="J24" i="82"/>
  <c r="E28" i="81" l="1"/>
  <c r="D28" i="81"/>
  <c r="E27" i="81"/>
  <c r="F47" i="81"/>
  <c r="E47" i="81"/>
  <c r="F46" i="81"/>
  <c r="E46" i="81"/>
  <c r="F45" i="81"/>
  <c r="E45" i="81"/>
  <c r="F44" i="81"/>
  <c r="E44" i="81"/>
  <c r="F43" i="81"/>
  <c r="E43" i="81"/>
  <c r="F42" i="81"/>
  <c r="E42" i="81"/>
  <c r="E39" i="81"/>
  <c r="I38" i="81"/>
  <c r="D35" i="81"/>
  <c r="C35" i="81"/>
  <c r="E34" i="81"/>
  <c r="E33" i="81"/>
  <c r="J32" i="81"/>
  <c r="E32" i="81"/>
  <c r="D29" i="81"/>
  <c r="E29" i="81"/>
  <c r="E26" i="81"/>
  <c r="E25" i="81"/>
  <c r="H24" i="81"/>
  <c r="J24" i="81" s="1"/>
  <c r="G24" i="81"/>
  <c r="E24" i="81"/>
  <c r="E23" i="81"/>
  <c r="H22" i="81"/>
  <c r="I22" i="81" s="1"/>
  <c r="E22" i="81"/>
  <c r="I21" i="81"/>
  <c r="E21" i="81"/>
  <c r="I20" i="81"/>
  <c r="E20" i="81"/>
  <c r="I19" i="81"/>
  <c r="E19" i="81"/>
  <c r="I18" i="81"/>
  <c r="E18" i="81"/>
  <c r="I17" i="81"/>
  <c r="E17" i="81"/>
  <c r="I16" i="81"/>
  <c r="E16" i="81"/>
  <c r="I15" i="81"/>
  <c r="E15" i="81"/>
  <c r="I14" i="81"/>
  <c r="E14" i="81"/>
  <c r="E13" i="81"/>
  <c r="I12" i="81"/>
  <c r="H12" i="81"/>
  <c r="E12" i="81"/>
  <c r="J11" i="81"/>
  <c r="E11" i="81"/>
  <c r="J10" i="81"/>
  <c r="E10" i="81"/>
  <c r="J9" i="81"/>
  <c r="E9" i="81"/>
  <c r="J8" i="81"/>
  <c r="E8" i="81"/>
  <c r="J7" i="81"/>
  <c r="E7" i="81"/>
  <c r="J6" i="81"/>
  <c r="E6" i="81"/>
  <c r="J5" i="81"/>
  <c r="E5" i="81"/>
  <c r="E4" i="81"/>
  <c r="E3" i="81"/>
  <c r="D26" i="81"/>
  <c r="D4" i="81"/>
  <c r="J12" i="81" l="1"/>
  <c r="E35" i="81"/>
  <c r="I24" i="81"/>
  <c r="J32" i="80" l="1"/>
  <c r="H22" i="80" l="1"/>
  <c r="D29" i="80"/>
  <c r="E29" i="80"/>
  <c r="E28" i="80"/>
  <c r="D28" i="80"/>
  <c r="E27" i="80"/>
  <c r="E26" i="80"/>
  <c r="F47" i="80"/>
  <c r="E47" i="80"/>
  <c r="F46" i="80"/>
  <c r="E46" i="80"/>
  <c r="F45" i="80"/>
  <c r="E45" i="80"/>
  <c r="F44" i="80"/>
  <c r="E44" i="80"/>
  <c r="F43" i="80"/>
  <c r="E43" i="80"/>
  <c r="F42" i="80"/>
  <c r="E42" i="80"/>
  <c r="E39" i="80"/>
  <c r="I38" i="80"/>
  <c r="D35" i="80"/>
  <c r="C35" i="80"/>
  <c r="E35" i="80" s="1"/>
  <c r="E34" i="80"/>
  <c r="E33" i="80"/>
  <c r="E32" i="80"/>
  <c r="E25" i="80"/>
  <c r="H24" i="80"/>
  <c r="J24" i="80" s="1"/>
  <c r="G24" i="80"/>
  <c r="E24" i="80"/>
  <c r="E23" i="80"/>
  <c r="I22" i="80"/>
  <c r="E22" i="80"/>
  <c r="I21" i="80"/>
  <c r="E21" i="80"/>
  <c r="I20" i="80"/>
  <c r="E20" i="80"/>
  <c r="I19" i="80"/>
  <c r="E19" i="80"/>
  <c r="I18" i="80"/>
  <c r="E18" i="80"/>
  <c r="I17" i="80"/>
  <c r="E17" i="80"/>
  <c r="I16" i="80"/>
  <c r="E16" i="80"/>
  <c r="I15" i="80"/>
  <c r="E15" i="80"/>
  <c r="I14" i="80"/>
  <c r="E14" i="80"/>
  <c r="E13" i="80"/>
  <c r="I12" i="80"/>
  <c r="J12" i="80" s="1"/>
  <c r="H12" i="80"/>
  <c r="E12" i="80"/>
  <c r="J11" i="80"/>
  <c r="E11" i="80"/>
  <c r="J10" i="80"/>
  <c r="E10" i="80"/>
  <c r="J9" i="80"/>
  <c r="E9" i="80"/>
  <c r="J8" i="80"/>
  <c r="E8" i="80"/>
  <c r="J7" i="80"/>
  <c r="E7" i="80"/>
  <c r="J6" i="80"/>
  <c r="E6" i="80"/>
  <c r="J5" i="80"/>
  <c r="E5" i="80"/>
  <c r="E4" i="80"/>
  <c r="E3" i="80"/>
  <c r="D26" i="80"/>
  <c r="D4" i="80" s="1"/>
  <c r="I24" i="80" l="1"/>
  <c r="E27" i="79" l="1"/>
  <c r="D27" i="79"/>
  <c r="D28" i="79" s="1"/>
  <c r="F46" i="79"/>
  <c r="E46" i="79"/>
  <c r="F45" i="79"/>
  <c r="E45" i="79"/>
  <c r="F44" i="79"/>
  <c r="E44" i="79"/>
  <c r="F43" i="79"/>
  <c r="E43" i="79"/>
  <c r="F42" i="79"/>
  <c r="E42" i="79"/>
  <c r="F41" i="79"/>
  <c r="E41" i="79"/>
  <c r="E38" i="79"/>
  <c r="I37" i="79"/>
  <c r="D34" i="79"/>
  <c r="C34" i="79"/>
  <c r="E34" i="79" s="1"/>
  <c r="E33" i="79"/>
  <c r="E32" i="79"/>
  <c r="E31" i="79"/>
  <c r="E26" i="79"/>
  <c r="H22" i="79"/>
  <c r="H24" i="79" s="1"/>
  <c r="I24" i="79" s="1"/>
  <c r="E25" i="79"/>
  <c r="G24" i="79"/>
  <c r="E24" i="79"/>
  <c r="E23" i="79"/>
  <c r="E22" i="79"/>
  <c r="I21" i="79"/>
  <c r="E21" i="79"/>
  <c r="I20" i="79"/>
  <c r="E20" i="79"/>
  <c r="I19" i="79"/>
  <c r="E19" i="79"/>
  <c r="I18" i="79"/>
  <c r="E18" i="79"/>
  <c r="I17" i="79"/>
  <c r="E17" i="79"/>
  <c r="I16" i="79"/>
  <c r="E16" i="79"/>
  <c r="I15" i="79"/>
  <c r="E15" i="79"/>
  <c r="I14" i="79"/>
  <c r="E14" i="79"/>
  <c r="E13" i="79"/>
  <c r="I12" i="79"/>
  <c r="J12" i="79" s="1"/>
  <c r="H12" i="79"/>
  <c r="E12" i="79"/>
  <c r="J11" i="79"/>
  <c r="E11" i="79"/>
  <c r="J10" i="79"/>
  <c r="E10" i="79"/>
  <c r="J9" i="79"/>
  <c r="E9" i="79"/>
  <c r="J8" i="79"/>
  <c r="E8" i="79"/>
  <c r="J7" i="79"/>
  <c r="E7" i="79"/>
  <c r="J6" i="79"/>
  <c r="E6" i="79"/>
  <c r="J5" i="79"/>
  <c r="E5" i="79"/>
  <c r="E4" i="79"/>
  <c r="E3" i="79"/>
  <c r="D25" i="79"/>
  <c r="D4" i="79" s="1"/>
  <c r="E28" i="79" l="1"/>
  <c r="I22" i="79"/>
  <c r="J24" i="79"/>
  <c r="H22" i="78" l="1"/>
  <c r="D29" i="78" l="1"/>
  <c r="E29" i="78"/>
  <c r="E28" i="78"/>
  <c r="E27" i="78"/>
  <c r="D28" i="78"/>
  <c r="E22" i="78"/>
  <c r="E23" i="78"/>
  <c r="E24" i="78"/>
  <c r="E25" i="78"/>
  <c r="E6" i="78"/>
  <c r="E7" i="78"/>
  <c r="E8" i="78"/>
  <c r="F47" i="78"/>
  <c r="E47" i="78"/>
  <c r="F46" i="78"/>
  <c r="E46" i="78"/>
  <c r="F45" i="78"/>
  <c r="E45" i="78"/>
  <c r="F44" i="78"/>
  <c r="E44" i="78"/>
  <c r="F43" i="78"/>
  <c r="E43" i="78"/>
  <c r="F42" i="78"/>
  <c r="E42" i="78"/>
  <c r="E39" i="78"/>
  <c r="I38" i="78"/>
  <c r="D35" i="78"/>
  <c r="C35" i="78"/>
  <c r="E34" i="78"/>
  <c r="E33" i="78"/>
  <c r="E32" i="78"/>
  <c r="G24" i="78"/>
  <c r="I22" i="78"/>
  <c r="I21" i="78"/>
  <c r="I20" i="78"/>
  <c r="I19" i="78"/>
  <c r="I18" i="78"/>
  <c r="I17" i="78"/>
  <c r="I16" i="78"/>
  <c r="I15" i="78"/>
  <c r="I14" i="78"/>
  <c r="I12" i="78"/>
  <c r="H12" i="78"/>
  <c r="J11" i="78"/>
  <c r="J10" i="78"/>
  <c r="J9" i="78"/>
  <c r="J8" i="78"/>
  <c r="J7" i="78"/>
  <c r="J6" i="78"/>
  <c r="J5" i="78"/>
  <c r="E3" i="78"/>
  <c r="D26" i="78"/>
  <c r="D4" i="78" s="1"/>
  <c r="E35" i="78" l="1"/>
  <c r="E19" i="78"/>
  <c r="E15" i="78"/>
  <c r="E11" i="78"/>
  <c r="E18" i="78"/>
  <c r="E14" i="78"/>
  <c r="E9" i="78"/>
  <c r="E20" i="78"/>
  <c r="E10" i="78"/>
  <c r="E13" i="78"/>
  <c r="E5" i="78"/>
  <c r="E4" i="78"/>
  <c r="E12" i="78"/>
  <c r="E21" i="78"/>
  <c r="E17" i="78"/>
  <c r="E16" i="78"/>
  <c r="J12" i="78"/>
  <c r="H24" i="78"/>
  <c r="D26" i="77"/>
  <c r="E23" i="77"/>
  <c r="F45" i="77"/>
  <c r="E45" i="77"/>
  <c r="F44" i="77"/>
  <c r="E44" i="77"/>
  <c r="F43" i="77"/>
  <c r="E43" i="77"/>
  <c r="F42" i="77"/>
  <c r="E42" i="77"/>
  <c r="F41" i="77"/>
  <c r="E41" i="77"/>
  <c r="F40" i="77"/>
  <c r="E40" i="77"/>
  <c r="E37" i="77"/>
  <c r="I36" i="77"/>
  <c r="D33" i="77"/>
  <c r="C33" i="77"/>
  <c r="E32" i="77"/>
  <c r="E31" i="77"/>
  <c r="E30" i="77"/>
  <c r="E26" i="77"/>
  <c r="E27" i="77" s="1"/>
  <c r="G25" i="77"/>
  <c r="H23" i="77"/>
  <c r="H25" i="77" s="1"/>
  <c r="I22" i="77"/>
  <c r="E22" i="77"/>
  <c r="I21" i="77"/>
  <c r="E21" i="77"/>
  <c r="I20" i="77"/>
  <c r="E20" i="77"/>
  <c r="I19" i="77"/>
  <c r="E19" i="77"/>
  <c r="I18" i="77"/>
  <c r="E18" i="77"/>
  <c r="I17" i="77"/>
  <c r="E17" i="77"/>
  <c r="I16" i="77"/>
  <c r="E16" i="77"/>
  <c r="I15" i="77"/>
  <c r="E15" i="77"/>
  <c r="E14" i="77"/>
  <c r="I13" i="77"/>
  <c r="J13" i="77" s="1"/>
  <c r="H13" i="77"/>
  <c r="E13" i="77"/>
  <c r="J12" i="77"/>
  <c r="E12" i="77"/>
  <c r="J11" i="77"/>
  <c r="E11" i="77"/>
  <c r="J10" i="77"/>
  <c r="E10" i="77"/>
  <c r="J9" i="77"/>
  <c r="E9" i="77"/>
  <c r="J8" i="77"/>
  <c r="E8" i="77"/>
  <c r="J7" i="77"/>
  <c r="E7" i="77"/>
  <c r="J6" i="77"/>
  <c r="E6" i="77"/>
  <c r="E5" i="77"/>
  <c r="E4" i="77"/>
  <c r="D22" i="77"/>
  <c r="D4" i="77"/>
  <c r="J24" i="78" l="1"/>
  <c r="I24" i="78"/>
  <c r="E33" i="77"/>
  <c r="D27" i="77"/>
  <c r="I25" i="77"/>
  <c r="J25" i="77"/>
  <c r="I23" i="77"/>
  <c r="H23" i="76" l="1"/>
  <c r="D27" i="76"/>
  <c r="E27" i="76"/>
  <c r="E26" i="76"/>
  <c r="E23" i="76"/>
  <c r="D26" i="76"/>
  <c r="J48" i="76"/>
  <c r="J47" i="76"/>
  <c r="F45" i="76"/>
  <c r="E45" i="76"/>
  <c r="F44" i="76"/>
  <c r="E44" i="76"/>
  <c r="F43" i="76"/>
  <c r="E43" i="76"/>
  <c r="F42" i="76"/>
  <c r="E42" i="76"/>
  <c r="F41" i="76"/>
  <c r="E41" i="76"/>
  <c r="F40" i="76"/>
  <c r="E40" i="76"/>
  <c r="E37" i="76"/>
  <c r="I36" i="76"/>
  <c r="D33" i="76"/>
  <c r="C33" i="76"/>
  <c r="E33" i="76" s="1"/>
  <c r="E32" i="76"/>
  <c r="E31" i="76"/>
  <c r="E30" i="76"/>
  <c r="G25" i="76"/>
  <c r="I23" i="76"/>
  <c r="I22" i="76"/>
  <c r="E22" i="76"/>
  <c r="I21" i="76"/>
  <c r="E21" i="76"/>
  <c r="I20" i="76"/>
  <c r="E20" i="76"/>
  <c r="I19" i="76"/>
  <c r="E19" i="76"/>
  <c r="I18" i="76"/>
  <c r="E18" i="76"/>
  <c r="I17" i="76"/>
  <c r="E17" i="76"/>
  <c r="I16" i="76"/>
  <c r="E16" i="76"/>
  <c r="I15" i="76"/>
  <c r="E15" i="76"/>
  <c r="E14" i="76"/>
  <c r="I13" i="76"/>
  <c r="J13" i="76" s="1"/>
  <c r="H13" i="76"/>
  <c r="E13" i="76"/>
  <c r="J12" i="76"/>
  <c r="E12" i="76"/>
  <c r="J11" i="76"/>
  <c r="E11" i="76"/>
  <c r="J10" i="76"/>
  <c r="E10" i="76"/>
  <c r="J9" i="76"/>
  <c r="E9" i="76"/>
  <c r="J8" i="76"/>
  <c r="E8" i="76"/>
  <c r="J7" i="76"/>
  <c r="E7" i="76"/>
  <c r="J6" i="76"/>
  <c r="E6" i="76"/>
  <c r="E5" i="76"/>
  <c r="E4" i="76"/>
  <c r="D22" i="76"/>
  <c r="D4" i="76"/>
  <c r="H25" i="76" l="1"/>
  <c r="J25" i="76" l="1"/>
  <c r="I25" i="76"/>
  <c r="H23" i="75" l="1"/>
  <c r="D27" i="75" l="1"/>
  <c r="E27" i="75"/>
  <c r="E7" i="75"/>
  <c r="E23" i="75"/>
  <c r="E26" i="75"/>
  <c r="D26" i="75"/>
  <c r="J48" i="75"/>
  <c r="J47" i="75"/>
  <c r="F45" i="75"/>
  <c r="E45" i="75"/>
  <c r="F44" i="75"/>
  <c r="E44" i="75"/>
  <c r="F43" i="75"/>
  <c r="E43" i="75"/>
  <c r="F42" i="75"/>
  <c r="E42" i="75"/>
  <c r="F41" i="75"/>
  <c r="E41" i="75"/>
  <c r="F40" i="75"/>
  <c r="E40" i="75"/>
  <c r="E37" i="75"/>
  <c r="I36" i="75"/>
  <c r="D33" i="75"/>
  <c r="C33" i="75"/>
  <c r="E33" i="75" s="1"/>
  <c r="E32" i="75"/>
  <c r="E31" i="75"/>
  <c r="E30" i="75"/>
  <c r="G25" i="75"/>
  <c r="H25" i="75"/>
  <c r="I22" i="75"/>
  <c r="I21" i="75"/>
  <c r="I20" i="75"/>
  <c r="I19" i="75"/>
  <c r="I18" i="75"/>
  <c r="I17" i="75"/>
  <c r="I16" i="75"/>
  <c r="I15" i="75"/>
  <c r="I13" i="75"/>
  <c r="H13" i="75"/>
  <c r="J12" i="75"/>
  <c r="J11" i="75"/>
  <c r="J10" i="75"/>
  <c r="J9" i="75"/>
  <c r="J8" i="75"/>
  <c r="J7" i="75"/>
  <c r="J6" i="75"/>
  <c r="E4" i="75"/>
  <c r="D22" i="75"/>
  <c r="E22" i="75" s="1"/>
  <c r="D4" i="75"/>
  <c r="E21" i="75" l="1"/>
  <c r="E8" i="75"/>
  <c r="E16" i="75"/>
  <c r="E9" i="75"/>
  <c r="E13" i="75"/>
  <c r="E17" i="75"/>
  <c r="E5" i="75"/>
  <c r="E6" i="75"/>
  <c r="E10" i="75"/>
  <c r="J13" i="75"/>
  <c r="E18" i="75"/>
  <c r="E14" i="75"/>
  <c r="E12" i="75"/>
  <c r="E20" i="75"/>
  <c r="E11" i="75"/>
  <c r="E15" i="75"/>
  <c r="E19" i="75"/>
  <c r="J25" i="75"/>
  <c r="I23" i="75"/>
  <c r="I25" i="75"/>
  <c r="H34" i="74"/>
  <c r="E9" i="74"/>
  <c r="D28" i="74" l="1"/>
  <c r="J49" i="74"/>
  <c r="J50" i="74" s="1"/>
  <c r="F47" i="74"/>
  <c r="E47" i="74"/>
  <c r="F46" i="74"/>
  <c r="E46" i="74"/>
  <c r="F45" i="74"/>
  <c r="E45" i="74"/>
  <c r="F44" i="74"/>
  <c r="E44" i="74"/>
  <c r="F43" i="74"/>
  <c r="E43" i="74"/>
  <c r="F42" i="74"/>
  <c r="E42" i="74"/>
  <c r="E39" i="74"/>
  <c r="I38" i="74"/>
  <c r="D35" i="74"/>
  <c r="C35" i="74"/>
  <c r="E35" i="74" s="1"/>
  <c r="E34" i="74"/>
  <c r="E33" i="74"/>
  <c r="H32" i="74"/>
  <c r="E32" i="74"/>
  <c r="D29" i="74"/>
  <c r="E27" i="74"/>
  <c r="G25" i="74"/>
  <c r="H23" i="74"/>
  <c r="I23" i="74" s="1"/>
  <c r="E23" i="74"/>
  <c r="I22" i="74"/>
  <c r="I21" i="74"/>
  <c r="I20" i="74"/>
  <c r="I19" i="74"/>
  <c r="E19" i="74"/>
  <c r="I18" i="74"/>
  <c r="I17" i="74"/>
  <c r="I16" i="74"/>
  <c r="I15" i="74"/>
  <c r="E15" i="74"/>
  <c r="E14" i="74"/>
  <c r="I13" i="74"/>
  <c r="J13" i="74" s="1"/>
  <c r="H13" i="74"/>
  <c r="J12" i="74"/>
  <c r="J11" i="74"/>
  <c r="E11" i="74"/>
  <c r="J10" i="74"/>
  <c r="J9" i="74"/>
  <c r="J8" i="74"/>
  <c r="J7" i="74"/>
  <c r="E7" i="74"/>
  <c r="J6" i="74"/>
  <c r="E4" i="74"/>
  <c r="D26" i="74"/>
  <c r="D4" i="74" s="1"/>
  <c r="E22" i="74" s="1"/>
  <c r="B1" i="74"/>
  <c r="E28" i="74" l="1"/>
  <c r="E29" i="74" s="1"/>
  <c r="E12" i="74"/>
  <c r="E20" i="74"/>
  <c r="E25" i="74"/>
  <c r="E13" i="74"/>
  <c r="E17" i="74"/>
  <c r="E21" i="74"/>
  <c r="E5" i="74"/>
  <c r="E26" i="74"/>
  <c r="E8" i="74"/>
  <c r="E16" i="74"/>
  <c r="E24" i="74"/>
  <c r="E6" i="74"/>
  <c r="E10" i="74"/>
  <c r="E18" i="74"/>
  <c r="H25" i="74"/>
  <c r="J25" i="74" l="1"/>
  <c r="I25" i="74"/>
  <c r="H34" i="73" l="1"/>
  <c r="H32" i="73"/>
  <c r="F42" i="73"/>
  <c r="H23" i="73" l="1"/>
  <c r="D28" i="73"/>
  <c r="J49" i="73"/>
  <c r="J50" i="73" s="1"/>
  <c r="F47" i="73"/>
  <c r="E47" i="73"/>
  <c r="F46" i="73"/>
  <c r="E46" i="73"/>
  <c r="F45" i="73"/>
  <c r="E45" i="73"/>
  <c r="F44" i="73"/>
  <c r="E44" i="73"/>
  <c r="F43" i="73"/>
  <c r="E43" i="73"/>
  <c r="E42" i="73"/>
  <c r="E39" i="73"/>
  <c r="I38" i="73"/>
  <c r="D35" i="73"/>
  <c r="C35" i="73"/>
  <c r="E34" i="73"/>
  <c r="E33" i="73"/>
  <c r="E32" i="73"/>
  <c r="D29" i="73"/>
  <c r="E27" i="73"/>
  <c r="E26" i="73"/>
  <c r="H25" i="73"/>
  <c r="J25" i="73" s="1"/>
  <c r="G25" i="73"/>
  <c r="E25" i="73"/>
  <c r="E24" i="73"/>
  <c r="I23" i="73"/>
  <c r="E23" i="73"/>
  <c r="I22" i="73"/>
  <c r="E22" i="73"/>
  <c r="I21" i="73"/>
  <c r="E21" i="73"/>
  <c r="I20" i="73"/>
  <c r="E20" i="73"/>
  <c r="I19" i="73"/>
  <c r="E19" i="73"/>
  <c r="I18" i="73"/>
  <c r="E18" i="73"/>
  <c r="I17" i="73"/>
  <c r="E17" i="73"/>
  <c r="I16" i="73"/>
  <c r="E16" i="73"/>
  <c r="I15" i="73"/>
  <c r="E15" i="73"/>
  <c r="E14" i="73"/>
  <c r="I13" i="73"/>
  <c r="J13" i="73" s="1"/>
  <c r="H13" i="73"/>
  <c r="E13" i="73"/>
  <c r="J12" i="73"/>
  <c r="E12" i="73"/>
  <c r="J11" i="73"/>
  <c r="E11" i="73"/>
  <c r="J10" i="73"/>
  <c r="E10" i="73"/>
  <c r="J9" i="73"/>
  <c r="E9" i="73"/>
  <c r="J8" i="73"/>
  <c r="E8" i="73"/>
  <c r="J7" i="73"/>
  <c r="E7" i="73"/>
  <c r="J6" i="73"/>
  <c r="E6" i="73"/>
  <c r="E5" i="73"/>
  <c r="E4" i="73"/>
  <c r="D26" i="73"/>
  <c r="D4" i="73" s="1"/>
  <c r="E35" i="73" l="1"/>
  <c r="E28" i="73"/>
  <c r="E29" i="73" s="1"/>
  <c r="I25" i="73"/>
  <c r="I25" i="72" l="1"/>
  <c r="H25" i="72"/>
  <c r="G25" i="72"/>
  <c r="I23" i="72"/>
  <c r="H23" i="72"/>
  <c r="D28" i="72"/>
  <c r="E28" i="72" s="1"/>
  <c r="E29" i="72" s="1"/>
  <c r="J49" i="72"/>
  <c r="J50" i="72" s="1"/>
  <c r="F47" i="72"/>
  <c r="E47" i="72"/>
  <c r="F46" i="72"/>
  <c r="E46" i="72"/>
  <c r="F45" i="72"/>
  <c r="E45" i="72"/>
  <c r="F44" i="72"/>
  <c r="E44" i="72"/>
  <c r="F43" i="72"/>
  <c r="E43" i="72"/>
  <c r="F42" i="72"/>
  <c r="E42" i="72"/>
  <c r="E39" i="72"/>
  <c r="I38" i="72"/>
  <c r="D35" i="72"/>
  <c r="E35" i="72" s="1"/>
  <c r="C35" i="72"/>
  <c r="E34" i="72"/>
  <c r="E33" i="72"/>
  <c r="E32" i="72"/>
  <c r="E27" i="72"/>
  <c r="I22" i="72"/>
  <c r="I21" i="72"/>
  <c r="I20" i="72"/>
  <c r="I19" i="72"/>
  <c r="E19" i="72"/>
  <c r="I18" i="72"/>
  <c r="I17" i="72"/>
  <c r="I16" i="72"/>
  <c r="I15" i="72"/>
  <c r="E15" i="72"/>
  <c r="I13" i="72"/>
  <c r="H13" i="72"/>
  <c r="J12" i="72"/>
  <c r="J11" i="72"/>
  <c r="E11" i="72"/>
  <c r="J10" i="72"/>
  <c r="J9" i="72"/>
  <c r="J8" i="72"/>
  <c r="J7" i="72"/>
  <c r="E7" i="72"/>
  <c r="J6" i="72"/>
  <c r="E4" i="72"/>
  <c r="D26" i="72"/>
  <c r="E26" i="72" s="1"/>
  <c r="D4" i="72"/>
  <c r="E14" i="72" s="1"/>
  <c r="J25" i="72" l="1"/>
  <c r="D29" i="72"/>
  <c r="E8" i="72"/>
  <c r="E20" i="72"/>
  <c r="E23" i="72"/>
  <c r="E12" i="72"/>
  <c r="E25" i="72"/>
  <c r="E9" i="72"/>
  <c r="E17" i="72"/>
  <c r="E5" i="72"/>
  <c r="E6" i="72"/>
  <c r="E10" i="72"/>
  <c r="J13" i="72"/>
  <c r="E18" i="72"/>
  <c r="E22" i="72"/>
  <c r="E16" i="72"/>
  <c r="E24" i="72"/>
  <c r="E13" i="72"/>
  <c r="E21" i="72"/>
  <c r="D29" i="71" l="1"/>
  <c r="E29" i="71"/>
  <c r="E28" i="71"/>
  <c r="D28" i="71"/>
  <c r="E27" i="71"/>
  <c r="E4" i="71"/>
  <c r="E26" i="71" l="1"/>
  <c r="E25" i="71"/>
  <c r="E24" i="71"/>
  <c r="H25" i="71"/>
  <c r="J25" i="71" s="1"/>
  <c r="G25" i="71"/>
  <c r="E23" i="71"/>
  <c r="J22" i="71"/>
  <c r="I22" i="71"/>
  <c r="E22" i="71"/>
  <c r="I21" i="71"/>
  <c r="E21" i="71"/>
  <c r="I20" i="71"/>
  <c r="E20" i="71"/>
  <c r="I19" i="71"/>
  <c r="E19" i="71"/>
  <c r="I18" i="71"/>
  <c r="E18" i="71"/>
  <c r="I17" i="71"/>
  <c r="E17" i="71"/>
  <c r="I16" i="71"/>
  <c r="E16" i="71"/>
  <c r="I15" i="71"/>
  <c r="E15" i="71"/>
  <c r="E14" i="71"/>
  <c r="I13" i="71"/>
  <c r="H13" i="71"/>
  <c r="J13" i="71" s="1"/>
  <c r="E13" i="71"/>
  <c r="J12" i="71"/>
  <c r="E12" i="71"/>
  <c r="J11" i="71"/>
  <c r="E11" i="71"/>
  <c r="J10" i="71"/>
  <c r="E10" i="71"/>
  <c r="J9" i="71"/>
  <c r="E9" i="71"/>
  <c r="J8" i="71"/>
  <c r="E8" i="71"/>
  <c r="J7" i="71"/>
  <c r="E7" i="71"/>
  <c r="J6" i="71"/>
  <c r="E6" i="71"/>
  <c r="E5" i="71"/>
  <c r="J49" i="71"/>
  <c r="J50" i="71" s="1"/>
  <c r="F47" i="71"/>
  <c r="E47" i="71"/>
  <c r="F46" i="71"/>
  <c r="E46" i="71"/>
  <c r="F45" i="71"/>
  <c r="E45" i="71"/>
  <c r="F44" i="71"/>
  <c r="E44" i="71"/>
  <c r="F43" i="71"/>
  <c r="E43" i="71"/>
  <c r="F42" i="71"/>
  <c r="E42" i="71"/>
  <c r="E39" i="71"/>
  <c r="I38" i="71"/>
  <c r="D35" i="71"/>
  <c r="C35" i="71"/>
  <c r="E35" i="71" s="1"/>
  <c r="E34" i="71"/>
  <c r="E33" i="71"/>
  <c r="E32" i="71"/>
  <c r="D26" i="71"/>
  <c r="D4" i="71" s="1"/>
  <c r="I25" i="71" l="1"/>
  <c r="E21" i="70" l="1"/>
  <c r="J50" i="70"/>
  <c r="J49" i="70"/>
  <c r="E27" i="70" l="1"/>
  <c r="E28" i="70"/>
  <c r="D28" i="70"/>
  <c r="E26" i="70"/>
  <c r="E11" i="70"/>
  <c r="E5" i="70"/>
  <c r="F47" i="70"/>
  <c r="E47" i="70"/>
  <c r="F46" i="70"/>
  <c r="E46" i="70"/>
  <c r="F45" i="70"/>
  <c r="E45" i="70"/>
  <c r="F44" i="70"/>
  <c r="E44" i="70"/>
  <c r="F43" i="70"/>
  <c r="E43" i="70"/>
  <c r="F42" i="70"/>
  <c r="E42" i="70"/>
  <c r="E39" i="70"/>
  <c r="I38" i="70"/>
  <c r="D35" i="70"/>
  <c r="C35" i="70"/>
  <c r="E34" i="70"/>
  <c r="E33" i="70"/>
  <c r="E32" i="70"/>
  <c r="E25" i="70"/>
  <c r="E24" i="70"/>
  <c r="H23" i="70"/>
  <c r="J23" i="70" s="1"/>
  <c r="G23" i="70"/>
  <c r="E23" i="70"/>
  <c r="J22" i="70"/>
  <c r="I22" i="70"/>
  <c r="E22" i="70"/>
  <c r="I21" i="70"/>
  <c r="I20" i="70"/>
  <c r="E20" i="70"/>
  <c r="I19" i="70"/>
  <c r="E19" i="70"/>
  <c r="I18" i="70"/>
  <c r="E18" i="70"/>
  <c r="I17" i="70"/>
  <c r="E17" i="70"/>
  <c r="I16" i="70"/>
  <c r="E16" i="70"/>
  <c r="I15" i="70"/>
  <c r="E15" i="70"/>
  <c r="E14" i="70"/>
  <c r="I13" i="70"/>
  <c r="J13" i="70" s="1"/>
  <c r="H13" i="70"/>
  <c r="E13" i="70"/>
  <c r="J12" i="70"/>
  <c r="E12" i="70"/>
  <c r="J11" i="70"/>
  <c r="J10" i="70"/>
  <c r="E10" i="70"/>
  <c r="J9" i="70"/>
  <c r="E9" i="70"/>
  <c r="J8" i="70"/>
  <c r="E8" i="70"/>
  <c r="J7" i="70"/>
  <c r="E7" i="70"/>
  <c r="J6" i="70"/>
  <c r="E6" i="70"/>
  <c r="E4" i="70"/>
  <c r="D26" i="70"/>
  <c r="D4" i="70" s="1"/>
  <c r="E35" i="70" l="1"/>
  <c r="E29" i="70"/>
  <c r="D29" i="70"/>
  <c r="I23" i="70"/>
  <c r="D27" i="69" l="1"/>
  <c r="E27" i="69"/>
  <c r="E26" i="69"/>
  <c r="D26" i="69"/>
  <c r="E22" i="69"/>
  <c r="E23" i="69"/>
  <c r="E24" i="69"/>
  <c r="E25" i="69"/>
  <c r="F45" i="69"/>
  <c r="E45" i="69"/>
  <c r="F44" i="69"/>
  <c r="E44" i="69"/>
  <c r="F43" i="69"/>
  <c r="E43" i="69"/>
  <c r="F42" i="69"/>
  <c r="E42" i="69"/>
  <c r="F41" i="69"/>
  <c r="E41" i="69"/>
  <c r="F40" i="69"/>
  <c r="E40" i="69"/>
  <c r="E37" i="69"/>
  <c r="I36" i="69"/>
  <c r="D33" i="69"/>
  <c r="C33" i="69"/>
  <c r="E32" i="69"/>
  <c r="E31" i="69"/>
  <c r="E30" i="69"/>
  <c r="G22" i="69"/>
  <c r="H21" i="69"/>
  <c r="J21" i="69" s="1"/>
  <c r="E21" i="69"/>
  <c r="I20" i="69"/>
  <c r="I19" i="69"/>
  <c r="I18" i="69"/>
  <c r="E18" i="69"/>
  <c r="I17" i="69"/>
  <c r="E17" i="69"/>
  <c r="I16" i="69"/>
  <c r="I15" i="69"/>
  <c r="I14" i="69"/>
  <c r="E14" i="69"/>
  <c r="E13" i="69"/>
  <c r="I12" i="69"/>
  <c r="J12" i="69" s="1"/>
  <c r="H12" i="69"/>
  <c r="J11" i="69"/>
  <c r="J10" i="69"/>
  <c r="E10" i="69"/>
  <c r="J9" i="69"/>
  <c r="E9" i="69"/>
  <c r="J8" i="69"/>
  <c r="J7" i="69"/>
  <c r="J6" i="69"/>
  <c r="E6" i="69"/>
  <c r="J5" i="69"/>
  <c r="E5" i="69"/>
  <c r="E4" i="69"/>
  <c r="D24" i="69"/>
  <c r="D4" i="69"/>
  <c r="E15" i="69" s="1"/>
  <c r="E33" i="69" l="1"/>
  <c r="E7" i="69"/>
  <c r="E19" i="69"/>
  <c r="E11" i="69"/>
  <c r="E8" i="69"/>
  <c r="E12" i="69"/>
  <c r="E16" i="69"/>
  <c r="E20" i="69"/>
  <c r="H22" i="69"/>
  <c r="J22" i="69" s="1"/>
  <c r="I21" i="69"/>
  <c r="I22" i="69"/>
  <c r="D24" i="68" l="1"/>
  <c r="H21" i="68"/>
  <c r="H22" i="68" s="1"/>
  <c r="E22" i="68"/>
  <c r="E23" i="68"/>
  <c r="F43" i="68"/>
  <c r="E43" i="68"/>
  <c r="F42" i="68"/>
  <c r="E42" i="68"/>
  <c r="F41" i="68"/>
  <c r="E41" i="68"/>
  <c r="F40" i="68"/>
  <c r="E40" i="68"/>
  <c r="F39" i="68"/>
  <c r="E39" i="68"/>
  <c r="F38" i="68"/>
  <c r="E38" i="68"/>
  <c r="E35" i="68"/>
  <c r="I34" i="68"/>
  <c r="D31" i="68"/>
  <c r="C31" i="68"/>
  <c r="E30" i="68"/>
  <c r="E29" i="68"/>
  <c r="E28" i="68"/>
  <c r="E24" i="68"/>
  <c r="G22" i="68"/>
  <c r="E21" i="68"/>
  <c r="I20" i="68"/>
  <c r="E20" i="68"/>
  <c r="I19" i="68"/>
  <c r="E19" i="68"/>
  <c r="I18" i="68"/>
  <c r="E18" i="68"/>
  <c r="I17" i="68"/>
  <c r="E17" i="68"/>
  <c r="I16" i="68"/>
  <c r="E16" i="68"/>
  <c r="I15" i="68"/>
  <c r="E15" i="68"/>
  <c r="I14" i="68"/>
  <c r="E14" i="68"/>
  <c r="E13" i="68"/>
  <c r="I12" i="68"/>
  <c r="J12" i="68" s="1"/>
  <c r="H12" i="68"/>
  <c r="E12" i="68"/>
  <c r="J11" i="68"/>
  <c r="E11" i="68"/>
  <c r="J10" i="68"/>
  <c r="E10" i="68"/>
  <c r="J9" i="68"/>
  <c r="E9" i="68"/>
  <c r="J8" i="68"/>
  <c r="E8" i="68"/>
  <c r="J7" i="68"/>
  <c r="E7" i="68"/>
  <c r="J6" i="68"/>
  <c r="E6" i="68"/>
  <c r="J5" i="68"/>
  <c r="E5" i="68"/>
  <c r="E4" i="68"/>
  <c r="D22" i="68"/>
  <c r="D4" i="68" s="1"/>
  <c r="E31" i="68" l="1"/>
  <c r="E25" i="68"/>
  <c r="D25" i="68"/>
  <c r="J22" i="68"/>
  <c r="I22" i="68"/>
  <c r="I21" i="68"/>
  <c r="J21" i="68"/>
  <c r="I22" i="67" l="1"/>
  <c r="H22" i="67"/>
  <c r="G22" i="67"/>
  <c r="J21" i="67"/>
  <c r="H21" i="67"/>
  <c r="I21" i="67" s="1"/>
  <c r="D23" i="67"/>
  <c r="E23" i="67" s="1"/>
  <c r="E24" i="67" s="1"/>
  <c r="E22" i="67"/>
  <c r="I44" i="67"/>
  <c r="J44" i="67" s="1"/>
  <c r="F42" i="67"/>
  <c r="E42" i="67"/>
  <c r="F41" i="67"/>
  <c r="E41" i="67"/>
  <c r="F40" i="67"/>
  <c r="E40" i="67"/>
  <c r="F39" i="67"/>
  <c r="E39" i="67"/>
  <c r="F38" i="67"/>
  <c r="E38" i="67"/>
  <c r="F37" i="67"/>
  <c r="E37" i="67"/>
  <c r="E34" i="67"/>
  <c r="I33" i="67"/>
  <c r="D30" i="67"/>
  <c r="C30" i="67"/>
  <c r="E30" i="67" s="1"/>
  <c r="E29" i="67"/>
  <c r="E28" i="67"/>
  <c r="E27" i="67"/>
  <c r="I20" i="67"/>
  <c r="I19" i="67"/>
  <c r="I18" i="67"/>
  <c r="I17" i="67"/>
  <c r="I16" i="67"/>
  <c r="I15" i="67"/>
  <c r="I14" i="67"/>
  <c r="I12" i="67"/>
  <c r="H12" i="67"/>
  <c r="J11" i="67"/>
  <c r="J10" i="67"/>
  <c r="J9" i="67"/>
  <c r="J8" i="67"/>
  <c r="J7" i="67"/>
  <c r="J6" i="67"/>
  <c r="J5" i="67"/>
  <c r="E4" i="67"/>
  <c r="D21" i="67"/>
  <c r="B1" i="67"/>
  <c r="J12" i="67" l="1"/>
  <c r="D24" i="67"/>
  <c r="D4" i="67"/>
  <c r="D25" i="66"/>
  <c r="E25" i="66"/>
  <c r="E24" i="66"/>
  <c r="E5" i="66"/>
  <c r="E13" i="66"/>
  <c r="D24" i="66"/>
  <c r="E23" i="66"/>
  <c r="I45" i="66"/>
  <c r="J45" i="66" s="1"/>
  <c r="F43" i="66"/>
  <c r="E43" i="66"/>
  <c r="F42" i="66"/>
  <c r="E42" i="66"/>
  <c r="F41" i="66"/>
  <c r="E41" i="66"/>
  <c r="F40" i="66"/>
  <c r="E40" i="66"/>
  <c r="F39" i="66"/>
  <c r="E39" i="66"/>
  <c r="F38" i="66"/>
  <c r="E38" i="66"/>
  <c r="E35" i="66"/>
  <c r="I34" i="66"/>
  <c r="D31" i="66"/>
  <c r="C31" i="66"/>
  <c r="E30" i="66"/>
  <c r="E29" i="66"/>
  <c r="E28" i="66"/>
  <c r="H21" i="66"/>
  <c r="J21" i="66" s="1"/>
  <c r="E22" i="66"/>
  <c r="I20" i="66"/>
  <c r="E21" i="66"/>
  <c r="I19" i="66"/>
  <c r="E20" i="66"/>
  <c r="I18" i="66"/>
  <c r="E19" i="66"/>
  <c r="I17" i="66"/>
  <c r="E18" i="66"/>
  <c r="I16" i="66"/>
  <c r="E17" i="66"/>
  <c r="I15" i="66"/>
  <c r="E16" i="66"/>
  <c r="I14" i="66"/>
  <c r="E15" i="66"/>
  <c r="E14" i="66"/>
  <c r="I12" i="66"/>
  <c r="J12" i="66" s="1"/>
  <c r="H12" i="66"/>
  <c r="E12" i="66"/>
  <c r="J11" i="66"/>
  <c r="E11" i="66"/>
  <c r="J10" i="66"/>
  <c r="E10" i="66"/>
  <c r="J9" i="66"/>
  <c r="E9" i="66"/>
  <c r="J8" i="66"/>
  <c r="E8" i="66"/>
  <c r="J7" i="66"/>
  <c r="E7" i="66"/>
  <c r="J6" i="66"/>
  <c r="E6" i="66"/>
  <c r="J5" i="66"/>
  <c r="E4" i="66"/>
  <c r="D22" i="66"/>
  <c r="D4" i="66"/>
  <c r="E18" i="67" l="1"/>
  <c r="E14" i="67"/>
  <c r="E10" i="67"/>
  <c r="E6" i="67"/>
  <c r="E13" i="67"/>
  <c r="E17" i="67"/>
  <c r="E8" i="67"/>
  <c r="E15" i="67"/>
  <c r="E9" i="67"/>
  <c r="E5" i="67"/>
  <c r="E16" i="67"/>
  <c r="E11" i="67"/>
  <c r="E12" i="67"/>
  <c r="E19" i="67"/>
  <c r="E7" i="67"/>
  <c r="E20" i="67"/>
  <c r="E21" i="67"/>
  <c r="E31" i="66"/>
  <c r="I21" i="66"/>
  <c r="J24" i="65" l="1"/>
  <c r="H24" i="65"/>
  <c r="G24" i="65"/>
  <c r="J21" i="65"/>
  <c r="H21" i="65"/>
  <c r="D29" i="65"/>
  <c r="D30" i="65" s="1"/>
  <c r="E28" i="65"/>
  <c r="I50" i="65"/>
  <c r="J50" i="65" s="1"/>
  <c r="F48" i="65"/>
  <c r="E48" i="65"/>
  <c r="F47" i="65"/>
  <c r="E47" i="65"/>
  <c r="F46" i="65"/>
  <c r="E46" i="65"/>
  <c r="F45" i="65"/>
  <c r="E45" i="65"/>
  <c r="F44" i="65"/>
  <c r="E44" i="65"/>
  <c r="F43" i="65"/>
  <c r="E43" i="65"/>
  <c r="E40" i="65"/>
  <c r="I39" i="65"/>
  <c r="I36" i="65"/>
  <c r="D36" i="65"/>
  <c r="C36" i="65"/>
  <c r="E35" i="65"/>
  <c r="E34" i="65"/>
  <c r="E33" i="65"/>
  <c r="E24" i="65"/>
  <c r="E22" i="65"/>
  <c r="I21" i="65"/>
  <c r="E21" i="65"/>
  <c r="I20" i="65"/>
  <c r="I19" i="65"/>
  <c r="I18" i="65"/>
  <c r="E18" i="65"/>
  <c r="I17" i="65"/>
  <c r="E17" i="65"/>
  <c r="I16" i="65"/>
  <c r="I15" i="65"/>
  <c r="I14" i="65"/>
  <c r="E14" i="65"/>
  <c r="E13" i="65"/>
  <c r="I11" i="65"/>
  <c r="J11" i="65" s="1"/>
  <c r="H11" i="65"/>
  <c r="E11" i="65"/>
  <c r="J10" i="65"/>
  <c r="E10" i="65"/>
  <c r="J9" i="65"/>
  <c r="E9" i="65"/>
  <c r="J8" i="65"/>
  <c r="E8" i="65"/>
  <c r="J7" i="65"/>
  <c r="E7" i="65"/>
  <c r="J6" i="65"/>
  <c r="E6" i="65"/>
  <c r="J5" i="65"/>
  <c r="E5" i="65"/>
  <c r="J4" i="65"/>
  <c r="E3" i="65"/>
  <c r="D27" i="65"/>
  <c r="D4" i="65" s="1"/>
  <c r="E26" i="65" s="1"/>
  <c r="E36" i="65" l="1"/>
  <c r="E15" i="65"/>
  <c r="E19" i="65"/>
  <c r="E23" i="65"/>
  <c r="E27" i="65"/>
  <c r="E16" i="65"/>
  <c r="E20" i="65"/>
  <c r="E25" i="65"/>
  <c r="E29" i="65"/>
  <c r="E30" i="65" s="1"/>
  <c r="I21" i="64" l="1"/>
  <c r="H21" i="64"/>
  <c r="D27" i="64"/>
  <c r="E27" i="64" s="1"/>
  <c r="E26" i="64"/>
  <c r="I51" i="64"/>
  <c r="J51" i="64" s="1"/>
  <c r="F49" i="64"/>
  <c r="E49" i="64"/>
  <c r="F48" i="64"/>
  <c r="E48" i="64"/>
  <c r="F47" i="64"/>
  <c r="E47" i="64"/>
  <c r="F46" i="64"/>
  <c r="E46" i="64"/>
  <c r="F45" i="64"/>
  <c r="E45" i="64"/>
  <c r="F44" i="64"/>
  <c r="E44" i="64"/>
  <c r="E41" i="64"/>
  <c r="I40" i="64"/>
  <c r="I37" i="64"/>
  <c r="D37" i="64"/>
  <c r="C37" i="64"/>
  <c r="E37" i="64" s="1"/>
  <c r="E36" i="64"/>
  <c r="E35" i="64"/>
  <c r="E34" i="64"/>
  <c r="E25" i="64"/>
  <c r="E24" i="64"/>
  <c r="E23" i="64"/>
  <c r="E22" i="64"/>
  <c r="J21" i="64"/>
  <c r="E21" i="64"/>
  <c r="I20" i="64"/>
  <c r="E20" i="64"/>
  <c r="I19" i="64"/>
  <c r="E19" i="64"/>
  <c r="I18" i="64"/>
  <c r="E18" i="64"/>
  <c r="I17" i="64"/>
  <c r="E17" i="64"/>
  <c r="I16" i="64"/>
  <c r="E16" i="64"/>
  <c r="I15" i="64"/>
  <c r="E15" i="64"/>
  <c r="I14" i="64"/>
  <c r="E14" i="64"/>
  <c r="E13" i="64"/>
  <c r="E12" i="64"/>
  <c r="I11" i="64"/>
  <c r="H11" i="64"/>
  <c r="E11" i="64"/>
  <c r="J10" i="64"/>
  <c r="E10" i="64"/>
  <c r="J9" i="64"/>
  <c r="E9" i="64"/>
  <c r="J8" i="64"/>
  <c r="E8" i="64"/>
  <c r="J7" i="64"/>
  <c r="E7" i="64"/>
  <c r="J6" i="64"/>
  <c r="E6" i="64"/>
  <c r="J5" i="64"/>
  <c r="E5" i="64"/>
  <c r="J4" i="64"/>
  <c r="E3" i="64"/>
  <c r="D25" i="64"/>
  <c r="D4" i="64" s="1"/>
  <c r="J11" i="64" l="1"/>
  <c r="D28" i="64"/>
  <c r="E28" i="64"/>
  <c r="E25" i="63" l="1"/>
  <c r="I37" i="63"/>
  <c r="I51" i="63"/>
  <c r="D27" i="63" l="1"/>
  <c r="J51" i="63"/>
  <c r="F49" i="63"/>
  <c r="E49" i="63"/>
  <c r="F48" i="63"/>
  <c r="E48" i="63"/>
  <c r="F47" i="63"/>
  <c r="E47" i="63"/>
  <c r="F46" i="63"/>
  <c r="E46" i="63"/>
  <c r="F45" i="63"/>
  <c r="E45" i="63"/>
  <c r="F44" i="63"/>
  <c r="E44" i="63"/>
  <c r="E41" i="63"/>
  <c r="I40" i="63"/>
  <c r="D37" i="63"/>
  <c r="C37" i="63"/>
  <c r="E37" i="63" s="1"/>
  <c r="E36" i="63"/>
  <c r="E35" i="63"/>
  <c r="E34" i="63"/>
  <c r="D28" i="63"/>
  <c r="E26" i="63"/>
  <c r="E22" i="63"/>
  <c r="J21" i="63"/>
  <c r="H21" i="63"/>
  <c r="I21" i="63" s="1"/>
  <c r="E21" i="63"/>
  <c r="I20" i="63"/>
  <c r="I19" i="63"/>
  <c r="E19" i="63"/>
  <c r="I18" i="63"/>
  <c r="E18" i="63"/>
  <c r="I17" i="63"/>
  <c r="E17" i="63"/>
  <c r="I16" i="63"/>
  <c r="I15" i="63"/>
  <c r="E15" i="63"/>
  <c r="I14" i="63"/>
  <c r="E14" i="63"/>
  <c r="E13" i="63"/>
  <c r="E12" i="63"/>
  <c r="I11" i="63"/>
  <c r="H11" i="63"/>
  <c r="J10" i="63"/>
  <c r="E10" i="63"/>
  <c r="J9" i="63"/>
  <c r="E9" i="63"/>
  <c r="J8" i="63"/>
  <c r="J7" i="63"/>
  <c r="J6" i="63"/>
  <c r="E6" i="63"/>
  <c r="J5" i="63"/>
  <c r="E5" i="63"/>
  <c r="J4" i="63"/>
  <c r="E3" i="63"/>
  <c r="D25" i="63"/>
  <c r="D4" i="63"/>
  <c r="E8" i="63" s="1"/>
  <c r="E27" i="63" l="1"/>
  <c r="E28" i="63" s="1"/>
  <c r="E11" i="63"/>
  <c r="E23" i="63"/>
  <c r="E16" i="63"/>
  <c r="E20" i="63"/>
  <c r="E24" i="63"/>
  <c r="E7" i="63"/>
  <c r="J11" i="63"/>
  <c r="D38" i="62" l="1"/>
  <c r="J51" i="62" l="1"/>
  <c r="I51" i="62"/>
  <c r="H21" i="62" l="1"/>
  <c r="D27" i="62"/>
  <c r="E26" i="62"/>
  <c r="E12" i="62"/>
  <c r="E13" i="62"/>
  <c r="E14" i="62"/>
  <c r="E15" i="62"/>
  <c r="E16" i="62"/>
  <c r="E17" i="62"/>
  <c r="E18" i="62"/>
  <c r="E19" i="62"/>
  <c r="E20" i="62"/>
  <c r="E21" i="62"/>
  <c r="E22" i="62"/>
  <c r="E23" i="62"/>
  <c r="E24" i="62"/>
  <c r="J8" i="62"/>
  <c r="J9" i="62"/>
  <c r="J10" i="62"/>
  <c r="F49" i="62" l="1"/>
  <c r="E49" i="62"/>
  <c r="F48" i="62"/>
  <c r="E48" i="62"/>
  <c r="F47" i="62"/>
  <c r="E47" i="62"/>
  <c r="F46" i="62"/>
  <c r="E46" i="62"/>
  <c r="F45" i="62"/>
  <c r="E45" i="62"/>
  <c r="F44" i="62"/>
  <c r="E44" i="62"/>
  <c r="E41" i="62"/>
  <c r="I40" i="62"/>
  <c r="D37" i="62"/>
  <c r="C37" i="62"/>
  <c r="E37" i="62" s="1"/>
  <c r="E36" i="62"/>
  <c r="E35" i="62"/>
  <c r="E34" i="62"/>
  <c r="D28" i="62"/>
  <c r="J21" i="62"/>
  <c r="I20" i="62"/>
  <c r="I19" i="62"/>
  <c r="I18" i="62"/>
  <c r="I17" i="62"/>
  <c r="I16" i="62"/>
  <c r="I15" i="62"/>
  <c r="I14" i="62"/>
  <c r="I11" i="62"/>
  <c r="J11" i="62" s="1"/>
  <c r="H11" i="62"/>
  <c r="E11" i="62"/>
  <c r="E10" i="62"/>
  <c r="E9" i="62"/>
  <c r="E8" i="62"/>
  <c r="J7" i="62"/>
  <c r="E7" i="62"/>
  <c r="J6" i="62"/>
  <c r="E6" i="62"/>
  <c r="J5" i="62"/>
  <c r="E5" i="62"/>
  <c r="J4" i="62"/>
  <c r="E3" i="62"/>
  <c r="D25" i="62"/>
  <c r="D4" i="62" s="1"/>
  <c r="E27" i="62" l="1"/>
  <c r="E28" i="62" s="1"/>
  <c r="I21" i="62"/>
  <c r="J21" i="61" l="1"/>
  <c r="E25" i="61"/>
  <c r="D25" i="61"/>
  <c r="E24" i="61"/>
  <c r="F47" i="61"/>
  <c r="E47" i="61"/>
  <c r="F46" i="61"/>
  <c r="E46" i="61"/>
  <c r="F45" i="61"/>
  <c r="E45" i="61"/>
  <c r="F44" i="61"/>
  <c r="E44" i="61"/>
  <c r="F43" i="61"/>
  <c r="E43" i="61"/>
  <c r="F42" i="61"/>
  <c r="E42" i="61"/>
  <c r="E39" i="61"/>
  <c r="I38" i="61"/>
  <c r="D35" i="61"/>
  <c r="C35" i="61"/>
  <c r="E34" i="61"/>
  <c r="E33" i="61"/>
  <c r="E32" i="61"/>
  <c r="D26" i="61"/>
  <c r="E14" i="61"/>
  <c r="E15" i="61"/>
  <c r="E16" i="61"/>
  <c r="E17" i="61"/>
  <c r="E18" i="61"/>
  <c r="E19" i="61"/>
  <c r="E20" i="61"/>
  <c r="E21" i="61"/>
  <c r="H21" i="61"/>
  <c r="I21" i="61" s="1"/>
  <c r="I20" i="61"/>
  <c r="I19" i="61"/>
  <c r="I18" i="61"/>
  <c r="I17" i="61"/>
  <c r="I16" i="61"/>
  <c r="I15" i="61"/>
  <c r="I14" i="61"/>
  <c r="E13" i="61"/>
  <c r="E12" i="61"/>
  <c r="I11" i="61"/>
  <c r="J11" i="61" s="1"/>
  <c r="H11" i="61"/>
  <c r="E11" i="61"/>
  <c r="J10" i="61"/>
  <c r="E10" i="61"/>
  <c r="J9" i="61"/>
  <c r="E9" i="61"/>
  <c r="J8" i="61"/>
  <c r="E8" i="61"/>
  <c r="J7" i="61"/>
  <c r="E7" i="61"/>
  <c r="J6" i="61"/>
  <c r="E6" i="61"/>
  <c r="J5" i="61"/>
  <c r="E5" i="61"/>
  <c r="J4" i="61"/>
  <c r="E3" i="61"/>
  <c r="D23" i="61"/>
  <c r="D4" i="61"/>
  <c r="B1" i="61"/>
  <c r="E35" i="61" l="1"/>
  <c r="E26" i="61"/>
  <c r="D23" i="60" l="1"/>
  <c r="E23" i="60"/>
  <c r="D22" i="60"/>
  <c r="F44" i="60"/>
  <c r="E44" i="60"/>
  <c r="F43" i="60"/>
  <c r="E43" i="60"/>
  <c r="F42" i="60"/>
  <c r="E42" i="60"/>
  <c r="F41" i="60"/>
  <c r="E41" i="60"/>
  <c r="F40" i="60"/>
  <c r="E40" i="60"/>
  <c r="F39" i="60"/>
  <c r="E39" i="60"/>
  <c r="E36" i="60"/>
  <c r="I35" i="60"/>
  <c r="D32" i="60"/>
  <c r="C32" i="60"/>
  <c r="E32" i="60" s="1"/>
  <c r="E31" i="60"/>
  <c r="E30" i="60"/>
  <c r="E29" i="60"/>
  <c r="H24" i="60"/>
  <c r="J21" i="60" s="1"/>
  <c r="G24" i="60"/>
  <c r="H21" i="60"/>
  <c r="I21" i="60" s="1"/>
  <c r="E21" i="60"/>
  <c r="I20" i="60"/>
  <c r="E20" i="60"/>
  <c r="I19" i="60"/>
  <c r="E19" i="60"/>
  <c r="I18" i="60"/>
  <c r="E18" i="60"/>
  <c r="I17" i="60"/>
  <c r="E17" i="60"/>
  <c r="I16" i="60"/>
  <c r="E16" i="60"/>
  <c r="I15" i="60"/>
  <c r="E15" i="60"/>
  <c r="I14" i="60"/>
  <c r="E14" i="60"/>
  <c r="E13" i="60"/>
  <c r="E12" i="60"/>
  <c r="I11" i="60"/>
  <c r="H11" i="60"/>
  <c r="E11" i="60"/>
  <c r="J10" i="60"/>
  <c r="E10" i="60"/>
  <c r="J9" i="60"/>
  <c r="E9" i="60"/>
  <c r="J8" i="60"/>
  <c r="E8" i="60"/>
  <c r="J7" i="60"/>
  <c r="E7" i="60"/>
  <c r="J6" i="60"/>
  <c r="E6" i="60"/>
  <c r="J5" i="60"/>
  <c r="E5" i="60"/>
  <c r="J4" i="60"/>
  <c r="E3" i="60"/>
  <c r="D20" i="60"/>
  <c r="D4" i="60" s="1"/>
  <c r="J11" i="60" l="1"/>
  <c r="E22" i="60"/>
  <c r="H21" i="59" l="1"/>
  <c r="E23" i="59"/>
  <c r="D23" i="59"/>
  <c r="E21" i="59"/>
  <c r="E22" i="59"/>
  <c r="D22" i="59"/>
  <c r="F44" i="59"/>
  <c r="E44" i="59"/>
  <c r="F43" i="59"/>
  <c r="E43" i="59"/>
  <c r="F42" i="59"/>
  <c r="E42" i="59"/>
  <c r="F41" i="59"/>
  <c r="E41" i="59"/>
  <c r="F40" i="59"/>
  <c r="E40" i="59"/>
  <c r="F39" i="59"/>
  <c r="E39" i="59"/>
  <c r="E36" i="59"/>
  <c r="I35" i="59"/>
  <c r="D32" i="59"/>
  <c r="C32" i="59"/>
  <c r="E32" i="59" s="1"/>
  <c r="E31" i="59"/>
  <c r="E30" i="59"/>
  <c r="E29" i="59"/>
  <c r="G24" i="59" l="1"/>
  <c r="I21" i="59"/>
  <c r="I20" i="59"/>
  <c r="E20" i="59"/>
  <c r="I19" i="59"/>
  <c r="E19" i="59"/>
  <c r="I18" i="59"/>
  <c r="E18" i="59"/>
  <c r="I17" i="59"/>
  <c r="E17" i="59"/>
  <c r="I16" i="59"/>
  <c r="E16" i="59"/>
  <c r="I15" i="59"/>
  <c r="E15" i="59"/>
  <c r="I14" i="59"/>
  <c r="E14" i="59"/>
  <c r="E13" i="59"/>
  <c r="E12" i="59"/>
  <c r="I11" i="59"/>
  <c r="J11" i="59" s="1"/>
  <c r="H11" i="59"/>
  <c r="E11" i="59"/>
  <c r="J10" i="59"/>
  <c r="E10" i="59"/>
  <c r="J9" i="59"/>
  <c r="E9" i="59"/>
  <c r="J8" i="59"/>
  <c r="E8" i="59"/>
  <c r="J7" i="59"/>
  <c r="E7" i="59"/>
  <c r="J6" i="59"/>
  <c r="E6" i="59"/>
  <c r="J5" i="59"/>
  <c r="E5" i="59"/>
  <c r="J4" i="59"/>
  <c r="E3" i="59"/>
  <c r="D20" i="59"/>
  <c r="D4" i="59"/>
  <c r="B1" i="59"/>
  <c r="H24" i="59" l="1"/>
  <c r="J21" i="59" s="1"/>
  <c r="J21" i="58" l="1"/>
  <c r="H21" i="58"/>
  <c r="I21" i="58" s="1"/>
  <c r="H24" i="58"/>
  <c r="G24" i="58"/>
  <c r="D27" i="58"/>
  <c r="F46" i="58"/>
  <c r="E46" i="58"/>
  <c r="F45" i="58"/>
  <c r="E45" i="58"/>
  <c r="F44" i="58"/>
  <c r="E44" i="58"/>
  <c r="F43" i="58"/>
  <c r="E43" i="58"/>
  <c r="F42" i="58"/>
  <c r="E42" i="58"/>
  <c r="F41" i="58"/>
  <c r="E41" i="58"/>
  <c r="E38" i="58"/>
  <c r="I37" i="58"/>
  <c r="D34" i="58"/>
  <c r="C34" i="58"/>
  <c r="E34" i="58" s="1"/>
  <c r="E33" i="58"/>
  <c r="E32" i="58"/>
  <c r="E31" i="58"/>
  <c r="D28" i="58"/>
  <c r="E27" i="58"/>
  <c r="E28" i="58" s="1"/>
  <c r="E26" i="58"/>
  <c r="E25" i="58"/>
  <c r="E24" i="58"/>
  <c r="E23" i="58"/>
  <c r="E22" i="58"/>
  <c r="E21" i="58"/>
  <c r="I20" i="58"/>
  <c r="E20" i="58"/>
  <c r="I19" i="58"/>
  <c r="E19" i="58"/>
  <c r="I18" i="58"/>
  <c r="E18" i="58"/>
  <c r="I17" i="58"/>
  <c r="E17" i="58"/>
  <c r="I16" i="58"/>
  <c r="E16" i="58"/>
  <c r="I15" i="58"/>
  <c r="E15" i="58"/>
  <c r="I14" i="58"/>
  <c r="E14" i="58"/>
  <c r="E13" i="58"/>
  <c r="E12" i="58"/>
  <c r="I11" i="58"/>
  <c r="J11" i="58" s="1"/>
  <c r="H11" i="58"/>
  <c r="E11" i="58"/>
  <c r="J10" i="58"/>
  <c r="E10" i="58"/>
  <c r="J9" i="58"/>
  <c r="E9" i="58"/>
  <c r="J8" i="58"/>
  <c r="E8" i="58"/>
  <c r="J7" i="58"/>
  <c r="E7" i="58"/>
  <c r="J6" i="58"/>
  <c r="E6" i="58"/>
  <c r="J5" i="58"/>
  <c r="E5" i="58"/>
  <c r="J4" i="58"/>
  <c r="E3" i="58"/>
  <c r="D25" i="58"/>
  <c r="D4" i="58"/>
  <c r="B1" i="58"/>
  <c r="F46" i="57" l="1"/>
  <c r="E46" i="57"/>
  <c r="F45" i="57"/>
  <c r="E45" i="57"/>
  <c r="F44" i="57"/>
  <c r="E44" i="57"/>
  <c r="F43" i="57"/>
  <c r="E43" i="57"/>
  <c r="F42" i="57"/>
  <c r="E42" i="57"/>
  <c r="F41" i="57"/>
  <c r="E41" i="57"/>
  <c r="E38" i="57"/>
  <c r="I37" i="57"/>
  <c r="D34" i="57"/>
  <c r="C34" i="57"/>
  <c r="E34" i="57" s="1"/>
  <c r="E33" i="57"/>
  <c r="E32" i="57"/>
  <c r="E31" i="57"/>
  <c r="D27" i="57"/>
  <c r="D28" i="57" s="1"/>
  <c r="E26" i="57"/>
  <c r="D25" i="57"/>
  <c r="E25" i="57" s="1"/>
  <c r="H22" i="57"/>
  <c r="J20" i="57" s="1"/>
  <c r="G22" i="57"/>
  <c r="E22" i="57"/>
  <c r="I20" i="57"/>
  <c r="I19" i="57"/>
  <c r="E19" i="57"/>
  <c r="I18" i="57"/>
  <c r="E18" i="57"/>
  <c r="I17" i="57"/>
  <c r="I16" i="57"/>
  <c r="I15" i="57"/>
  <c r="E15" i="57"/>
  <c r="I14" i="57"/>
  <c r="E14" i="57"/>
  <c r="I11" i="57"/>
  <c r="J11" i="57" s="1"/>
  <c r="H11" i="57"/>
  <c r="E11" i="57"/>
  <c r="J10" i="57"/>
  <c r="E10" i="57"/>
  <c r="J9" i="57"/>
  <c r="J8" i="57"/>
  <c r="J7" i="57"/>
  <c r="E7" i="57"/>
  <c r="J6" i="57"/>
  <c r="E6" i="57"/>
  <c r="J5" i="57"/>
  <c r="J4" i="57"/>
  <c r="D4" i="57"/>
  <c r="E21" i="57" s="1"/>
  <c r="E3" i="57"/>
  <c r="E27" i="57" l="1"/>
  <c r="E28" i="57" s="1"/>
  <c r="E23" i="57"/>
  <c r="E20" i="57"/>
  <c r="E8" i="57"/>
  <c r="E16" i="57"/>
  <c r="E24" i="57"/>
  <c r="E5" i="57"/>
  <c r="E9" i="57"/>
  <c r="E12" i="57"/>
  <c r="E17" i="57"/>
  <c r="E13" i="57"/>
  <c r="D27" i="56"/>
  <c r="F46" i="56"/>
  <c r="E46" i="56"/>
  <c r="F45" i="56"/>
  <c r="E45" i="56"/>
  <c r="F44" i="56"/>
  <c r="E44" i="56"/>
  <c r="F43" i="56"/>
  <c r="E43" i="56"/>
  <c r="F42" i="56"/>
  <c r="E42" i="56"/>
  <c r="F41" i="56"/>
  <c r="E41" i="56"/>
  <c r="E38" i="56"/>
  <c r="I37" i="56"/>
  <c r="D34" i="56"/>
  <c r="C34" i="56"/>
  <c r="E33" i="56"/>
  <c r="E32" i="56"/>
  <c r="E31" i="56"/>
  <c r="D28" i="56"/>
  <c r="E26" i="56"/>
  <c r="E25" i="56"/>
  <c r="E24" i="56"/>
  <c r="E23" i="56"/>
  <c r="H22" i="56"/>
  <c r="J20" i="56" s="1"/>
  <c r="G22" i="56"/>
  <c r="E22" i="56"/>
  <c r="E21" i="56"/>
  <c r="I20" i="56"/>
  <c r="E20" i="56"/>
  <c r="I19" i="56"/>
  <c r="E19" i="56"/>
  <c r="I18" i="56"/>
  <c r="E18" i="56"/>
  <c r="I17" i="56"/>
  <c r="E17" i="56"/>
  <c r="I16" i="56"/>
  <c r="E16" i="56"/>
  <c r="I15" i="56"/>
  <c r="E15" i="56"/>
  <c r="I14" i="56"/>
  <c r="E14" i="56"/>
  <c r="E13" i="56"/>
  <c r="E12" i="56"/>
  <c r="I11" i="56"/>
  <c r="J11" i="56" s="1"/>
  <c r="H11" i="56"/>
  <c r="E11" i="56"/>
  <c r="J10" i="56"/>
  <c r="E10" i="56"/>
  <c r="J9" i="56"/>
  <c r="E9" i="56"/>
  <c r="J8" i="56"/>
  <c r="E8" i="56"/>
  <c r="J7" i="56"/>
  <c r="E7" i="56"/>
  <c r="J6" i="56"/>
  <c r="E6" i="56"/>
  <c r="J5" i="56"/>
  <c r="E5" i="56"/>
  <c r="J4" i="56"/>
  <c r="E3" i="56"/>
  <c r="D25" i="56"/>
  <c r="D4" i="56" s="1"/>
  <c r="E34" i="56" l="1"/>
  <c r="E27" i="56"/>
  <c r="E28" i="56" s="1"/>
  <c r="D27" i="55" l="1"/>
  <c r="F46" i="55"/>
  <c r="E46" i="55"/>
  <c r="F45" i="55"/>
  <c r="E45" i="55"/>
  <c r="F44" i="55"/>
  <c r="E44" i="55"/>
  <c r="F43" i="55"/>
  <c r="E43" i="55"/>
  <c r="F42" i="55"/>
  <c r="E42" i="55"/>
  <c r="F41" i="55"/>
  <c r="E41" i="55"/>
  <c r="E38" i="55"/>
  <c r="I37" i="55"/>
  <c r="D34" i="55"/>
  <c r="C34" i="55"/>
  <c r="E33" i="55"/>
  <c r="E32" i="55"/>
  <c r="E31" i="55"/>
  <c r="E27" i="55"/>
  <c r="E28" i="55" s="1"/>
  <c r="E26" i="55"/>
  <c r="E25" i="55"/>
  <c r="E24" i="55"/>
  <c r="E23" i="55"/>
  <c r="H22" i="55"/>
  <c r="J20" i="55" s="1"/>
  <c r="G22" i="55"/>
  <c r="E22" i="55"/>
  <c r="E21" i="55"/>
  <c r="I20" i="55"/>
  <c r="E20" i="55"/>
  <c r="I19" i="55"/>
  <c r="E19" i="55"/>
  <c r="I18" i="55"/>
  <c r="E18" i="55"/>
  <c r="I17" i="55"/>
  <c r="E17" i="55"/>
  <c r="I16" i="55"/>
  <c r="E16" i="55"/>
  <c r="I15" i="55"/>
  <c r="E15" i="55"/>
  <c r="I14" i="55"/>
  <c r="E14" i="55"/>
  <c r="E13" i="55"/>
  <c r="E12" i="55"/>
  <c r="I11" i="55"/>
  <c r="H11" i="55"/>
  <c r="E11" i="55"/>
  <c r="J10" i="55"/>
  <c r="E10" i="55"/>
  <c r="J9" i="55"/>
  <c r="E9" i="55"/>
  <c r="J8" i="55"/>
  <c r="E8" i="55"/>
  <c r="J7" i="55"/>
  <c r="E7" i="55"/>
  <c r="J6" i="55"/>
  <c r="E6" i="55"/>
  <c r="J5" i="55"/>
  <c r="E5" i="55"/>
  <c r="J4" i="55"/>
  <c r="E3" i="55"/>
  <c r="D25" i="55"/>
  <c r="D4" i="55" s="1"/>
  <c r="E34" i="55" l="1"/>
  <c r="D28" i="55"/>
  <c r="J11" i="55"/>
  <c r="D27" i="54" l="1"/>
  <c r="E27" i="54"/>
  <c r="F46" i="54"/>
  <c r="E46" i="54"/>
  <c r="F45" i="54"/>
  <c r="E45" i="54"/>
  <c r="F44" i="54"/>
  <c r="E44" i="54"/>
  <c r="F43" i="54"/>
  <c r="E43" i="54"/>
  <c r="F42" i="54"/>
  <c r="E42" i="54"/>
  <c r="F41" i="54"/>
  <c r="E41" i="54"/>
  <c r="E38" i="54"/>
  <c r="I37" i="54"/>
  <c r="D34" i="54"/>
  <c r="C34" i="54"/>
  <c r="E34" i="54" s="1"/>
  <c r="E33" i="54"/>
  <c r="E32" i="54"/>
  <c r="E31" i="54"/>
  <c r="D28" i="54"/>
  <c r="E28" i="54"/>
  <c r="E26" i="54"/>
  <c r="E25" i="54"/>
  <c r="E23" i="54"/>
  <c r="E24" i="54"/>
  <c r="H22" i="54"/>
  <c r="G22" i="54"/>
  <c r="E22" i="54"/>
  <c r="E21" i="54"/>
  <c r="J20" i="54"/>
  <c r="I20" i="54"/>
  <c r="E20" i="54"/>
  <c r="I19" i="54"/>
  <c r="E19" i="54"/>
  <c r="I18" i="54"/>
  <c r="E18" i="54"/>
  <c r="I17" i="54"/>
  <c r="E17" i="54"/>
  <c r="I16" i="54"/>
  <c r="E16" i="54"/>
  <c r="I15" i="54"/>
  <c r="E15" i="54"/>
  <c r="I14" i="54"/>
  <c r="E14" i="54"/>
  <c r="E13" i="54"/>
  <c r="E12" i="54"/>
  <c r="I11" i="54"/>
  <c r="J11" i="54" s="1"/>
  <c r="H11" i="54"/>
  <c r="E11" i="54"/>
  <c r="J10" i="54"/>
  <c r="E10" i="54"/>
  <c r="J9" i="54"/>
  <c r="E9" i="54"/>
  <c r="J8" i="54"/>
  <c r="E8" i="54"/>
  <c r="J7" i="54"/>
  <c r="E7" i="54"/>
  <c r="J6" i="54"/>
  <c r="E6" i="54"/>
  <c r="J5" i="54"/>
  <c r="E5" i="54"/>
  <c r="J4" i="54"/>
  <c r="E3" i="54"/>
  <c r="D25" i="54"/>
  <c r="D4" i="54" s="1"/>
  <c r="J7" i="53" l="1"/>
  <c r="G22" i="53"/>
  <c r="H22" i="53"/>
  <c r="I20" i="53"/>
  <c r="E25" i="53"/>
  <c r="E24" i="53"/>
  <c r="E23" i="53"/>
  <c r="D24" i="53"/>
  <c r="F43" i="53"/>
  <c r="E43" i="53"/>
  <c r="F42" i="53"/>
  <c r="E42" i="53"/>
  <c r="F41" i="53"/>
  <c r="E41" i="53"/>
  <c r="F40" i="53"/>
  <c r="E40" i="53"/>
  <c r="F39" i="53"/>
  <c r="E39" i="53"/>
  <c r="F38" i="53"/>
  <c r="E38" i="53"/>
  <c r="E35" i="53"/>
  <c r="I34" i="53"/>
  <c r="D31" i="53"/>
  <c r="C31" i="53"/>
  <c r="E31" i="53" s="1"/>
  <c r="E30" i="53"/>
  <c r="E29" i="53"/>
  <c r="E28" i="53"/>
  <c r="D25" i="53"/>
  <c r="I19" i="53"/>
  <c r="I18" i="53"/>
  <c r="E22" i="53"/>
  <c r="I17" i="53"/>
  <c r="E21" i="53"/>
  <c r="I16" i="53"/>
  <c r="E20" i="53"/>
  <c r="I15" i="53"/>
  <c r="E19" i="53"/>
  <c r="I14" i="53"/>
  <c r="E18" i="53"/>
  <c r="E17" i="53"/>
  <c r="E16" i="53"/>
  <c r="I11" i="53"/>
  <c r="H11" i="53"/>
  <c r="E15" i="53"/>
  <c r="E14" i="53"/>
  <c r="J6" i="53"/>
  <c r="E13" i="53"/>
  <c r="J5" i="53"/>
  <c r="E12" i="53"/>
  <c r="J4" i="53"/>
  <c r="E11" i="53"/>
  <c r="J10" i="53"/>
  <c r="E10" i="53"/>
  <c r="J9" i="53"/>
  <c r="E9" i="53"/>
  <c r="J8" i="53"/>
  <c r="E8" i="53"/>
  <c r="E7" i="53"/>
  <c r="E6" i="53"/>
  <c r="E5" i="53"/>
  <c r="F3" i="53"/>
  <c r="E3" i="53"/>
  <c r="D23" i="53"/>
  <c r="D6" i="53"/>
  <c r="D22" i="53" s="1"/>
  <c r="D4" i="53" s="1"/>
  <c r="C6" i="53"/>
  <c r="J11" i="53" l="1"/>
  <c r="J20" i="53"/>
  <c r="F30" i="52" l="1"/>
  <c r="D25" i="52" l="1"/>
  <c r="E24" i="52"/>
  <c r="F23" i="52"/>
  <c r="C43" i="52"/>
  <c r="J13" i="52" l="1"/>
  <c r="D24" i="52"/>
  <c r="F43" i="52"/>
  <c r="E43" i="52"/>
  <c r="F42" i="52"/>
  <c r="E42" i="52"/>
  <c r="F41" i="52"/>
  <c r="E41" i="52"/>
  <c r="F40" i="52"/>
  <c r="E40" i="52"/>
  <c r="F39" i="52"/>
  <c r="E39" i="52"/>
  <c r="F38" i="52"/>
  <c r="E38" i="52"/>
  <c r="E35" i="52"/>
  <c r="I34" i="52"/>
  <c r="D31" i="52"/>
  <c r="C31" i="52"/>
  <c r="E31" i="52" s="1"/>
  <c r="E30" i="52"/>
  <c r="E29" i="52"/>
  <c r="E28" i="52"/>
  <c r="I26" i="52"/>
  <c r="J24" i="52" s="1"/>
  <c r="H26" i="52"/>
  <c r="E25" i="52"/>
  <c r="J23" i="52"/>
  <c r="E23" i="52"/>
  <c r="J22" i="52"/>
  <c r="E22" i="52"/>
  <c r="J21" i="52"/>
  <c r="E21" i="52"/>
  <c r="J20" i="52"/>
  <c r="E20" i="52"/>
  <c r="J19" i="52"/>
  <c r="E19" i="52"/>
  <c r="J18" i="52"/>
  <c r="E18" i="52"/>
  <c r="E17" i="52"/>
  <c r="E16" i="52"/>
  <c r="J15" i="52"/>
  <c r="I15" i="52"/>
  <c r="H15" i="52"/>
  <c r="E15" i="52"/>
  <c r="E14" i="52"/>
  <c r="E13" i="52"/>
  <c r="J12" i="52"/>
  <c r="E12" i="52"/>
  <c r="J11" i="52"/>
  <c r="E11" i="52"/>
  <c r="J10" i="52"/>
  <c r="E10" i="52"/>
  <c r="J9" i="52"/>
  <c r="E9" i="52"/>
  <c r="J8" i="52"/>
  <c r="E8" i="52"/>
  <c r="J7" i="52"/>
  <c r="E7" i="52"/>
  <c r="J6" i="52"/>
  <c r="E6" i="52"/>
  <c r="J5" i="52"/>
  <c r="E5" i="52"/>
  <c r="J4" i="52"/>
  <c r="F3" i="52"/>
  <c r="E3" i="52"/>
  <c r="D22" i="52"/>
  <c r="D4" i="52" s="1"/>
  <c r="J26" i="52" l="1"/>
  <c r="F23" i="51"/>
  <c r="F3" i="51"/>
  <c r="J12" i="51" l="1"/>
  <c r="J11" i="51"/>
  <c r="I15" i="51"/>
  <c r="H15" i="51"/>
  <c r="E24" i="51"/>
  <c r="D24" i="51"/>
  <c r="E23" i="51"/>
  <c r="F43" i="51"/>
  <c r="E43" i="51"/>
  <c r="F42" i="51"/>
  <c r="E42" i="51"/>
  <c r="F41" i="51"/>
  <c r="E41" i="51"/>
  <c r="F40" i="51"/>
  <c r="E40" i="51"/>
  <c r="F39" i="51"/>
  <c r="E39" i="51"/>
  <c r="F38" i="51"/>
  <c r="E38" i="51"/>
  <c r="E35" i="51"/>
  <c r="I34" i="51"/>
  <c r="D31" i="51"/>
  <c r="C31" i="51"/>
  <c r="E30" i="51"/>
  <c r="E29" i="51"/>
  <c r="E28" i="51"/>
  <c r="D25" i="51"/>
  <c r="I26" i="51"/>
  <c r="J26" i="51" s="1"/>
  <c r="H26" i="51"/>
  <c r="J23" i="51"/>
  <c r="J22" i="51"/>
  <c r="J21" i="51"/>
  <c r="J20" i="51"/>
  <c r="J19" i="51"/>
  <c r="J18" i="51"/>
  <c r="E12" i="51"/>
  <c r="J10" i="51"/>
  <c r="J9" i="51"/>
  <c r="J8" i="51"/>
  <c r="J7" i="51"/>
  <c r="J6" i="51"/>
  <c r="J5" i="51"/>
  <c r="J4" i="51"/>
  <c r="E3" i="51"/>
  <c r="D22" i="51"/>
  <c r="E22" i="51" s="1"/>
  <c r="D4" i="51"/>
  <c r="E31" i="51" l="1"/>
  <c r="J24" i="51"/>
  <c r="E25" i="51"/>
  <c r="E11" i="51"/>
  <c r="E20" i="51"/>
  <c r="J15" i="51"/>
  <c r="E17" i="51"/>
  <c r="E21" i="51"/>
  <c r="E5" i="51"/>
  <c r="E9" i="51"/>
  <c r="E13" i="51"/>
  <c r="E7" i="51"/>
  <c r="E16" i="51"/>
  <c r="E8" i="51"/>
  <c r="E14" i="51"/>
  <c r="E18" i="51"/>
  <c r="E6" i="51"/>
  <c r="E10" i="51"/>
  <c r="E15" i="51"/>
  <c r="E19" i="51"/>
  <c r="D28" i="50"/>
  <c r="E28" i="50"/>
  <c r="E27" i="50"/>
  <c r="D27" i="50"/>
  <c r="F46" i="50"/>
  <c r="E46" i="50"/>
  <c r="F45" i="50"/>
  <c r="E45" i="50"/>
  <c r="F44" i="50"/>
  <c r="E44" i="50"/>
  <c r="F43" i="50"/>
  <c r="E43" i="50"/>
  <c r="F42" i="50"/>
  <c r="E42" i="50"/>
  <c r="F41" i="50"/>
  <c r="E41" i="50"/>
  <c r="E38" i="50"/>
  <c r="I37" i="50"/>
  <c r="D34" i="50"/>
  <c r="C34" i="50"/>
  <c r="E33" i="50"/>
  <c r="E32" i="50"/>
  <c r="E31" i="50"/>
  <c r="E26" i="50"/>
  <c r="E25" i="50"/>
  <c r="E24" i="50"/>
  <c r="E23" i="50"/>
  <c r="I22" i="50"/>
  <c r="J20" i="50" s="1"/>
  <c r="H22" i="50"/>
  <c r="E22" i="50"/>
  <c r="E21" i="50"/>
  <c r="E20" i="50"/>
  <c r="J19" i="50"/>
  <c r="E19" i="50"/>
  <c r="J18" i="50"/>
  <c r="E18" i="50"/>
  <c r="J17" i="50"/>
  <c r="E17" i="50"/>
  <c r="J16" i="50"/>
  <c r="E16" i="50"/>
  <c r="J15" i="50"/>
  <c r="E15" i="50"/>
  <c r="J14" i="50"/>
  <c r="E14" i="50"/>
  <c r="E13" i="50"/>
  <c r="E12" i="50"/>
  <c r="I11" i="50"/>
  <c r="J11" i="50" s="1"/>
  <c r="H11" i="50"/>
  <c r="E11" i="50"/>
  <c r="J10" i="50"/>
  <c r="E10" i="50"/>
  <c r="J9" i="50"/>
  <c r="E9" i="50"/>
  <c r="J8" i="50"/>
  <c r="E8" i="50"/>
  <c r="J7" i="50"/>
  <c r="E7" i="50"/>
  <c r="J6" i="50"/>
  <c r="E6" i="50"/>
  <c r="J5" i="50"/>
  <c r="E5" i="50"/>
  <c r="J4" i="50"/>
  <c r="E3" i="50"/>
  <c r="D25" i="50"/>
  <c r="D4" i="50" s="1"/>
  <c r="E34" i="50" l="1"/>
  <c r="J22" i="50"/>
  <c r="D27" i="49" l="1"/>
  <c r="F46" i="49"/>
  <c r="E46" i="49"/>
  <c r="F45" i="49"/>
  <c r="E45" i="49"/>
  <c r="F44" i="49"/>
  <c r="E44" i="49"/>
  <c r="F43" i="49"/>
  <c r="E43" i="49"/>
  <c r="F42" i="49"/>
  <c r="E42" i="49"/>
  <c r="F41" i="49"/>
  <c r="E41" i="49"/>
  <c r="E38" i="49"/>
  <c r="I37" i="49"/>
  <c r="D34" i="49"/>
  <c r="C34" i="49"/>
  <c r="E33" i="49"/>
  <c r="E32" i="49"/>
  <c r="E31" i="49"/>
  <c r="E27" i="49"/>
  <c r="E28" i="49" s="1"/>
  <c r="E26" i="49"/>
  <c r="I22" i="49"/>
  <c r="H22" i="49"/>
  <c r="J19" i="49"/>
  <c r="J18" i="49"/>
  <c r="J17" i="49"/>
  <c r="J16" i="49"/>
  <c r="J15" i="49"/>
  <c r="J14" i="49"/>
  <c r="I11" i="49"/>
  <c r="H11" i="49"/>
  <c r="J10" i="49"/>
  <c r="J9" i="49"/>
  <c r="J8" i="49"/>
  <c r="J7" i="49"/>
  <c r="J6" i="49"/>
  <c r="J5" i="49"/>
  <c r="J4" i="49"/>
  <c r="E3" i="49"/>
  <c r="D25" i="49"/>
  <c r="B1" i="49"/>
  <c r="E34" i="49" l="1"/>
  <c r="D28" i="49"/>
  <c r="J11" i="49"/>
  <c r="J20" i="49"/>
  <c r="D4" i="49"/>
  <c r="J22" i="49"/>
  <c r="E20" i="49" l="1"/>
  <c r="E11" i="49"/>
  <c r="E7" i="49"/>
  <c r="E19" i="49"/>
  <c r="E15" i="49"/>
  <c r="E10" i="49"/>
  <c r="E6" i="49"/>
  <c r="E13" i="49"/>
  <c r="E24" i="49"/>
  <c r="E23" i="49"/>
  <c r="E18" i="49"/>
  <c r="E14" i="49"/>
  <c r="E22" i="49"/>
  <c r="E17" i="49"/>
  <c r="E12" i="49"/>
  <c r="E21" i="49"/>
  <c r="E16" i="49"/>
  <c r="E9" i="49"/>
  <c r="E5" i="49"/>
  <c r="E8" i="49"/>
  <c r="E25" i="49"/>
  <c r="D27" i="48" l="1"/>
  <c r="D28" i="48" s="1"/>
  <c r="F46" i="48"/>
  <c r="E46" i="48"/>
  <c r="F45" i="48"/>
  <c r="E45" i="48"/>
  <c r="F44" i="48"/>
  <c r="E44" i="48"/>
  <c r="F43" i="48"/>
  <c r="E43" i="48"/>
  <c r="F42" i="48"/>
  <c r="E42" i="48"/>
  <c r="F41" i="48"/>
  <c r="E41" i="48"/>
  <c r="E38" i="48"/>
  <c r="I37" i="48"/>
  <c r="D34" i="48"/>
  <c r="C34" i="48"/>
  <c r="E33" i="48"/>
  <c r="E32" i="48"/>
  <c r="E31" i="48"/>
  <c r="E26" i="48"/>
  <c r="E25" i="48"/>
  <c r="E24" i="48"/>
  <c r="E23" i="48"/>
  <c r="I22" i="48"/>
  <c r="J22" i="48" s="1"/>
  <c r="H22" i="48"/>
  <c r="E22" i="48"/>
  <c r="E21" i="48"/>
  <c r="J20" i="48"/>
  <c r="E20" i="48"/>
  <c r="J19" i="48"/>
  <c r="E19" i="48"/>
  <c r="J18" i="48"/>
  <c r="E18" i="48"/>
  <c r="J17" i="48"/>
  <c r="E17" i="48"/>
  <c r="J16" i="48"/>
  <c r="E16" i="48"/>
  <c r="J15" i="48"/>
  <c r="E15" i="48"/>
  <c r="J14" i="48"/>
  <c r="E14" i="48"/>
  <c r="E13" i="48"/>
  <c r="E12" i="48"/>
  <c r="I11" i="48"/>
  <c r="H11" i="48"/>
  <c r="E11" i="48"/>
  <c r="J10" i="48"/>
  <c r="E10" i="48"/>
  <c r="J9" i="48"/>
  <c r="E9" i="48"/>
  <c r="J8" i="48"/>
  <c r="E8" i="48"/>
  <c r="J7" i="48"/>
  <c r="E7" i="48"/>
  <c r="J6" i="48"/>
  <c r="E6" i="48"/>
  <c r="J5" i="48"/>
  <c r="E5" i="48"/>
  <c r="J4" i="48"/>
  <c r="E3" i="48"/>
  <c r="D25" i="48"/>
  <c r="D4" i="48"/>
  <c r="B1" i="48"/>
  <c r="E34" i="48" l="1"/>
  <c r="E27" i="48"/>
  <c r="E28" i="48" s="1"/>
  <c r="J11" i="48"/>
  <c r="D27" i="47"/>
  <c r="E27" i="47" s="1"/>
  <c r="E26" i="47"/>
  <c r="E25" i="47"/>
  <c r="E22" i="47"/>
  <c r="E23" i="47"/>
  <c r="E24" i="47"/>
  <c r="F46" i="47"/>
  <c r="E46" i="47"/>
  <c r="F45" i="47"/>
  <c r="E45" i="47"/>
  <c r="F44" i="47"/>
  <c r="E44" i="47"/>
  <c r="F43" i="47"/>
  <c r="E43" i="47"/>
  <c r="F42" i="47"/>
  <c r="E42" i="47"/>
  <c r="F41" i="47"/>
  <c r="E41" i="47"/>
  <c r="E38" i="47"/>
  <c r="I37" i="47"/>
  <c r="D34" i="47"/>
  <c r="C34" i="47"/>
  <c r="E34" i="47" s="1"/>
  <c r="E33" i="47"/>
  <c r="E32" i="47"/>
  <c r="E31" i="47"/>
  <c r="I22" i="47"/>
  <c r="J22" i="47" s="1"/>
  <c r="H22" i="47"/>
  <c r="E21" i="47"/>
  <c r="J20" i="47"/>
  <c r="J19" i="47"/>
  <c r="J18" i="47"/>
  <c r="J17" i="47"/>
  <c r="J16" i="47"/>
  <c r="J15" i="47"/>
  <c r="J14" i="47"/>
  <c r="I11" i="47"/>
  <c r="H11" i="47"/>
  <c r="J10" i="47"/>
  <c r="J9" i="47"/>
  <c r="J8" i="47"/>
  <c r="J7" i="47"/>
  <c r="J6" i="47"/>
  <c r="J5" i="47"/>
  <c r="J4" i="47"/>
  <c r="E3" i="47"/>
  <c r="D25" i="47"/>
  <c r="D4" i="47" s="1"/>
  <c r="E19" i="47" s="1"/>
  <c r="D28" i="47" l="1"/>
  <c r="E28" i="47"/>
  <c r="E8" i="47"/>
  <c r="E12" i="47"/>
  <c r="E5" i="47"/>
  <c r="E14" i="47"/>
  <c r="E18" i="47"/>
  <c r="E13" i="47"/>
  <c r="E6" i="47"/>
  <c r="E10" i="47"/>
  <c r="E7" i="47"/>
  <c r="E11" i="47"/>
  <c r="E16" i="47"/>
  <c r="E20" i="47"/>
  <c r="J11" i="47"/>
  <c r="E17" i="47"/>
  <c r="E9" i="47"/>
  <c r="E15" i="47"/>
  <c r="H30" i="46" l="1"/>
  <c r="D24" i="46" l="1"/>
  <c r="J45" i="46"/>
  <c r="K46" i="46" s="1"/>
  <c r="F43" i="46"/>
  <c r="E43" i="46"/>
  <c r="J42" i="46"/>
  <c r="J48" i="46" s="1"/>
  <c r="F42" i="46"/>
  <c r="E42" i="46"/>
  <c r="F41" i="46"/>
  <c r="E41" i="46"/>
  <c r="F40" i="46"/>
  <c r="E40" i="46"/>
  <c r="F39" i="46"/>
  <c r="E39" i="46"/>
  <c r="F38" i="46"/>
  <c r="E38" i="46"/>
  <c r="E35" i="46"/>
  <c r="I34" i="46"/>
  <c r="H32" i="46"/>
  <c r="D31" i="46"/>
  <c r="C31" i="46"/>
  <c r="E31" i="46" s="1"/>
  <c r="E30" i="46"/>
  <c r="E29" i="46"/>
  <c r="E28" i="46"/>
  <c r="E24" i="46"/>
  <c r="E25" i="46" s="1"/>
  <c r="E23" i="46"/>
  <c r="I22" i="46"/>
  <c r="J22" i="46" s="1"/>
  <c r="H22" i="46"/>
  <c r="J20" i="46" s="1"/>
  <c r="E22" i="46"/>
  <c r="E21" i="46"/>
  <c r="E20" i="46"/>
  <c r="J19" i="46"/>
  <c r="E19" i="46"/>
  <c r="J18" i="46"/>
  <c r="E18" i="46"/>
  <c r="J17" i="46"/>
  <c r="E17" i="46"/>
  <c r="J16" i="46"/>
  <c r="E16" i="46"/>
  <c r="J15" i="46"/>
  <c r="E15" i="46"/>
  <c r="J14" i="46"/>
  <c r="E14" i="46"/>
  <c r="E13" i="46"/>
  <c r="E12" i="46"/>
  <c r="I11" i="46"/>
  <c r="J11" i="46" s="1"/>
  <c r="H11" i="46"/>
  <c r="E11" i="46"/>
  <c r="J10" i="46"/>
  <c r="E10" i="46"/>
  <c r="J9" i="46"/>
  <c r="E9" i="46"/>
  <c r="J8" i="46"/>
  <c r="E8" i="46"/>
  <c r="J7" i="46"/>
  <c r="E7" i="46"/>
  <c r="J6" i="46"/>
  <c r="E6" i="46"/>
  <c r="J5" i="46"/>
  <c r="E5" i="46"/>
  <c r="J4" i="46"/>
  <c r="E3" i="46"/>
  <c r="D22" i="46"/>
  <c r="D4" i="46" s="1"/>
  <c r="K43" i="46" l="1"/>
  <c r="K48" i="46" s="1"/>
  <c r="D25" i="46"/>
  <c r="D24" i="45" l="1"/>
  <c r="D25" i="45" s="1"/>
  <c r="J45" i="45"/>
  <c r="K46" i="45" s="1"/>
  <c r="F43" i="45"/>
  <c r="E43" i="45"/>
  <c r="J42" i="45"/>
  <c r="J48" i="45" s="1"/>
  <c r="F42" i="45"/>
  <c r="E42" i="45"/>
  <c r="F41" i="45"/>
  <c r="E41" i="45"/>
  <c r="F40" i="45"/>
  <c r="E40" i="45"/>
  <c r="F39" i="45"/>
  <c r="E39" i="45"/>
  <c r="F38" i="45"/>
  <c r="E38" i="45"/>
  <c r="E35" i="45"/>
  <c r="I34" i="45"/>
  <c r="H32" i="45"/>
  <c r="D31" i="45"/>
  <c r="C31" i="45"/>
  <c r="E31" i="45" s="1"/>
  <c r="E30" i="45"/>
  <c r="E29" i="45"/>
  <c r="E28" i="45"/>
  <c r="I26" i="45"/>
  <c r="E23" i="45"/>
  <c r="I22" i="45"/>
  <c r="J22" i="45" s="1"/>
  <c r="H22" i="45"/>
  <c r="E22" i="45"/>
  <c r="E21" i="45"/>
  <c r="J20" i="45"/>
  <c r="E20" i="45"/>
  <c r="J19" i="45"/>
  <c r="E19" i="45"/>
  <c r="J18" i="45"/>
  <c r="E18" i="45"/>
  <c r="J17" i="45"/>
  <c r="E17" i="45"/>
  <c r="J16" i="45"/>
  <c r="E16" i="45"/>
  <c r="J15" i="45"/>
  <c r="E15" i="45"/>
  <c r="J14" i="45"/>
  <c r="E14" i="45"/>
  <c r="E13" i="45"/>
  <c r="E12" i="45"/>
  <c r="I11" i="45"/>
  <c r="J11" i="45" s="1"/>
  <c r="H11" i="45"/>
  <c r="E11" i="45"/>
  <c r="J10" i="45"/>
  <c r="E10" i="45"/>
  <c r="J9" i="45"/>
  <c r="E9" i="45"/>
  <c r="J8" i="45"/>
  <c r="E8" i="45"/>
  <c r="J7" i="45"/>
  <c r="E7" i="45"/>
  <c r="J6" i="45"/>
  <c r="E6" i="45"/>
  <c r="J5" i="45"/>
  <c r="E5" i="45"/>
  <c r="J4" i="45"/>
  <c r="E3" i="45"/>
  <c r="D22" i="45"/>
  <c r="D4" i="45"/>
  <c r="E24" i="45" l="1"/>
  <c r="E25" i="45" s="1"/>
  <c r="K43" i="45"/>
  <c r="K48" i="45" s="1"/>
  <c r="C43" i="44" l="1"/>
  <c r="D24" i="44" l="1"/>
  <c r="E20" i="44"/>
  <c r="E21" i="44"/>
  <c r="J45" i="44"/>
  <c r="K46" i="44" s="1"/>
  <c r="F43" i="44"/>
  <c r="E43" i="44"/>
  <c r="J42" i="44"/>
  <c r="J48" i="44" s="1"/>
  <c r="F42" i="44"/>
  <c r="E42" i="44"/>
  <c r="F41" i="44"/>
  <c r="E41" i="44"/>
  <c r="F40" i="44"/>
  <c r="E40" i="44"/>
  <c r="F39" i="44"/>
  <c r="E39" i="44"/>
  <c r="F38" i="44"/>
  <c r="E38" i="44"/>
  <c r="E35" i="44"/>
  <c r="I34" i="44"/>
  <c r="H32" i="44"/>
  <c r="D31" i="44"/>
  <c r="C31" i="44"/>
  <c r="E31" i="44" s="1"/>
  <c r="E30" i="44"/>
  <c r="E29" i="44"/>
  <c r="E28" i="44"/>
  <c r="I26" i="44"/>
  <c r="D25" i="44"/>
  <c r="E23" i="44"/>
  <c r="I22" i="44"/>
  <c r="J22" i="44" s="1"/>
  <c r="H22" i="44"/>
  <c r="E22" i="44"/>
  <c r="J20" i="44"/>
  <c r="J19" i="44"/>
  <c r="E19" i="44"/>
  <c r="J18" i="44"/>
  <c r="E18" i="44"/>
  <c r="J17" i="44"/>
  <c r="E17" i="44"/>
  <c r="J16" i="44"/>
  <c r="E16" i="44"/>
  <c r="J15" i="44"/>
  <c r="E15" i="44"/>
  <c r="J14" i="44"/>
  <c r="E14" i="44"/>
  <c r="E13" i="44"/>
  <c r="E12" i="44"/>
  <c r="I11" i="44"/>
  <c r="J11" i="44" s="1"/>
  <c r="H11" i="44"/>
  <c r="E11" i="44"/>
  <c r="J10" i="44"/>
  <c r="E10" i="44"/>
  <c r="J9" i="44"/>
  <c r="E9" i="44"/>
  <c r="J8" i="44"/>
  <c r="E8" i="44"/>
  <c r="J7" i="44"/>
  <c r="E7" i="44"/>
  <c r="J6" i="44"/>
  <c r="E6" i="44"/>
  <c r="J5" i="44"/>
  <c r="E5" i="44"/>
  <c r="J4" i="44"/>
  <c r="E3" i="44"/>
  <c r="D22" i="44"/>
  <c r="D4" i="44"/>
  <c r="K43" i="44" l="1"/>
  <c r="K48" i="44" s="1"/>
  <c r="E24" i="44"/>
  <c r="E25" i="44" s="1"/>
  <c r="D25" i="43" l="1"/>
  <c r="D24" i="43"/>
  <c r="E23" i="43"/>
  <c r="E24" i="43"/>
  <c r="E25" i="43" s="1"/>
  <c r="J45" i="43"/>
  <c r="K46" i="43" s="1"/>
  <c r="F43" i="43"/>
  <c r="E43" i="43"/>
  <c r="J42" i="43"/>
  <c r="J48" i="43" s="1"/>
  <c r="F42" i="43"/>
  <c r="E42" i="43"/>
  <c r="F41" i="43"/>
  <c r="E41" i="43"/>
  <c r="F40" i="43"/>
  <c r="E40" i="43"/>
  <c r="F39" i="43"/>
  <c r="E39" i="43"/>
  <c r="F38" i="43"/>
  <c r="E38" i="43"/>
  <c r="E35" i="43"/>
  <c r="I34" i="43"/>
  <c r="H32" i="43"/>
  <c r="D31" i="43"/>
  <c r="C31" i="43"/>
  <c r="E31" i="43" s="1"/>
  <c r="E30" i="43"/>
  <c r="E29" i="43"/>
  <c r="E28" i="43"/>
  <c r="E22" i="43"/>
  <c r="I26" i="43"/>
  <c r="I22" i="43"/>
  <c r="J22" i="43" s="1"/>
  <c r="H22" i="43"/>
  <c r="J20" i="43"/>
  <c r="J19" i="43"/>
  <c r="E19" i="43"/>
  <c r="J18" i="43"/>
  <c r="E18" i="43"/>
  <c r="J17" i="43"/>
  <c r="E17" i="43"/>
  <c r="J16" i="43"/>
  <c r="E16" i="43"/>
  <c r="J15" i="43"/>
  <c r="E15" i="43"/>
  <c r="J14" i="43"/>
  <c r="E14" i="43"/>
  <c r="E13" i="43"/>
  <c r="E12" i="43"/>
  <c r="I11" i="43"/>
  <c r="H11" i="43"/>
  <c r="E11" i="43"/>
  <c r="J10" i="43"/>
  <c r="E10" i="43"/>
  <c r="J9" i="43"/>
  <c r="E9" i="43"/>
  <c r="J8" i="43"/>
  <c r="E8" i="43"/>
  <c r="J7" i="43"/>
  <c r="E7" i="43"/>
  <c r="J6" i="43"/>
  <c r="E6" i="43"/>
  <c r="J5" i="43"/>
  <c r="E5" i="43"/>
  <c r="J4" i="43"/>
  <c r="E3" i="43"/>
  <c r="K43" i="43" l="1"/>
  <c r="K48" i="43" s="1"/>
  <c r="J11" i="43"/>
  <c r="D22" i="43"/>
  <c r="D4" i="43" s="1"/>
  <c r="H32" i="42" l="1"/>
  <c r="C31" i="42"/>
  <c r="E22" i="42" l="1"/>
  <c r="D22" i="42"/>
  <c r="E21" i="42"/>
  <c r="D23" i="42"/>
  <c r="E23" i="42"/>
  <c r="J45" i="42"/>
  <c r="K46" i="42" s="1"/>
  <c r="F43" i="42"/>
  <c r="E43" i="42"/>
  <c r="J42" i="42"/>
  <c r="J48" i="42" s="1"/>
  <c r="F42" i="42"/>
  <c r="E42" i="42"/>
  <c r="F41" i="42"/>
  <c r="E41" i="42"/>
  <c r="F40" i="42"/>
  <c r="E40" i="42"/>
  <c r="F39" i="42"/>
  <c r="E39" i="42"/>
  <c r="F38" i="42"/>
  <c r="E38" i="42"/>
  <c r="E35" i="42"/>
  <c r="I34" i="42"/>
  <c r="D31" i="42"/>
  <c r="E31" i="42"/>
  <c r="E30" i="42"/>
  <c r="E29" i="42"/>
  <c r="E28" i="42"/>
  <c r="I26" i="42"/>
  <c r="I22" i="42"/>
  <c r="J22" i="42" s="1"/>
  <c r="H22" i="42"/>
  <c r="J20" i="42" s="1"/>
  <c r="E20" i="42"/>
  <c r="J19" i="42"/>
  <c r="E19" i="42"/>
  <c r="J18" i="42"/>
  <c r="E18" i="42"/>
  <c r="J17" i="42"/>
  <c r="E17" i="42"/>
  <c r="J16" i="42"/>
  <c r="E16" i="42"/>
  <c r="J15" i="42"/>
  <c r="E15" i="42"/>
  <c r="J14" i="42"/>
  <c r="E14" i="42"/>
  <c r="E13" i="42"/>
  <c r="E12" i="42"/>
  <c r="I11" i="42"/>
  <c r="H11" i="42"/>
  <c r="E11" i="42"/>
  <c r="J10" i="42"/>
  <c r="E10" i="42"/>
  <c r="J9" i="42"/>
  <c r="E9" i="42"/>
  <c r="J8" i="42"/>
  <c r="E8" i="42"/>
  <c r="J7" i="42"/>
  <c r="E7" i="42"/>
  <c r="J6" i="42"/>
  <c r="E6" i="42"/>
  <c r="J5" i="42"/>
  <c r="E5" i="42"/>
  <c r="J4" i="42"/>
  <c r="E3" i="42"/>
  <c r="D20" i="42"/>
  <c r="D4" i="42" s="1"/>
  <c r="J11" i="42" l="1"/>
  <c r="K48" i="42"/>
  <c r="K43" i="42"/>
  <c r="I30" i="41" l="1"/>
  <c r="E28" i="41" l="1"/>
  <c r="E23" i="41" l="1"/>
  <c r="E25" i="41" s="1"/>
  <c r="E24" i="41"/>
  <c r="D24" i="41"/>
  <c r="K46" i="41"/>
  <c r="J45" i="41"/>
  <c r="F43" i="41"/>
  <c r="E43" i="41"/>
  <c r="J42" i="41"/>
  <c r="J48" i="41" s="1"/>
  <c r="F42" i="41"/>
  <c r="E42" i="41"/>
  <c r="F41" i="41"/>
  <c r="E41" i="41"/>
  <c r="F40" i="41"/>
  <c r="E40" i="41"/>
  <c r="F39" i="41"/>
  <c r="E39" i="41"/>
  <c r="F38" i="41"/>
  <c r="E38" i="41"/>
  <c r="E35" i="41"/>
  <c r="I34" i="41"/>
  <c r="D31" i="41"/>
  <c r="C31" i="41"/>
  <c r="E31" i="41" s="1"/>
  <c r="E30" i="41"/>
  <c r="E29" i="41"/>
  <c r="I26" i="41"/>
  <c r="D25" i="41"/>
  <c r="I22" i="41"/>
  <c r="J22" i="41" s="1"/>
  <c r="H22" i="41"/>
  <c r="E22" i="41"/>
  <c r="E21" i="41"/>
  <c r="J20" i="41"/>
  <c r="E20" i="41"/>
  <c r="J19" i="41"/>
  <c r="E19" i="41"/>
  <c r="J18" i="41"/>
  <c r="E18" i="41"/>
  <c r="J17" i="41"/>
  <c r="E17" i="41"/>
  <c r="J16" i="41"/>
  <c r="E16" i="41"/>
  <c r="J15" i="41"/>
  <c r="E15" i="41"/>
  <c r="J14" i="41"/>
  <c r="E14" i="41"/>
  <c r="E13" i="41"/>
  <c r="E12" i="41"/>
  <c r="I11" i="41"/>
  <c r="J11" i="41" s="1"/>
  <c r="H11" i="41"/>
  <c r="E11" i="41"/>
  <c r="J10" i="41"/>
  <c r="E10" i="41"/>
  <c r="J9" i="41"/>
  <c r="E9" i="41"/>
  <c r="J8" i="41"/>
  <c r="E8" i="41"/>
  <c r="J7" i="41"/>
  <c r="E7" i="41"/>
  <c r="J6" i="41"/>
  <c r="E6" i="41"/>
  <c r="J5" i="41"/>
  <c r="E5" i="41"/>
  <c r="J4" i="41"/>
  <c r="E3" i="41"/>
  <c r="D22" i="41"/>
  <c r="D4" i="41" s="1"/>
  <c r="B1" i="41"/>
  <c r="K43" i="41" l="1"/>
  <c r="K48" i="41" s="1"/>
  <c r="I27" i="40" l="1"/>
  <c r="F40" i="40"/>
  <c r="F41" i="40"/>
  <c r="F42" i="40"/>
  <c r="F43" i="40"/>
  <c r="F44" i="40"/>
  <c r="F39" i="40"/>
  <c r="C44" i="40"/>
  <c r="D26" i="40" l="1"/>
  <c r="E25" i="40"/>
  <c r="E26" i="40" s="1"/>
  <c r="D25" i="40"/>
  <c r="E24" i="40"/>
  <c r="J46" i="40"/>
  <c r="K47" i="40" s="1"/>
  <c r="E44" i="40"/>
  <c r="J43" i="40"/>
  <c r="J49" i="40" s="1"/>
  <c r="E43" i="40"/>
  <c r="E42" i="40"/>
  <c r="E41" i="40"/>
  <c r="E40" i="40"/>
  <c r="E39" i="40"/>
  <c r="E36" i="40"/>
  <c r="I35" i="40"/>
  <c r="D32" i="40"/>
  <c r="C32" i="40"/>
  <c r="E32" i="40" s="1"/>
  <c r="E31" i="40"/>
  <c r="E30" i="40"/>
  <c r="E29" i="40"/>
  <c r="E23" i="40"/>
  <c r="I22" i="40"/>
  <c r="J20" i="40" s="1"/>
  <c r="H22" i="40"/>
  <c r="E22" i="40"/>
  <c r="E21" i="40"/>
  <c r="E20" i="40"/>
  <c r="J19" i="40"/>
  <c r="E19" i="40"/>
  <c r="J18" i="40"/>
  <c r="E18" i="40"/>
  <c r="J17" i="40"/>
  <c r="E17" i="40"/>
  <c r="J16" i="40"/>
  <c r="E16" i="40"/>
  <c r="J15" i="40"/>
  <c r="E15" i="40"/>
  <c r="J14" i="40"/>
  <c r="E14" i="40"/>
  <c r="E13" i="40"/>
  <c r="E12" i="40"/>
  <c r="I11" i="40"/>
  <c r="H11" i="40"/>
  <c r="E11" i="40"/>
  <c r="J10" i="40"/>
  <c r="E10" i="40"/>
  <c r="J9" i="40"/>
  <c r="E9" i="40"/>
  <c r="J8" i="40"/>
  <c r="E8" i="40"/>
  <c r="J7" i="40"/>
  <c r="E7" i="40"/>
  <c r="J6" i="40"/>
  <c r="E6" i="40"/>
  <c r="J5" i="40"/>
  <c r="E5" i="40"/>
  <c r="J4" i="40"/>
  <c r="E3" i="40"/>
  <c r="D23" i="40"/>
  <c r="D4" i="40" s="1"/>
  <c r="J11" i="40" l="1"/>
  <c r="K44" i="40"/>
  <c r="K49" i="40" s="1"/>
  <c r="J22" i="40"/>
  <c r="C47" i="39" l="1"/>
  <c r="E27" i="39" l="1"/>
  <c r="E28" i="39"/>
  <c r="D28" i="39"/>
  <c r="I49" i="39"/>
  <c r="I52" i="39" s="1"/>
  <c r="E47" i="39"/>
  <c r="I46" i="39"/>
  <c r="J47" i="39" s="1"/>
  <c r="E46" i="39"/>
  <c r="E45" i="39"/>
  <c r="E44" i="39"/>
  <c r="E43" i="39"/>
  <c r="E42" i="39"/>
  <c r="E39" i="39"/>
  <c r="I38" i="39"/>
  <c r="D35" i="39"/>
  <c r="C35" i="39"/>
  <c r="E35" i="39" s="1"/>
  <c r="E34" i="39"/>
  <c r="E33" i="39"/>
  <c r="E32" i="39"/>
  <c r="D29" i="39"/>
  <c r="H11" i="39"/>
  <c r="J27" i="39"/>
  <c r="E25" i="39"/>
  <c r="E24" i="39"/>
  <c r="E23" i="39"/>
  <c r="I22" i="39"/>
  <c r="J20" i="39" s="1"/>
  <c r="H22" i="39"/>
  <c r="E22" i="39"/>
  <c r="E21" i="39"/>
  <c r="E20" i="39"/>
  <c r="J19" i="39"/>
  <c r="E19" i="39"/>
  <c r="J18" i="39"/>
  <c r="E18" i="39"/>
  <c r="J17" i="39"/>
  <c r="E17" i="39"/>
  <c r="J16" i="39"/>
  <c r="E16" i="39"/>
  <c r="J15" i="39"/>
  <c r="E15" i="39"/>
  <c r="J14" i="39"/>
  <c r="E14" i="39"/>
  <c r="E13" i="39"/>
  <c r="E12" i="39"/>
  <c r="I11" i="39"/>
  <c r="J11" i="39" s="1"/>
  <c r="E11" i="39"/>
  <c r="J10" i="39"/>
  <c r="E10" i="39"/>
  <c r="J9" i="39"/>
  <c r="E9" i="39"/>
  <c r="J8" i="39"/>
  <c r="E8" i="39"/>
  <c r="J7" i="39"/>
  <c r="E7" i="39"/>
  <c r="J6" i="39"/>
  <c r="E6" i="39"/>
  <c r="J5" i="39"/>
  <c r="E5" i="39"/>
  <c r="J4" i="39"/>
  <c r="E3" i="39"/>
  <c r="D26" i="39"/>
  <c r="D4" i="39" s="1"/>
  <c r="J50" i="39" l="1"/>
  <c r="J52" i="39" s="1"/>
  <c r="E29" i="39"/>
  <c r="J22" i="39"/>
  <c r="E3" i="38" l="1"/>
  <c r="D28" i="38"/>
  <c r="I49" i="38"/>
  <c r="J50" i="38" s="1"/>
  <c r="E47" i="38"/>
  <c r="I46" i="38"/>
  <c r="J47" i="38" s="1"/>
  <c r="E46" i="38"/>
  <c r="E45" i="38"/>
  <c r="E44" i="38"/>
  <c r="E43" i="38"/>
  <c r="E42" i="38"/>
  <c r="E39" i="38"/>
  <c r="I38" i="38"/>
  <c r="D35" i="38"/>
  <c r="C35" i="38"/>
  <c r="E35" i="38" s="1"/>
  <c r="E34" i="38"/>
  <c r="E33" i="38"/>
  <c r="E32" i="38"/>
  <c r="D29" i="38"/>
  <c r="E28" i="38"/>
  <c r="E29" i="38" s="1"/>
  <c r="J27" i="38"/>
  <c r="E27" i="38"/>
  <c r="E25" i="38"/>
  <c r="E24" i="38"/>
  <c r="E23" i="38"/>
  <c r="J22" i="38"/>
  <c r="I22" i="38"/>
  <c r="H22" i="38"/>
  <c r="E22" i="38"/>
  <c r="E21" i="38"/>
  <c r="J20" i="38"/>
  <c r="E20" i="38"/>
  <c r="J19" i="38"/>
  <c r="E19" i="38"/>
  <c r="J18" i="38"/>
  <c r="E18" i="38"/>
  <c r="J17" i="38"/>
  <c r="E17" i="38"/>
  <c r="J16" i="38"/>
  <c r="E16" i="38"/>
  <c r="J15" i="38"/>
  <c r="E15" i="38"/>
  <c r="J14" i="38"/>
  <c r="E14" i="38"/>
  <c r="E13" i="38"/>
  <c r="E12" i="38"/>
  <c r="I11" i="38"/>
  <c r="J11" i="38" s="1"/>
  <c r="H11" i="38"/>
  <c r="E11" i="38"/>
  <c r="J10" i="38"/>
  <c r="E10" i="38"/>
  <c r="J9" i="38"/>
  <c r="E9" i="38"/>
  <c r="J8" i="38"/>
  <c r="E8" i="38"/>
  <c r="J7" i="38"/>
  <c r="E7" i="38"/>
  <c r="J6" i="38"/>
  <c r="E6" i="38"/>
  <c r="J5" i="38"/>
  <c r="E5" i="38"/>
  <c r="J4" i="38"/>
  <c r="D26" i="38"/>
  <c r="D4" i="38" s="1"/>
  <c r="B1" i="38"/>
  <c r="J52" i="38" l="1"/>
  <c r="I52" i="38"/>
  <c r="C47" i="37" l="1"/>
  <c r="E47" i="37" s="1"/>
  <c r="D29" i="37"/>
  <c r="E28" i="37"/>
  <c r="E27" i="37"/>
  <c r="D28" i="37"/>
  <c r="I49" i="37"/>
  <c r="J50" i="37" s="1"/>
  <c r="J52" i="37" s="1"/>
  <c r="J47" i="37"/>
  <c r="I46" i="37"/>
  <c r="I52" i="37" s="1"/>
  <c r="E46" i="37"/>
  <c r="E45" i="37"/>
  <c r="E44" i="37"/>
  <c r="E43" i="37"/>
  <c r="E42" i="37"/>
  <c r="E39" i="37"/>
  <c r="I38" i="37"/>
  <c r="D35" i="37"/>
  <c r="C35" i="37"/>
  <c r="E34" i="37"/>
  <c r="E33" i="37"/>
  <c r="E32" i="37"/>
  <c r="E29" i="37"/>
  <c r="J27" i="37"/>
  <c r="E25" i="37"/>
  <c r="E24" i="37"/>
  <c r="E23" i="37"/>
  <c r="E22" i="37"/>
  <c r="I22" i="37"/>
  <c r="H22" i="37"/>
  <c r="E21" i="37"/>
  <c r="E20" i="37"/>
  <c r="E19" i="37"/>
  <c r="J19" i="37"/>
  <c r="E18" i="37"/>
  <c r="J18" i="37"/>
  <c r="E17" i="37"/>
  <c r="J17" i="37"/>
  <c r="E16" i="37"/>
  <c r="J16" i="37"/>
  <c r="E15" i="37"/>
  <c r="J15" i="37"/>
  <c r="E14" i="37"/>
  <c r="J14" i="37"/>
  <c r="E13" i="37"/>
  <c r="E12" i="37"/>
  <c r="I11" i="37"/>
  <c r="J11" i="37" s="1"/>
  <c r="H11" i="37"/>
  <c r="E11" i="37"/>
  <c r="J10" i="37"/>
  <c r="E10" i="37"/>
  <c r="J9" i="37"/>
  <c r="E9" i="37"/>
  <c r="J8" i="37"/>
  <c r="E8" i="37"/>
  <c r="J7" i="37"/>
  <c r="E7" i="37"/>
  <c r="J6" i="37"/>
  <c r="E6" i="37"/>
  <c r="J5" i="37"/>
  <c r="E5" i="37"/>
  <c r="J4" i="37"/>
  <c r="D26" i="37"/>
  <c r="D4" i="37"/>
  <c r="E35" i="37" l="1"/>
  <c r="J20" i="37"/>
  <c r="J22" i="37"/>
  <c r="D28" i="36" l="1"/>
  <c r="E28" i="36" s="1"/>
  <c r="E29" i="36" s="1"/>
  <c r="I49" i="36"/>
  <c r="J50" i="36" s="1"/>
  <c r="E47" i="36"/>
  <c r="I46" i="36"/>
  <c r="I52" i="36" s="1"/>
  <c r="E46" i="36"/>
  <c r="E45" i="36"/>
  <c r="E44" i="36"/>
  <c r="E43" i="36"/>
  <c r="E42" i="36"/>
  <c r="E39" i="36"/>
  <c r="I38" i="36"/>
  <c r="D35" i="36"/>
  <c r="C35" i="36"/>
  <c r="E35" i="36" s="1"/>
  <c r="E34" i="36"/>
  <c r="E33" i="36"/>
  <c r="E32" i="36"/>
  <c r="D29" i="36"/>
  <c r="E27" i="36"/>
  <c r="J26" i="36"/>
  <c r="E25" i="36"/>
  <c r="E24" i="36"/>
  <c r="E23" i="36"/>
  <c r="E22" i="36"/>
  <c r="E21" i="36"/>
  <c r="E20" i="36"/>
  <c r="I21" i="36"/>
  <c r="J19" i="36" s="1"/>
  <c r="H21" i="36"/>
  <c r="E19" i="36"/>
  <c r="J18" i="36"/>
  <c r="E18" i="36"/>
  <c r="J17" i="36"/>
  <c r="E17" i="36"/>
  <c r="J16" i="36"/>
  <c r="E16" i="36"/>
  <c r="J15" i="36"/>
  <c r="E15" i="36"/>
  <c r="J14" i="36"/>
  <c r="E14" i="36"/>
  <c r="J13" i="36"/>
  <c r="E13" i="36"/>
  <c r="E12" i="36"/>
  <c r="I11" i="36"/>
  <c r="H11" i="36"/>
  <c r="E11" i="36"/>
  <c r="J10" i="36"/>
  <c r="E10" i="36"/>
  <c r="J9" i="36"/>
  <c r="E9" i="36"/>
  <c r="J8" i="36"/>
  <c r="E8" i="36"/>
  <c r="J7" i="36"/>
  <c r="E7" i="36"/>
  <c r="J6" i="36"/>
  <c r="E6" i="36"/>
  <c r="J5" i="36"/>
  <c r="E5" i="36"/>
  <c r="J4" i="36"/>
  <c r="D17" i="36"/>
  <c r="D26" i="36" s="1"/>
  <c r="D4" i="36" s="1"/>
  <c r="C17" i="36"/>
  <c r="J21" i="36" l="1"/>
  <c r="J11" i="36"/>
  <c r="J47" i="36"/>
  <c r="J52" i="36" s="1"/>
  <c r="J20" i="33" l="1"/>
  <c r="C47" i="33"/>
  <c r="I19" i="33" l="1"/>
  <c r="H19" i="33"/>
  <c r="J18" i="33"/>
  <c r="D28" i="33" l="1"/>
  <c r="J50" i="33"/>
  <c r="I49" i="33"/>
  <c r="E47" i="33"/>
  <c r="I46" i="33"/>
  <c r="J47" i="33" s="1"/>
  <c r="E46" i="33"/>
  <c r="E45" i="33"/>
  <c r="E44" i="33"/>
  <c r="E43" i="33"/>
  <c r="E42" i="33"/>
  <c r="E39" i="33"/>
  <c r="I38" i="33"/>
  <c r="D35" i="33"/>
  <c r="C35" i="33"/>
  <c r="E35" i="33" s="1"/>
  <c r="E34" i="33"/>
  <c r="E33" i="33"/>
  <c r="E32" i="33"/>
  <c r="D29" i="33"/>
  <c r="E28" i="33"/>
  <c r="E29" i="33" s="1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J52" i="33" l="1"/>
  <c r="I52" i="33"/>
  <c r="E27" i="33" l="1"/>
  <c r="J26" i="33"/>
  <c r="J17" i="33"/>
  <c r="J16" i="33"/>
  <c r="J15" i="33"/>
  <c r="J14" i="33"/>
  <c r="J13" i="33"/>
  <c r="I11" i="33"/>
  <c r="J11" i="33" s="1"/>
  <c r="H11" i="33"/>
  <c r="J10" i="33"/>
  <c r="J9" i="33"/>
  <c r="J8" i="33"/>
  <c r="J7" i="33"/>
  <c r="J6" i="33"/>
  <c r="J5" i="33"/>
  <c r="J4" i="33"/>
  <c r="D20" i="33"/>
  <c r="C20" i="33"/>
  <c r="D7" i="33"/>
  <c r="C7" i="33"/>
  <c r="D6" i="33"/>
  <c r="C6" i="33"/>
  <c r="J19" i="33" l="1"/>
  <c r="D26" i="33"/>
  <c r="D4" i="33" s="1"/>
  <c r="E5" i="33" l="1"/>
  <c r="E7" i="33"/>
  <c r="E6" i="33"/>
  <c r="J26" i="32" l="1"/>
  <c r="H11" i="32" l="1"/>
  <c r="E27" i="32"/>
  <c r="E28" i="32"/>
  <c r="D28" i="32"/>
  <c r="I49" i="32"/>
  <c r="J50" i="32" s="1"/>
  <c r="E47" i="32"/>
  <c r="C47" i="32"/>
  <c r="I46" i="32"/>
  <c r="I52" i="32" s="1"/>
  <c r="E46" i="32"/>
  <c r="E45" i="32"/>
  <c r="E44" i="32"/>
  <c r="E43" i="32"/>
  <c r="E42" i="32"/>
  <c r="E39" i="32"/>
  <c r="I38" i="32"/>
  <c r="E35" i="32"/>
  <c r="D35" i="32"/>
  <c r="C35" i="32"/>
  <c r="I34" i="32"/>
  <c r="E34" i="32"/>
  <c r="E33" i="32"/>
  <c r="E32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I19" i="32"/>
  <c r="K19" i="32" s="1"/>
  <c r="H19" i="32"/>
  <c r="J17" i="32"/>
  <c r="J16" i="32"/>
  <c r="J15" i="32"/>
  <c r="J14" i="32"/>
  <c r="J13" i="32"/>
  <c r="I11" i="32"/>
  <c r="J11" i="32" s="1"/>
  <c r="J10" i="32"/>
  <c r="J9" i="32"/>
  <c r="J8" i="32"/>
  <c r="J7" i="32"/>
  <c r="J6" i="32"/>
  <c r="E6" i="32"/>
  <c r="J5" i="32"/>
  <c r="E5" i="32"/>
  <c r="J4" i="32"/>
  <c r="D26" i="32"/>
  <c r="D4" i="32" s="1"/>
  <c r="E29" i="32" l="1"/>
  <c r="D29" i="32"/>
  <c r="J47" i="32"/>
  <c r="J52" i="32" s="1"/>
  <c r="J19" i="32"/>
  <c r="I11" i="31" l="1"/>
  <c r="H11" i="31"/>
  <c r="C39" i="31"/>
  <c r="I26" i="31"/>
  <c r="E21" i="31" l="1"/>
  <c r="D21" i="31"/>
  <c r="E20" i="31"/>
  <c r="D20" i="31"/>
  <c r="I41" i="31"/>
  <c r="J42" i="31" s="1"/>
  <c r="E39" i="31"/>
  <c r="I38" i="31"/>
  <c r="I44" i="31" s="1"/>
  <c r="E38" i="31"/>
  <c r="E37" i="31"/>
  <c r="E36" i="31"/>
  <c r="E35" i="31"/>
  <c r="E34" i="31"/>
  <c r="E31" i="31"/>
  <c r="I30" i="31"/>
  <c r="E27" i="31"/>
  <c r="D27" i="31"/>
  <c r="C27" i="31"/>
  <c r="E26" i="31"/>
  <c r="E25" i="31"/>
  <c r="E24" i="31"/>
  <c r="E19" i="31"/>
  <c r="I19" i="31"/>
  <c r="K19" i="31" s="1"/>
  <c r="H19" i="31"/>
  <c r="J17" i="31"/>
  <c r="J16" i="31"/>
  <c r="E17" i="31"/>
  <c r="J15" i="31"/>
  <c r="E16" i="31"/>
  <c r="J14" i="31"/>
  <c r="E15" i="31"/>
  <c r="J13" i="31"/>
  <c r="E14" i="31"/>
  <c r="E13" i="31"/>
  <c r="E12" i="31"/>
  <c r="J11" i="31"/>
  <c r="E11" i="31"/>
  <c r="J10" i="31"/>
  <c r="E10" i="31"/>
  <c r="J9" i="31"/>
  <c r="E9" i="31"/>
  <c r="J8" i="31"/>
  <c r="E8" i="31"/>
  <c r="J7" i="31"/>
  <c r="E7" i="31"/>
  <c r="J6" i="31"/>
  <c r="E6" i="31"/>
  <c r="J5" i="31"/>
  <c r="E5" i="31"/>
  <c r="J4" i="31"/>
  <c r="D18" i="31"/>
  <c r="D4" i="31" s="1"/>
  <c r="J39" i="31" l="1"/>
  <c r="J44" i="31" s="1"/>
  <c r="J19" i="31"/>
  <c r="C46" i="30" l="1"/>
  <c r="D27" i="30" l="1"/>
  <c r="D28" i="30" s="1"/>
  <c r="H11" i="30"/>
  <c r="I48" i="30"/>
  <c r="J49" i="30" s="1"/>
  <c r="E46" i="30"/>
  <c r="I45" i="30"/>
  <c r="I51" i="30" s="1"/>
  <c r="E45" i="30"/>
  <c r="E44" i="30"/>
  <c r="E43" i="30"/>
  <c r="E42" i="30"/>
  <c r="E41" i="30"/>
  <c r="E38" i="30"/>
  <c r="I37" i="30"/>
  <c r="D34" i="30"/>
  <c r="C34" i="30"/>
  <c r="E34" i="30" s="1"/>
  <c r="E33" i="30"/>
  <c r="E32" i="30"/>
  <c r="E31" i="30"/>
  <c r="E26" i="30"/>
  <c r="I20" i="30"/>
  <c r="H20" i="30"/>
  <c r="J18" i="30"/>
  <c r="J17" i="30"/>
  <c r="J16" i="30"/>
  <c r="J15" i="30"/>
  <c r="J14" i="30"/>
  <c r="I11" i="30"/>
  <c r="J11" i="30" s="1"/>
  <c r="J10" i="30"/>
  <c r="J9" i="30"/>
  <c r="J8" i="30"/>
  <c r="J7" i="30"/>
  <c r="J6" i="30"/>
  <c r="J5" i="30"/>
  <c r="J4" i="30"/>
  <c r="D25" i="30"/>
  <c r="D4" i="30" s="1"/>
  <c r="E19" i="30" s="1"/>
  <c r="E27" i="30" l="1"/>
  <c r="E28" i="30" s="1"/>
  <c r="J51" i="30"/>
  <c r="J46" i="30"/>
  <c r="E20" i="30"/>
  <c r="E8" i="30"/>
  <c r="E16" i="30"/>
  <c r="E12" i="30"/>
  <c r="E5" i="30"/>
  <c r="E21" i="30"/>
  <c r="E13" i="30"/>
  <c r="E22" i="30"/>
  <c r="E6" i="30"/>
  <c r="E10" i="30"/>
  <c r="E14" i="30"/>
  <c r="E18" i="30"/>
  <c r="E23" i="30"/>
  <c r="E9" i="30"/>
  <c r="E24" i="30"/>
  <c r="I21" i="30"/>
  <c r="E17" i="30"/>
  <c r="E7" i="30"/>
  <c r="E11" i="30"/>
  <c r="E15" i="30"/>
  <c r="J20" i="30"/>
  <c r="C46" i="29"/>
  <c r="D27" i="29" l="1"/>
  <c r="D28" i="29" s="1"/>
  <c r="I48" i="29"/>
  <c r="J49" i="29" s="1"/>
  <c r="J51" i="29" s="1"/>
  <c r="J46" i="29"/>
  <c r="E46" i="29"/>
  <c r="I45" i="29"/>
  <c r="E45" i="29"/>
  <c r="E44" i="29"/>
  <c r="E43" i="29"/>
  <c r="E42" i="29"/>
  <c r="E41" i="29"/>
  <c r="E38" i="29"/>
  <c r="I37" i="29"/>
  <c r="D34" i="29"/>
  <c r="C34" i="29"/>
  <c r="E34" i="29" s="1"/>
  <c r="E33" i="29"/>
  <c r="E32" i="29"/>
  <c r="E31" i="29"/>
  <c r="E27" i="29"/>
  <c r="E28" i="29" s="1"/>
  <c r="E26" i="29"/>
  <c r="I20" i="29"/>
  <c r="H20" i="29"/>
  <c r="J18" i="29"/>
  <c r="J17" i="29"/>
  <c r="J16" i="29"/>
  <c r="J15" i="29"/>
  <c r="J14" i="29"/>
  <c r="I11" i="29"/>
  <c r="H11" i="29"/>
  <c r="J10" i="29"/>
  <c r="J9" i="29"/>
  <c r="J8" i="29"/>
  <c r="J7" i="29"/>
  <c r="J6" i="29"/>
  <c r="J5" i="29"/>
  <c r="J4" i="29"/>
  <c r="D25" i="29"/>
  <c r="D4" i="29"/>
  <c r="E19" i="29" s="1"/>
  <c r="J11" i="29" l="1"/>
  <c r="I51" i="29"/>
  <c r="E20" i="29"/>
  <c r="E8" i="29"/>
  <c r="E16" i="29"/>
  <c r="I21" i="29"/>
  <c r="E5" i="29"/>
  <c r="E9" i="29"/>
  <c r="E12" i="29"/>
  <c r="E17" i="29"/>
  <c r="E21" i="29"/>
  <c r="E13" i="29"/>
  <c r="E22" i="29"/>
  <c r="E6" i="29"/>
  <c r="E10" i="29"/>
  <c r="E14" i="29"/>
  <c r="E18" i="29"/>
  <c r="E23" i="29"/>
  <c r="E24" i="29"/>
  <c r="E7" i="29"/>
  <c r="E11" i="29"/>
  <c r="E15" i="29"/>
  <c r="J20" i="29"/>
  <c r="C46" i="28" l="1"/>
  <c r="J51" i="28"/>
  <c r="I51" i="28"/>
  <c r="I53" i="28"/>
  <c r="J49" i="28"/>
  <c r="J46" i="28"/>
  <c r="I48" i="28"/>
  <c r="D25" i="28" l="1"/>
  <c r="D4" i="28" s="1"/>
  <c r="D27" i="28" l="1"/>
  <c r="D28" i="28" s="1"/>
  <c r="E46" i="28"/>
  <c r="I45" i="28"/>
  <c r="E45" i="28"/>
  <c r="E44" i="28"/>
  <c r="E43" i="28"/>
  <c r="E42" i="28"/>
  <c r="E41" i="28"/>
  <c r="E38" i="28"/>
  <c r="I37" i="28"/>
  <c r="D34" i="28"/>
  <c r="C34" i="28"/>
  <c r="E34" i="28" s="1"/>
  <c r="E33" i="28"/>
  <c r="E32" i="28"/>
  <c r="E31" i="28"/>
  <c r="E26" i="28"/>
  <c r="I20" i="28"/>
  <c r="H20" i="28"/>
  <c r="J20" i="28" s="1"/>
  <c r="E20" i="28"/>
  <c r="J18" i="28"/>
  <c r="J17" i="28"/>
  <c r="J16" i="28"/>
  <c r="E16" i="28"/>
  <c r="J15" i="28"/>
  <c r="J14" i="28"/>
  <c r="I11" i="28"/>
  <c r="H11" i="28"/>
  <c r="E11" i="28"/>
  <c r="J10" i="28"/>
  <c r="J9" i="28"/>
  <c r="J8" i="28"/>
  <c r="J7" i="28"/>
  <c r="E7" i="28"/>
  <c r="J6" i="28"/>
  <c r="J5" i="28"/>
  <c r="J4" i="28"/>
  <c r="E19" i="28"/>
  <c r="J11" i="28" l="1"/>
  <c r="E27" i="28"/>
  <c r="E28" i="28" s="1"/>
  <c r="E8" i="28"/>
  <c r="E21" i="28"/>
  <c r="E13" i="28"/>
  <c r="E24" i="28"/>
  <c r="I21" i="28"/>
  <c r="E12" i="28"/>
  <c r="E17" i="28"/>
  <c r="E5" i="28"/>
  <c r="E9" i="28"/>
  <c r="E22" i="28"/>
  <c r="E14" i="28"/>
  <c r="E18" i="28"/>
  <c r="E23" i="28"/>
  <c r="E6" i="28"/>
  <c r="E10" i="28"/>
  <c r="E15" i="28"/>
  <c r="C46" i="27" l="1"/>
  <c r="K49" i="27"/>
  <c r="K46" i="27"/>
  <c r="I49" i="27"/>
  <c r="I45" i="27"/>
  <c r="I37" i="27"/>
  <c r="D27" i="27" l="1"/>
  <c r="E46" i="27"/>
  <c r="E45" i="27"/>
  <c r="E44" i="27"/>
  <c r="E43" i="27"/>
  <c r="E42" i="27"/>
  <c r="E41" i="27"/>
  <c r="E38" i="27"/>
  <c r="D34" i="27"/>
  <c r="C34" i="27"/>
  <c r="E33" i="27"/>
  <c r="E32" i="27"/>
  <c r="E31" i="27"/>
  <c r="E27" i="27"/>
  <c r="E28" i="27" s="1"/>
  <c r="D28" i="27"/>
  <c r="E26" i="27"/>
  <c r="E24" i="27"/>
  <c r="E23" i="27"/>
  <c r="E22" i="27"/>
  <c r="E21" i="27"/>
  <c r="E20" i="27"/>
  <c r="I20" i="27"/>
  <c r="J19" i="27" s="1"/>
  <c r="H20" i="27"/>
  <c r="E19" i="27"/>
  <c r="J18" i="27"/>
  <c r="E18" i="27"/>
  <c r="J17" i="27"/>
  <c r="E17" i="27"/>
  <c r="J16" i="27"/>
  <c r="E16" i="27"/>
  <c r="J15" i="27"/>
  <c r="E15" i="27"/>
  <c r="J14" i="27"/>
  <c r="E14" i="27"/>
  <c r="E13" i="27"/>
  <c r="E12" i="27"/>
  <c r="I11" i="27"/>
  <c r="J11" i="27" s="1"/>
  <c r="H11" i="27"/>
  <c r="E11" i="27"/>
  <c r="J10" i="27"/>
  <c r="E10" i="27"/>
  <c r="J9" i="27"/>
  <c r="E9" i="27"/>
  <c r="J8" i="27"/>
  <c r="E8" i="27"/>
  <c r="J7" i="27"/>
  <c r="E7" i="27"/>
  <c r="J6" i="27"/>
  <c r="E6" i="27"/>
  <c r="J5" i="27"/>
  <c r="E5" i="27"/>
  <c r="J4" i="27"/>
  <c r="D25" i="27"/>
  <c r="D4" i="27" s="1"/>
  <c r="E34" i="27" l="1"/>
  <c r="I21" i="27"/>
  <c r="D27" i="26" l="1"/>
  <c r="E46" i="26"/>
  <c r="E45" i="26"/>
  <c r="E44" i="26"/>
  <c r="E43" i="26"/>
  <c r="E42" i="26"/>
  <c r="E41" i="26"/>
  <c r="E38" i="26"/>
  <c r="D34" i="26"/>
  <c r="C34" i="26"/>
  <c r="E34" i="26" s="1"/>
  <c r="E33" i="26"/>
  <c r="E32" i="26"/>
  <c r="E31" i="26"/>
  <c r="D28" i="26"/>
  <c r="E26" i="26"/>
  <c r="I19" i="26"/>
  <c r="H19" i="26"/>
  <c r="J18" i="26"/>
  <c r="J17" i="26"/>
  <c r="J16" i="26"/>
  <c r="J15" i="26"/>
  <c r="J14" i="26"/>
  <c r="I11" i="26"/>
  <c r="H11" i="26"/>
  <c r="E11" i="26"/>
  <c r="J10" i="26"/>
  <c r="J9" i="26"/>
  <c r="J8" i="26"/>
  <c r="J7" i="26"/>
  <c r="E7" i="26"/>
  <c r="J6" i="26"/>
  <c r="J5" i="26"/>
  <c r="J4" i="26"/>
  <c r="D25" i="26"/>
  <c r="D4" i="26"/>
  <c r="E19" i="26" s="1"/>
  <c r="E27" i="26" l="1"/>
  <c r="E28" i="26" s="1"/>
  <c r="E16" i="26"/>
  <c r="I20" i="26"/>
  <c r="E8" i="26"/>
  <c r="E5" i="26"/>
  <c r="J11" i="26"/>
  <c r="E20" i="26"/>
  <c r="E12" i="26"/>
  <c r="E17" i="26"/>
  <c r="E21" i="26"/>
  <c r="E9" i="26"/>
  <c r="E13" i="26"/>
  <c r="E22" i="26"/>
  <c r="E14" i="26"/>
  <c r="E18" i="26"/>
  <c r="E23" i="26"/>
  <c r="E6" i="26"/>
  <c r="E10" i="26"/>
  <c r="E24" i="26"/>
  <c r="E15" i="26"/>
  <c r="J19" i="26"/>
  <c r="D27" i="25" l="1"/>
  <c r="D28" i="25" s="1"/>
  <c r="E46" i="25"/>
  <c r="E45" i="25"/>
  <c r="E44" i="25"/>
  <c r="E43" i="25"/>
  <c r="E42" i="25"/>
  <c r="E41" i="25"/>
  <c r="E38" i="25"/>
  <c r="D34" i="25"/>
  <c r="C34" i="25"/>
  <c r="E34" i="25" s="1"/>
  <c r="E33" i="25"/>
  <c r="E32" i="25"/>
  <c r="E31" i="25"/>
  <c r="E26" i="25"/>
  <c r="E21" i="25"/>
  <c r="I20" i="25"/>
  <c r="E20" i="25"/>
  <c r="J19" i="25"/>
  <c r="I19" i="25"/>
  <c r="H19" i="25"/>
  <c r="J18" i="25"/>
  <c r="E18" i="25"/>
  <c r="J17" i="25"/>
  <c r="E17" i="25"/>
  <c r="J16" i="25"/>
  <c r="J15" i="25"/>
  <c r="J14" i="25"/>
  <c r="E14" i="25"/>
  <c r="E13" i="25"/>
  <c r="E12" i="25"/>
  <c r="I11" i="25"/>
  <c r="J11" i="25" s="1"/>
  <c r="H11" i="25"/>
  <c r="J10" i="25"/>
  <c r="E10" i="25"/>
  <c r="J9" i="25"/>
  <c r="E9" i="25"/>
  <c r="J8" i="25"/>
  <c r="J7" i="25"/>
  <c r="J6" i="25"/>
  <c r="E6" i="25"/>
  <c r="J5" i="25"/>
  <c r="E5" i="25"/>
  <c r="J4" i="25"/>
  <c r="D25" i="25"/>
  <c r="D4" i="25" s="1"/>
  <c r="E16" i="25" s="1"/>
  <c r="E27" i="25" l="1"/>
  <c r="E28" i="25" s="1"/>
  <c r="E22" i="25"/>
  <c r="E7" i="25"/>
  <c r="E11" i="25"/>
  <c r="E15" i="25"/>
  <c r="E19" i="25"/>
  <c r="E23" i="25"/>
  <c r="E24" i="25"/>
  <c r="E8" i="25"/>
  <c r="C46" i="24" l="1"/>
  <c r="D27" i="24" l="1"/>
  <c r="E46" i="24"/>
  <c r="E45" i="24"/>
  <c r="E44" i="24"/>
  <c r="E43" i="24"/>
  <c r="E42" i="24"/>
  <c r="E41" i="24"/>
  <c r="E38" i="24"/>
  <c r="D34" i="24"/>
  <c r="C34" i="24"/>
  <c r="E34" i="24" s="1"/>
  <c r="E33" i="24"/>
  <c r="E32" i="24"/>
  <c r="E31" i="24"/>
  <c r="D28" i="24"/>
  <c r="E27" i="24"/>
  <c r="E28" i="24" s="1"/>
  <c r="E26" i="24"/>
  <c r="E24" i="24"/>
  <c r="E23" i="24"/>
  <c r="E22" i="24"/>
  <c r="E21" i="24"/>
  <c r="I20" i="24"/>
  <c r="E20" i="24"/>
  <c r="J19" i="24"/>
  <c r="I19" i="24"/>
  <c r="H19" i="24"/>
  <c r="E19" i="24"/>
  <c r="J18" i="24"/>
  <c r="E18" i="24"/>
  <c r="J17" i="24"/>
  <c r="E17" i="24"/>
  <c r="J16" i="24"/>
  <c r="E16" i="24"/>
  <c r="J15" i="24"/>
  <c r="E15" i="24"/>
  <c r="J14" i="24"/>
  <c r="E14" i="24"/>
  <c r="E13" i="24"/>
  <c r="E12" i="24"/>
  <c r="I11" i="24"/>
  <c r="J11" i="24" s="1"/>
  <c r="H11" i="24"/>
  <c r="E11" i="24"/>
  <c r="J10" i="24"/>
  <c r="E10" i="24"/>
  <c r="J9" i="24"/>
  <c r="E9" i="24"/>
  <c r="J8" i="24"/>
  <c r="E8" i="24"/>
  <c r="J7" i="24"/>
  <c r="E7" i="24"/>
  <c r="J6" i="24"/>
  <c r="E6" i="24"/>
  <c r="J5" i="24"/>
  <c r="E5" i="24"/>
  <c r="J4" i="24"/>
  <c r="D9" i="24"/>
  <c r="D25" i="24" s="1"/>
  <c r="D4" i="24" s="1"/>
  <c r="C9" i="24"/>
  <c r="C46" i="23" l="1"/>
  <c r="K11" i="23" l="1"/>
  <c r="D27" i="23"/>
  <c r="E27" i="23" s="1"/>
  <c r="E26" i="23"/>
  <c r="E46" i="23"/>
  <c r="E45" i="23"/>
  <c r="E44" i="23"/>
  <c r="E43" i="23"/>
  <c r="E42" i="23"/>
  <c r="E41" i="23"/>
  <c r="E38" i="23"/>
  <c r="D34" i="23"/>
  <c r="C34" i="23"/>
  <c r="E34" i="23" s="1"/>
  <c r="E33" i="23"/>
  <c r="E32" i="23"/>
  <c r="E31" i="23"/>
  <c r="H11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I19" i="23"/>
  <c r="I20" i="23" s="1"/>
  <c r="H19" i="23"/>
  <c r="J18" i="23"/>
  <c r="J17" i="23"/>
  <c r="J16" i="23"/>
  <c r="J15" i="23"/>
  <c r="J14" i="23"/>
  <c r="I11" i="23"/>
  <c r="J11" i="23" s="1"/>
  <c r="J10" i="23"/>
  <c r="J9" i="23"/>
  <c r="J8" i="23"/>
  <c r="J7" i="23"/>
  <c r="J6" i="23"/>
  <c r="E6" i="23"/>
  <c r="J5" i="23"/>
  <c r="E5" i="23"/>
  <c r="J4" i="23"/>
  <c r="D25" i="23"/>
  <c r="D4" i="23" s="1"/>
  <c r="D28" i="23" l="1"/>
  <c r="E28" i="23"/>
  <c r="J19" i="23"/>
  <c r="D25" i="22" l="1"/>
  <c r="E25" i="22"/>
  <c r="E24" i="22"/>
  <c r="D24" i="22"/>
  <c r="E23" i="22"/>
  <c r="C43" i="22"/>
  <c r="E43" i="22" s="1"/>
  <c r="E42" i="22"/>
  <c r="E41" i="22"/>
  <c r="E40" i="22"/>
  <c r="E39" i="22"/>
  <c r="E38" i="22"/>
  <c r="E35" i="22"/>
  <c r="D31" i="22"/>
  <c r="C31" i="22"/>
  <c r="E31" i="22" s="1"/>
  <c r="E30" i="22"/>
  <c r="E29" i="22"/>
  <c r="E28" i="22"/>
  <c r="I19" i="22"/>
  <c r="H19" i="22"/>
  <c r="E19" i="22"/>
  <c r="J18" i="22"/>
  <c r="E18" i="22"/>
  <c r="J17" i="22"/>
  <c r="J16" i="22"/>
  <c r="J15" i="22"/>
  <c r="E15" i="22"/>
  <c r="J14" i="22"/>
  <c r="E14" i="22"/>
  <c r="I11" i="22"/>
  <c r="H11" i="22"/>
  <c r="E11" i="22"/>
  <c r="J10" i="22"/>
  <c r="E10" i="22"/>
  <c r="J9" i="22"/>
  <c r="J8" i="22"/>
  <c r="J7" i="22"/>
  <c r="E7" i="22"/>
  <c r="J6" i="22"/>
  <c r="E6" i="22"/>
  <c r="J5" i="22"/>
  <c r="J4" i="22"/>
  <c r="D22" i="22"/>
  <c r="D4" i="22"/>
  <c r="E13" i="22" s="1"/>
  <c r="J11" i="22" l="1"/>
  <c r="E20" i="22"/>
  <c r="E16" i="22"/>
  <c r="I20" i="22"/>
  <c r="E8" i="22"/>
  <c r="E12" i="22"/>
  <c r="E17" i="22"/>
  <c r="E5" i="22"/>
  <c r="E9" i="22"/>
  <c r="J19" i="22"/>
  <c r="C42" i="21" l="1"/>
  <c r="H11" i="21" l="1"/>
  <c r="E23" i="21"/>
  <c r="D23" i="21"/>
  <c r="D24" i="21" s="1"/>
  <c r="E22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42" i="21"/>
  <c r="E41" i="21"/>
  <c r="E40" i="21"/>
  <c r="E39" i="21"/>
  <c r="E38" i="21"/>
  <c r="E37" i="21"/>
  <c r="E34" i="21"/>
  <c r="D30" i="21"/>
  <c r="C30" i="21"/>
  <c r="E30" i="21" s="1"/>
  <c r="E29" i="21"/>
  <c r="E28" i="21"/>
  <c r="E27" i="21"/>
  <c r="I19" i="21"/>
  <c r="H19" i="21"/>
  <c r="J18" i="21"/>
  <c r="J17" i="21"/>
  <c r="J16" i="21"/>
  <c r="J15" i="21"/>
  <c r="J14" i="21"/>
  <c r="I11" i="21"/>
  <c r="J11" i="21" s="1"/>
  <c r="J10" i="21"/>
  <c r="J9" i="21"/>
  <c r="J8" i="21"/>
  <c r="J7" i="21"/>
  <c r="J6" i="21"/>
  <c r="J5" i="21"/>
  <c r="E5" i="21"/>
  <c r="J4" i="21"/>
  <c r="D21" i="21"/>
  <c r="D4" i="21" s="1"/>
  <c r="E24" i="21" l="1"/>
  <c r="I20" i="21"/>
  <c r="J19" i="21"/>
  <c r="C46" i="20" l="1"/>
  <c r="H11" i="20" l="1"/>
  <c r="I26" i="20"/>
  <c r="D27" i="20"/>
  <c r="D28" i="20" s="1"/>
  <c r="E46" i="20"/>
  <c r="E45" i="20"/>
  <c r="E44" i="20"/>
  <c r="E43" i="20"/>
  <c r="E42" i="20"/>
  <c r="E41" i="20"/>
  <c r="E38" i="20"/>
  <c r="D34" i="20"/>
  <c r="C34" i="20"/>
  <c r="E34" i="20" s="1"/>
  <c r="E33" i="20"/>
  <c r="E32" i="20"/>
  <c r="E31" i="20"/>
  <c r="E27" i="20"/>
  <c r="E28" i="20" s="1"/>
  <c r="E26" i="20"/>
  <c r="I25" i="20"/>
  <c r="J25" i="20" s="1"/>
  <c r="H25" i="20"/>
  <c r="J24" i="20"/>
  <c r="E24" i="20"/>
  <c r="J23" i="20"/>
  <c r="E23" i="20"/>
  <c r="J22" i="20"/>
  <c r="E22" i="20"/>
  <c r="J21" i="20"/>
  <c r="E21" i="20"/>
  <c r="J20" i="20"/>
  <c r="E20" i="20"/>
  <c r="E19" i="20"/>
  <c r="E18" i="20"/>
  <c r="E17" i="20"/>
  <c r="E16" i="20"/>
  <c r="E15" i="20"/>
  <c r="E14" i="20"/>
  <c r="E13" i="20"/>
  <c r="E12" i="20"/>
  <c r="I11" i="20"/>
  <c r="J11" i="20" s="1"/>
  <c r="E11" i="20"/>
  <c r="J10" i="20"/>
  <c r="E10" i="20"/>
  <c r="J9" i="20"/>
  <c r="E9" i="20"/>
  <c r="J8" i="20"/>
  <c r="E8" i="20"/>
  <c r="J7" i="20"/>
  <c r="E7" i="20"/>
  <c r="J6" i="20"/>
  <c r="E6" i="20"/>
  <c r="J5" i="20"/>
  <c r="E5" i="20"/>
  <c r="J4" i="20"/>
  <c r="D25" i="20"/>
  <c r="D4" i="20"/>
  <c r="I26" i="19" l="1"/>
  <c r="C46" i="19" l="1"/>
  <c r="D27" i="19" l="1"/>
  <c r="D28" i="19" s="1"/>
  <c r="E46" i="19"/>
  <c r="E45" i="19"/>
  <c r="E44" i="19"/>
  <c r="E43" i="19"/>
  <c r="E42" i="19"/>
  <c r="E41" i="19"/>
  <c r="E38" i="19"/>
  <c r="D34" i="19"/>
  <c r="C34" i="19"/>
  <c r="E34" i="19" s="1"/>
  <c r="E33" i="19"/>
  <c r="E32" i="19"/>
  <c r="E31" i="19"/>
  <c r="E27" i="19"/>
  <c r="E28" i="19" s="1"/>
  <c r="E26" i="19"/>
  <c r="I25" i="19"/>
  <c r="J25" i="19" s="1"/>
  <c r="H25" i="19"/>
  <c r="J24" i="19"/>
  <c r="E24" i="19"/>
  <c r="J23" i="19"/>
  <c r="E23" i="19"/>
  <c r="J22" i="19"/>
  <c r="E22" i="19"/>
  <c r="J21" i="19"/>
  <c r="E21" i="19"/>
  <c r="J20" i="19"/>
  <c r="E20" i="19"/>
  <c r="E19" i="19"/>
  <c r="E18" i="19"/>
  <c r="E17" i="19"/>
  <c r="E16" i="19"/>
  <c r="E15" i="19"/>
  <c r="E14" i="19"/>
  <c r="E13" i="19"/>
  <c r="E12" i="19"/>
  <c r="I11" i="19"/>
  <c r="H11" i="19"/>
  <c r="E11" i="19"/>
  <c r="J10" i="19"/>
  <c r="E10" i="19"/>
  <c r="J9" i="19"/>
  <c r="E9" i="19"/>
  <c r="J8" i="19"/>
  <c r="E8" i="19"/>
  <c r="J7" i="19"/>
  <c r="E7" i="19"/>
  <c r="J6" i="19"/>
  <c r="E6" i="19"/>
  <c r="J5" i="19"/>
  <c r="E5" i="19"/>
  <c r="J4" i="19"/>
  <c r="D25" i="19"/>
  <c r="D4" i="19" s="1"/>
  <c r="B1" i="19"/>
  <c r="J11" i="19" l="1"/>
  <c r="E46" i="18" l="1"/>
  <c r="C46" i="18"/>
  <c r="D27" i="18" l="1"/>
  <c r="E45" i="18"/>
  <c r="E44" i="18"/>
  <c r="E43" i="18"/>
  <c r="E42" i="18"/>
  <c r="E41" i="18"/>
  <c r="E38" i="18"/>
  <c r="D34" i="18"/>
  <c r="C34" i="18"/>
  <c r="E34" i="18" s="1"/>
  <c r="E33" i="18"/>
  <c r="E32" i="18"/>
  <c r="E31" i="18"/>
  <c r="D28" i="18"/>
  <c r="E26" i="18"/>
  <c r="I25" i="18"/>
  <c r="H25" i="18"/>
  <c r="J24" i="18"/>
  <c r="J23" i="18"/>
  <c r="J22" i="18"/>
  <c r="J21" i="18"/>
  <c r="J20" i="18"/>
  <c r="I11" i="18"/>
  <c r="J11" i="18" s="1"/>
  <c r="H11" i="18"/>
  <c r="J10" i="18"/>
  <c r="J9" i="18"/>
  <c r="J8" i="18"/>
  <c r="J7" i="18"/>
  <c r="J6" i="18"/>
  <c r="J5" i="18"/>
  <c r="J4" i="18"/>
  <c r="D25" i="18"/>
  <c r="D4" i="18" s="1"/>
  <c r="E22" i="18" s="1"/>
  <c r="E27" i="18" l="1"/>
  <c r="E28" i="18" s="1"/>
  <c r="E8" i="18"/>
  <c r="E18" i="18"/>
  <c r="E12" i="18"/>
  <c r="E23" i="18"/>
  <c r="E5" i="18"/>
  <c r="E9" i="18"/>
  <c r="E13" i="18"/>
  <c r="E19" i="18"/>
  <c r="E14" i="18"/>
  <c r="E20" i="18"/>
  <c r="E24" i="18"/>
  <c r="E16" i="18"/>
  <c r="E6" i="18"/>
  <c r="E10" i="18"/>
  <c r="E15" i="18"/>
  <c r="E21" i="18"/>
  <c r="E7" i="18"/>
  <c r="E11" i="18"/>
  <c r="E17" i="18"/>
  <c r="J25" i="18"/>
  <c r="F53" i="17" l="1"/>
  <c r="F54" i="17"/>
  <c r="F52" i="17"/>
  <c r="E34" i="17"/>
  <c r="I37" i="17"/>
  <c r="D27" i="17" l="1"/>
  <c r="D28" i="17" s="1"/>
  <c r="E45" i="17"/>
  <c r="E44" i="17"/>
  <c r="E43" i="17"/>
  <c r="E42" i="17"/>
  <c r="E41" i="17"/>
  <c r="E38" i="17"/>
  <c r="D34" i="17"/>
  <c r="C34" i="17"/>
  <c r="E33" i="17"/>
  <c r="E32" i="17"/>
  <c r="E31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6" i="17"/>
  <c r="I25" i="17"/>
  <c r="J25" i="17" s="1"/>
  <c r="H25" i="17"/>
  <c r="J24" i="17"/>
  <c r="J23" i="17"/>
  <c r="J22" i="17"/>
  <c r="J21" i="17"/>
  <c r="J20" i="17"/>
  <c r="G18" i="17"/>
  <c r="G17" i="17"/>
  <c r="I11" i="17"/>
  <c r="J11" i="17" s="1"/>
  <c r="H11" i="17"/>
  <c r="J10" i="17"/>
  <c r="J9" i="17"/>
  <c r="J8" i="17"/>
  <c r="J7" i="17"/>
  <c r="J6" i="17"/>
  <c r="J5" i="17"/>
  <c r="E5" i="17"/>
  <c r="J4" i="17"/>
  <c r="D25" i="17"/>
  <c r="D4" i="17"/>
  <c r="E27" i="17" l="1"/>
  <c r="E28" i="17" s="1"/>
  <c r="J20" i="16" l="1"/>
  <c r="J21" i="16"/>
  <c r="J22" i="16"/>
  <c r="J23" i="16"/>
  <c r="J24" i="16"/>
  <c r="J25" i="16"/>
  <c r="I25" i="16"/>
  <c r="H25" i="16"/>
  <c r="D27" i="16" l="1"/>
  <c r="J4" i="16"/>
  <c r="E45" i="16" l="1"/>
  <c r="E44" i="16"/>
  <c r="E43" i="16"/>
  <c r="E42" i="16"/>
  <c r="E41" i="16"/>
  <c r="E38" i="16"/>
  <c r="D34" i="16"/>
  <c r="C34" i="16"/>
  <c r="E33" i="16"/>
  <c r="E32" i="16"/>
  <c r="E31" i="16"/>
  <c r="D28" i="16"/>
  <c r="E26" i="16"/>
  <c r="E23" i="16"/>
  <c r="E22" i="16"/>
  <c r="E21" i="16"/>
  <c r="E20" i="16"/>
  <c r="E19" i="16"/>
  <c r="G18" i="16"/>
  <c r="G17" i="16"/>
  <c r="E17" i="16"/>
  <c r="E16" i="16"/>
  <c r="E15" i="16"/>
  <c r="E14" i="16"/>
  <c r="E13" i="16"/>
  <c r="E12" i="16"/>
  <c r="I11" i="16"/>
  <c r="H11" i="16"/>
  <c r="E11" i="16"/>
  <c r="J10" i="16"/>
  <c r="E10" i="16"/>
  <c r="J9" i="16"/>
  <c r="E9" i="16"/>
  <c r="J8" i="16"/>
  <c r="J7" i="16"/>
  <c r="E7" i="16"/>
  <c r="J6" i="16"/>
  <c r="E6" i="16"/>
  <c r="J5" i="16"/>
  <c r="E5" i="16"/>
  <c r="D25" i="16"/>
  <c r="D4" i="16"/>
  <c r="E18" i="16" s="1"/>
  <c r="B1" i="16"/>
  <c r="E27" i="16" l="1"/>
  <c r="E28" i="16" s="1"/>
  <c r="E24" i="16"/>
  <c r="E8" i="16"/>
  <c r="J11" i="16"/>
  <c r="D34" i="15" l="1"/>
  <c r="E32" i="15"/>
  <c r="E33" i="15"/>
  <c r="E31" i="15"/>
  <c r="E46" i="15" l="1"/>
  <c r="E41" i="15"/>
  <c r="G18" i="15" l="1"/>
  <c r="G17" i="15"/>
  <c r="E27" i="15"/>
  <c r="D27" i="15"/>
  <c r="H11" i="15" l="1"/>
  <c r="E26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45" i="15"/>
  <c r="E44" i="15"/>
  <c r="E43" i="15"/>
  <c r="E42" i="15"/>
  <c r="E38" i="15"/>
  <c r="C34" i="15"/>
  <c r="D28" i="15"/>
  <c r="I11" i="15"/>
  <c r="J11" i="15" s="1"/>
  <c r="J10" i="15"/>
  <c r="J9" i="15"/>
  <c r="J8" i="15"/>
  <c r="J7" i="15"/>
  <c r="J6" i="15"/>
  <c r="J5" i="15"/>
  <c r="J4" i="15"/>
  <c r="D25" i="15"/>
  <c r="D4" i="15" s="1"/>
  <c r="E28" i="15" l="1"/>
  <c r="E5" i="15"/>
  <c r="E23" i="14" l="1"/>
  <c r="E22" i="14"/>
  <c r="D23" i="14"/>
  <c r="E41" i="14"/>
  <c r="E40" i="14"/>
  <c r="E39" i="14"/>
  <c r="E38" i="14"/>
  <c r="E34" i="14"/>
  <c r="C30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H11" i="14"/>
  <c r="I11" i="14"/>
  <c r="J10" i="14"/>
  <c r="J9" i="14"/>
  <c r="J8" i="14"/>
  <c r="J7" i="14"/>
  <c r="J6" i="14"/>
  <c r="J5" i="14"/>
  <c r="J4" i="14"/>
  <c r="E24" i="14" l="1"/>
  <c r="D24" i="14"/>
  <c r="J11" i="14"/>
  <c r="D21" i="14" l="1"/>
  <c r="D4" i="14" s="1"/>
  <c r="E5" i="14" l="1"/>
  <c r="E21" i="14"/>
  <c r="H11" i="13" l="1"/>
  <c r="D25" i="13"/>
  <c r="E25" i="13"/>
  <c r="E24" i="13"/>
  <c r="D24" i="13"/>
  <c r="E23" i="13"/>
  <c r="E42" i="13"/>
  <c r="E41" i="13"/>
  <c r="E40" i="13"/>
  <c r="E39" i="13"/>
  <c r="E35" i="13"/>
  <c r="C31" i="13"/>
  <c r="E21" i="13"/>
  <c r="E20" i="13"/>
  <c r="E19" i="13"/>
  <c r="E18" i="13"/>
  <c r="E17" i="13"/>
  <c r="E16" i="13"/>
  <c r="E15" i="13"/>
  <c r="E14" i="13"/>
  <c r="E13" i="13"/>
  <c r="E12" i="13"/>
  <c r="I11" i="13"/>
  <c r="J11" i="13" s="1"/>
  <c r="E11" i="13"/>
  <c r="J10" i="13"/>
  <c r="E10" i="13"/>
  <c r="J9" i="13"/>
  <c r="E9" i="13"/>
  <c r="J8" i="13"/>
  <c r="E8" i="13"/>
  <c r="J7" i="13"/>
  <c r="E7" i="13"/>
  <c r="J6" i="13"/>
  <c r="E6" i="13"/>
  <c r="J5" i="13"/>
  <c r="E5" i="13"/>
  <c r="J4" i="13"/>
  <c r="D22" i="13"/>
  <c r="D4" i="13"/>
  <c r="C61" i="12" l="1"/>
  <c r="H11" i="12"/>
  <c r="D27" i="12" l="1"/>
  <c r="E45" i="12"/>
  <c r="E44" i="12"/>
  <c r="E43" i="12"/>
  <c r="E42" i="12"/>
  <c r="E38" i="12"/>
  <c r="C34" i="12"/>
  <c r="D28" i="12"/>
  <c r="E27" i="12"/>
  <c r="E28" i="12" s="1"/>
  <c r="E26" i="12"/>
  <c r="I11" i="12"/>
  <c r="J10" i="12"/>
  <c r="J9" i="12"/>
  <c r="J8" i="12"/>
  <c r="J7" i="12"/>
  <c r="J6" i="12"/>
  <c r="J5" i="12"/>
  <c r="J4" i="12"/>
  <c r="D25" i="12"/>
  <c r="D4" i="12" s="1"/>
  <c r="E17" i="12" s="1"/>
  <c r="E8" i="12" l="1"/>
  <c r="E19" i="12"/>
  <c r="E12" i="12"/>
  <c r="E5" i="12"/>
  <c r="E14" i="12"/>
  <c r="E24" i="12"/>
  <c r="E18" i="12"/>
  <c r="J11" i="12"/>
  <c r="E20" i="12"/>
  <c r="E9" i="12"/>
  <c r="E13" i="12"/>
  <c r="E21" i="12"/>
  <c r="E22" i="12"/>
  <c r="E6" i="12"/>
  <c r="E10" i="12"/>
  <c r="E15" i="12"/>
  <c r="E23" i="12"/>
  <c r="E16" i="12"/>
  <c r="E7" i="12"/>
  <c r="E11" i="12"/>
  <c r="C34" i="11" l="1"/>
  <c r="E27" i="11" l="1"/>
  <c r="D27" i="11"/>
  <c r="D28" i="11" s="1"/>
  <c r="E45" i="11"/>
  <c r="E44" i="11"/>
  <c r="E43" i="11"/>
  <c r="E42" i="11"/>
  <c r="E38" i="11"/>
  <c r="E26" i="11"/>
  <c r="E28" i="11" l="1"/>
  <c r="E24" i="11" l="1"/>
  <c r="E23" i="11"/>
  <c r="E22" i="11"/>
  <c r="E21" i="11"/>
  <c r="E20" i="11"/>
  <c r="E19" i="11"/>
  <c r="E18" i="11"/>
  <c r="E17" i="11"/>
  <c r="E16" i="11"/>
  <c r="E15" i="11"/>
  <c r="E14" i="11"/>
  <c r="E13" i="11"/>
  <c r="E12" i="11"/>
  <c r="I11" i="11"/>
  <c r="J11" i="11" s="1"/>
  <c r="H11" i="11"/>
  <c r="E11" i="11"/>
  <c r="J10" i="11"/>
  <c r="E10" i="11"/>
  <c r="J9" i="11"/>
  <c r="E9" i="11"/>
  <c r="J8" i="11"/>
  <c r="E8" i="11"/>
  <c r="J7" i="11"/>
  <c r="E7" i="11"/>
  <c r="J6" i="11"/>
  <c r="E6" i="11"/>
  <c r="J5" i="11"/>
  <c r="E5" i="11"/>
  <c r="J4" i="11"/>
  <c r="D25" i="11"/>
  <c r="D4" i="11"/>
  <c r="K16" i="2" l="1"/>
  <c r="I16" i="2"/>
  <c r="E19" i="2"/>
  <c r="H11" i="10" l="1"/>
  <c r="D27" i="10"/>
  <c r="D28" i="10" s="1"/>
  <c r="E45" i="10"/>
  <c r="E44" i="10"/>
  <c r="E43" i="10"/>
  <c r="E42" i="10"/>
  <c r="E38" i="10"/>
  <c r="C34" i="10"/>
  <c r="E26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I11" i="10"/>
  <c r="J11" i="10" s="1"/>
  <c r="E11" i="10"/>
  <c r="J10" i="10"/>
  <c r="E10" i="10"/>
  <c r="J9" i="10"/>
  <c r="E9" i="10"/>
  <c r="J8" i="10"/>
  <c r="E8" i="10"/>
  <c r="J7" i="10"/>
  <c r="E7" i="10"/>
  <c r="J6" i="10"/>
  <c r="E6" i="10"/>
  <c r="J5" i="10"/>
  <c r="E5" i="10"/>
  <c r="J4" i="10"/>
  <c r="D25" i="10"/>
  <c r="D4" i="10" s="1"/>
  <c r="E27" i="10" l="1"/>
  <c r="E28" i="10" s="1"/>
  <c r="D27" i="9" l="1"/>
  <c r="D28" i="9" s="1"/>
  <c r="E45" i="9"/>
  <c r="E44" i="9"/>
  <c r="E43" i="9"/>
  <c r="E42" i="9"/>
  <c r="E38" i="9"/>
  <c r="C34" i="9"/>
  <c r="E26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I11" i="9"/>
  <c r="J11" i="9" s="1"/>
  <c r="H11" i="9"/>
  <c r="E11" i="9"/>
  <c r="J10" i="9"/>
  <c r="E10" i="9"/>
  <c r="J9" i="9"/>
  <c r="E9" i="9"/>
  <c r="J8" i="9"/>
  <c r="E8" i="9"/>
  <c r="J7" i="9"/>
  <c r="E7" i="9"/>
  <c r="J6" i="9"/>
  <c r="E6" i="9"/>
  <c r="J5" i="9"/>
  <c r="E5" i="9"/>
  <c r="J4" i="9"/>
  <c r="D25" i="9"/>
  <c r="D4" i="9" s="1"/>
  <c r="B1" i="9"/>
  <c r="E27" i="9" l="1"/>
  <c r="E28" i="9" s="1"/>
  <c r="H11" i="8" l="1"/>
  <c r="D27" i="8"/>
  <c r="D28" i="8" s="1"/>
  <c r="E45" i="8"/>
  <c r="E44" i="8"/>
  <c r="E43" i="8"/>
  <c r="E42" i="8"/>
  <c r="E38" i="8"/>
  <c r="C34" i="8"/>
  <c r="E27" i="8"/>
  <c r="E28" i="8" s="1"/>
  <c r="E26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I11" i="8"/>
  <c r="J11" i="8" s="1"/>
  <c r="E11" i="8"/>
  <c r="J10" i="8"/>
  <c r="E10" i="8"/>
  <c r="J9" i="8"/>
  <c r="E9" i="8"/>
  <c r="J8" i="8"/>
  <c r="E8" i="8"/>
  <c r="J7" i="8"/>
  <c r="E7" i="8"/>
  <c r="J6" i="8"/>
  <c r="E6" i="8"/>
  <c r="J5" i="8"/>
  <c r="E5" i="8"/>
  <c r="J4" i="8"/>
  <c r="D25" i="8"/>
  <c r="D4" i="8"/>
  <c r="E28" i="7" l="1"/>
  <c r="E27" i="7"/>
  <c r="D27" i="7"/>
  <c r="D28" i="7" s="1"/>
  <c r="E26" i="7"/>
  <c r="H11" i="7"/>
  <c r="E16" i="7"/>
  <c r="E17" i="7"/>
  <c r="E18" i="7"/>
  <c r="E19" i="7"/>
  <c r="E20" i="7"/>
  <c r="E21" i="7"/>
  <c r="E22" i="7"/>
  <c r="E23" i="7"/>
  <c r="E24" i="7"/>
  <c r="E45" i="7"/>
  <c r="E44" i="7"/>
  <c r="E43" i="7"/>
  <c r="E42" i="7"/>
  <c r="E38" i="7"/>
  <c r="C34" i="7"/>
  <c r="E15" i="7"/>
  <c r="E14" i="7"/>
  <c r="E13" i="7"/>
  <c r="E12" i="7"/>
  <c r="I11" i="7"/>
  <c r="J11" i="7" s="1"/>
  <c r="E11" i="7"/>
  <c r="J10" i="7"/>
  <c r="E10" i="7"/>
  <c r="J9" i="7"/>
  <c r="E9" i="7"/>
  <c r="J8" i="7"/>
  <c r="E8" i="7"/>
  <c r="J7" i="7"/>
  <c r="E7" i="7"/>
  <c r="J6" i="7"/>
  <c r="E6" i="7"/>
  <c r="J5" i="7"/>
  <c r="E5" i="7"/>
  <c r="J4" i="7"/>
  <c r="D20" i="7"/>
  <c r="C20" i="7"/>
  <c r="D16" i="7"/>
  <c r="C16" i="7"/>
  <c r="D10" i="7"/>
  <c r="C10" i="7"/>
  <c r="D9" i="7"/>
  <c r="D25" i="7" s="1"/>
  <c r="D4" i="7" s="1"/>
  <c r="C9" i="7"/>
  <c r="E6" i="6" l="1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5" i="6"/>
  <c r="D26" i="6" l="1"/>
  <c r="E44" i="6"/>
  <c r="E43" i="6"/>
  <c r="E42" i="6"/>
  <c r="E41" i="6"/>
  <c r="E37" i="6"/>
  <c r="C33" i="6"/>
  <c r="D27" i="6"/>
  <c r="E26" i="6"/>
  <c r="E27" i="6" s="1"/>
  <c r="E25" i="6"/>
  <c r="I11" i="6"/>
  <c r="H11" i="6"/>
  <c r="J10" i="6"/>
  <c r="J9" i="6"/>
  <c r="J8" i="6"/>
  <c r="J7" i="6"/>
  <c r="J6" i="6"/>
  <c r="J5" i="6"/>
  <c r="J4" i="6"/>
  <c r="D24" i="6"/>
  <c r="D4" i="6" s="1"/>
  <c r="J11" i="6" l="1"/>
  <c r="E41" i="2" l="1"/>
  <c r="E42" i="2"/>
  <c r="E43" i="2"/>
  <c r="E40" i="2"/>
  <c r="E37" i="2"/>
  <c r="C33" i="2"/>
  <c r="D27" i="2" l="1"/>
  <c r="E27" i="2"/>
  <c r="E26" i="2"/>
  <c r="D26" i="2"/>
  <c r="E25" i="2"/>
  <c r="J11" i="2"/>
  <c r="J5" i="2"/>
  <c r="J6" i="2"/>
  <c r="J7" i="2"/>
  <c r="J8" i="2"/>
  <c r="J9" i="2"/>
  <c r="J10" i="2"/>
  <c r="J4" i="2"/>
  <c r="I11" i="2"/>
  <c r="H11" i="2"/>
  <c r="D24" i="2" l="1"/>
  <c r="D4" i="2" l="1"/>
  <c r="F3" i="4" l="1"/>
  <c r="F7" i="4"/>
  <c r="F9" i="4"/>
  <c r="F4" i="4"/>
  <c r="F8" i="4"/>
  <c r="F6" i="4"/>
  <c r="F5" i="4"/>
  <c r="F11" i="4"/>
  <c r="J22" i="67" l="1"/>
  <c r="H22" i="66"/>
  <c r="J22" i="66"/>
  <c r="H24" i="63"/>
  <c r="G24" i="61"/>
  <c r="G24" i="64"/>
  <c r="G24" i="62"/>
  <c r="G24" i="63"/>
  <c r="G22" i="66"/>
  <c r="H24" i="64"/>
  <c r="H24" i="61"/>
  <c r="H24" i="62"/>
</calcChain>
</file>

<file path=xl/comments1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MODULO 9, POR SILLA, cambiar buje de silla</t>
        </r>
      </text>
    </comment>
  </commentList>
</comments>
</file>

<file path=xl/comments2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MODULO 9, POR SILLA, cambiar buje de silla</t>
        </r>
      </text>
    </comment>
  </commentList>
</comments>
</file>

<file path=xl/comments3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MODULO 9, POR SILLA, cambiar buje de silla</t>
        </r>
      </text>
    </comment>
  </commentList>
</comments>
</file>

<file path=xl/comments4.xml><?xml version="1.0" encoding="utf-8"?>
<comments xmlns="http://schemas.openxmlformats.org/spreadsheetml/2006/main">
  <authors>
    <author>Flores Puma, Luis Gabriel ( Yura S.A. )</author>
  </authors>
  <commentList>
    <comment ref="G44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Modulo 6, requiere cambio de motor</t>
        </r>
      </text>
    </comment>
    <comment ref="G45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 3 anulado por error de comunicación</t>
        </r>
      </text>
    </comment>
  </commentList>
</comments>
</file>

<file path=xl/comments5.xml><?xml version="1.0" encoding="utf-8"?>
<comments xmlns="http://schemas.openxmlformats.org/spreadsheetml/2006/main">
  <authors>
    <author>Flores Puma, Luis Gabriel ( Yura S.A. )</author>
  </authors>
  <commentList>
    <comment ref="G44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Modulo 6, requiere cambio de motor</t>
        </r>
      </text>
    </comment>
    <comment ref="G45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 3 anulado por error de comunicación</t>
        </r>
      </text>
    </comment>
  </commentList>
</comments>
</file>

<file path=xl/comments6.xml><?xml version="1.0" encoding="utf-8"?>
<comments xmlns="http://schemas.openxmlformats.org/spreadsheetml/2006/main">
  <authors>
    <author>Flores Puma, Luis Gabriel ( Yura S.A. )</author>
  </authors>
  <commentList>
    <comment ref="G44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Modulo 6, requiere cambio de motor</t>
        </r>
      </text>
    </comment>
    <comment ref="G45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 3 anulado por error de comunicación</t>
        </r>
      </text>
    </comment>
  </commentList>
</comments>
</file>

<file path=xl/comments7.xml><?xml version="1.0" encoding="utf-8"?>
<comments xmlns="http://schemas.openxmlformats.org/spreadsheetml/2006/main">
  <authors>
    <author>Flores Puma, Luis Gabriel ( Yura S.A. )</author>
  </authors>
  <commentList>
    <comment ref="G44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Modulo 6, requiere cambio de motor</t>
        </r>
      </text>
    </comment>
    <comment ref="G45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 3 anulado por error de comunicación</t>
        </r>
      </text>
    </comment>
  </commentList>
</comments>
</file>

<file path=xl/comments8.xml><?xml version="1.0" encoding="utf-8"?>
<comments xmlns="http://schemas.openxmlformats.org/spreadsheetml/2006/main">
  <authors>
    <author>Flores Puma, Luis Gabriel ( Yura S.A. )</author>
  </authors>
  <commentList>
    <comment ref="G41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Modulo 6, requiere cambio de motor</t>
        </r>
      </text>
    </comment>
    <comment ref="G42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MOD 3 anulado por error de comunicación</t>
        </r>
      </text>
    </comment>
  </commentList>
</comments>
</file>

<file path=xl/comments9.xml><?xml version="1.0" encoding="utf-8"?>
<comments xmlns="http://schemas.openxmlformats.org/spreadsheetml/2006/main">
  <authors>
    <author>Flores Puma, Luis Gabriel ( Yura S.A. )</author>
  </authors>
  <commentList>
    <comment ref="H37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Consumio Gonzalo Alvarez por reserva: 01</t>
        </r>
      </text>
    </comment>
  </commentList>
</comments>
</file>

<file path=xl/comments10.xml><?xml version="1.0" encoding="utf-8"?>
<comments xmlns="http://schemas.openxmlformats.org/spreadsheetml/2006/main">
  <authors>
    <author>Flores Puma, Luis Gabriel ( Yura S.A. )</author>
  </authors>
  <commentList>
    <comment ref="H37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Consumio Gonzalo Alvarez por reserva: 01</t>
        </r>
      </text>
    </comment>
  </commentList>
</comments>
</file>

<file path=xl/comments11.xml><?xml version="1.0" encoding="utf-8"?>
<comments xmlns="http://schemas.openxmlformats.org/spreadsheetml/2006/main">
  <authors>
    <author>Flores Puma, Luis Gabriel ( Yura S.A. )</author>
  </authors>
  <commentList>
    <comment ref="H37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Consumio Gonzalo Alvarez por reserva: 01</t>
        </r>
      </text>
    </comment>
  </commentList>
</comments>
</file>

<file path=xl/comments12.xml><?xml version="1.0" encoding="utf-8"?>
<comments xmlns="http://schemas.openxmlformats.org/spreadsheetml/2006/main">
  <authors>
    <author>Flores Puma, Luis Gabriel ( Yura S.A. )</author>
  </authors>
  <commentList>
    <comment ref="H37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Consumio Gonzalo Alvarez por reserva: 01</t>
        </r>
      </text>
    </comment>
  </commentList>
</comments>
</file>

<file path=xl/comments13.xml><?xml version="1.0" encoding="utf-8"?>
<comments xmlns="http://schemas.openxmlformats.org/spreadsheetml/2006/main">
  <authors>
    <author>Flores Puma, Luis Gabriel ( Yura S.A. )</author>
  </authors>
  <commentList>
    <comment ref="H37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Consumio Gonzalo Alvarez por reserva: 01</t>
        </r>
      </text>
    </comment>
  </commentList>
</comments>
</file>

<file path=xl/comments14.xml><?xml version="1.0" encoding="utf-8"?>
<comments xmlns="http://schemas.openxmlformats.org/spreadsheetml/2006/main">
  <authors>
    <author>Flores Puma, Luis Gabriel ( Yura S.A. )</author>
  </authors>
  <commentList>
    <comment ref="H37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Consumio Gonzalo Alvarez por reserva: 01</t>
        </r>
      </text>
    </comment>
  </commentList>
</comments>
</file>

<file path=xl/comments15.xml><?xml version="1.0" encoding="utf-8"?>
<comments xmlns="http://schemas.openxmlformats.org/spreadsheetml/2006/main">
  <authors>
    <author>Flores Puma, Luis Gabriel ( Yura S.A. )</author>
  </authors>
  <commentList>
    <comment ref="H37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Consumio Gonzalo Alvarez por reserva: 01</t>
        </r>
      </text>
    </comment>
  </commentList>
</comments>
</file>

<file path=xl/comments16.xml><?xml version="1.0" encoding="utf-8"?>
<comments xmlns="http://schemas.openxmlformats.org/spreadsheetml/2006/main">
  <authors>
    <author>Flores Puma, Luis Gabriel ( Yura S.A. )</author>
  </authors>
  <commentList>
    <comment ref="H37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Consumio Gonzalo Alvarez por reserva: 01</t>
        </r>
      </text>
    </comment>
  </commentList>
</comments>
</file>

<file path=xl/comments17.xml><?xml version="1.0" encoding="utf-8"?>
<comments xmlns="http://schemas.openxmlformats.org/spreadsheetml/2006/main">
  <authors>
    <author>Flores Puma, Luis Gabriel ( Yura S.A. )</author>
  </authors>
  <commentList>
    <comment ref="H37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Consumio Gonzalo Alvarez por reserva: 01</t>
        </r>
      </text>
    </comment>
    <comment ref="K61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LA TOLVA ESTABA AL 81%</t>
        </r>
      </text>
    </comment>
  </commentList>
</comments>
</file>

<file path=xl/comments18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19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20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21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22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23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24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25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26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27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28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29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30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31.xml><?xml version="1.0" encoding="utf-8"?>
<comments xmlns="http://schemas.openxmlformats.org/spreadsheetml/2006/main">
  <authors>
    <author>Flores Puma, Luis Gabriel ( Yura S.A. )</author>
  </authors>
  <commentList>
    <comment ref="G40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32.xml><?xml version="1.0" encoding="utf-8"?>
<comments xmlns="http://schemas.openxmlformats.org/spreadsheetml/2006/main">
  <authors>
    <author>Flores Puma, Luis Gabriel ( Yura S.A. )</author>
  </authors>
  <commentList>
    <comment ref="G41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33.xml><?xml version="1.0" encoding="utf-8"?>
<comments xmlns="http://schemas.openxmlformats.org/spreadsheetml/2006/main">
  <authors>
    <author>Flores Puma, Luis Gabriel ( Yura S.A. )</author>
  </authors>
  <commentList>
    <comment ref="G41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comments34.xml><?xml version="1.0" encoding="utf-8"?>
<comments xmlns="http://schemas.openxmlformats.org/spreadsheetml/2006/main">
  <authors>
    <author>Flores Puma, Luis Gabriel ( Yura S.A. )</author>
  </authors>
  <commentList>
    <comment ref="G41" authorId="0" shapeId="0">
      <text>
        <r>
          <rPr>
            <b/>
            <sz val="9"/>
            <color indexed="81"/>
            <rFont val="Tahoma"/>
            <family val="2"/>
          </rPr>
          <t>Flores Puma, Luis Gabriel ( Yura S.A. ):</t>
        </r>
        <r>
          <rPr>
            <sz val="9"/>
            <color indexed="81"/>
            <rFont val="Tahoma"/>
            <family val="2"/>
          </rPr>
          <t xml:space="preserve">
87 de Blancura, piden: tamiz 100, pureza 98%, retenido 5%, malla 100</t>
        </r>
      </text>
    </comment>
  </commentList>
</comments>
</file>

<file path=xl/sharedStrings.xml><?xml version="1.0" encoding="utf-8"?>
<sst xmlns="http://schemas.openxmlformats.org/spreadsheetml/2006/main" count="23689" uniqueCount="299">
  <si>
    <t>DESPACHO T.M. DEL DIA</t>
  </si>
  <si>
    <t>ACUMULADO MES</t>
  </si>
  <si>
    <t>CEMENTO PORT. PUZ. IP X 42.5 KG YURA</t>
  </si>
  <si>
    <t>CEMENTO ANTISALITRE HS X 42.5</t>
  </si>
  <si>
    <t>CEMENTO PORTLAND TIPO I X 42.5 KG YURA</t>
  </si>
  <si>
    <t>CEMENTO PORT. PUZ. IP TACNA  42.5KG YURA</t>
  </si>
  <si>
    <t>CEM. FRONTERA GU X 42.5 KG</t>
  </si>
  <si>
    <t>CEMENTO PORT. PUZ. IP NAZCA  42.5KG YURA</t>
  </si>
  <si>
    <t>CEM ALTA RESIST INICIAL HE X 42.5KG YURA</t>
  </si>
  <si>
    <t>CEMENTO YURA IP A GRANEL EN BOMBONA</t>
  </si>
  <si>
    <t>CEMENTO FRONTERA IP x 42.5 KG</t>
  </si>
  <si>
    <t>CEM. PORT. I BIGBAG x 1,5TM INC.ENV YURA</t>
  </si>
  <si>
    <t>CEM.PORT.PUZ.IP30 GRANEL BOMBONA YURA</t>
  </si>
  <si>
    <t>CEM ALT RESIST INICI HE BB1.5TM YURA ENV</t>
  </si>
  <si>
    <t>CEMENTO ANTISALITRE TIPO HS x 25KG CHILE</t>
  </si>
  <si>
    <t>CEMENTO PORTLAND 1 GRANEL BOMBONA YURA</t>
  </si>
  <si>
    <t>CEMENTO TIPO LH x 25KG YURA EXP CHILE</t>
  </si>
  <si>
    <t>CEM.MULTIPROPOSITO IP MARCA YURA x 50 KG</t>
  </si>
  <si>
    <t>CEMENTO DE ACABADOS LH X 42.5 KG YURA</t>
  </si>
  <si>
    <t>CEMENTO PORT.PUZ. RUMI IP MAX x 42.5KG</t>
  </si>
  <si>
    <t>MATERIAL</t>
  </si>
  <si>
    <t>BOLSAS</t>
  </si>
  <si>
    <t>TON</t>
  </si>
  <si>
    <t>IP</t>
  </si>
  <si>
    <t>HE</t>
  </si>
  <si>
    <t>IP30</t>
  </si>
  <si>
    <t>TIPO I</t>
  </si>
  <si>
    <t>HS</t>
  </si>
  <si>
    <t>LH</t>
  </si>
  <si>
    <t>CEMENTO PORTLAND TIPO V X 42.5 KG YURA</t>
  </si>
  <si>
    <t>CEM. ANTISALITRE HS 1.5TM INC.ENV YURA</t>
  </si>
  <si>
    <t>CEM ALT RESIST INIC HE GRANEL EN BOMBONA</t>
  </si>
  <si>
    <t>TIPO V</t>
  </si>
  <si>
    <t>TOTAL</t>
  </si>
  <si>
    <t>CEMENTO PORT. PUZ. IP X 25 KG YURA</t>
  </si>
  <si>
    <t>CEMENTO HS+R X 42.5 KG RUMI</t>
  </si>
  <si>
    <t>DESPACHO DEL DÍA POR TIPO DE CEMENTO</t>
  </si>
  <si>
    <t>CEMENTO YURA ANTISALITRE (MS) X 42.5 KG</t>
  </si>
  <si>
    <t>CEMENTO YURA MAX  (HS) X 42.5KG</t>
  </si>
  <si>
    <t>CEMENTO YURA PRO (HE) BBx1.5TM INC.ENV</t>
  </si>
  <si>
    <t>CEMENTO YURA PRO (HE) GRANEL EN BOMBONA</t>
  </si>
  <si>
    <t>CEMENTO YURA MAX  BBx1.5TM INC.ENV</t>
  </si>
  <si>
    <t>CEMENTO YURA PRO (HE) 42.5KG</t>
  </si>
  <si>
    <t>CEM ALT REST IN HE BB1.5TM YURA ENV CHIL</t>
  </si>
  <si>
    <t>CEM. PORT. I BBx1.5TM INC.ENV YURA</t>
  </si>
  <si>
    <t>CEM.YURA ANTISALITRE MS BBx1.5TM INC.ENV</t>
  </si>
  <si>
    <t>CEMENTO YURA MAX GRANEL BOMBONA</t>
  </si>
  <si>
    <t>CEM.PORTL.IP(GRADO CORRIENTE)X25KG CHILE</t>
  </si>
  <si>
    <t>CEMENTO BLANCO BIGBAGx1.5TM EXP.BOLIVIA</t>
  </si>
  <si>
    <t>CEM. PORT. PUZ. IP BBx1.5TM INC.ENV YURA</t>
  </si>
  <si>
    <t>CEMENTO ANTISALITRE TIPO HS x 25KG YURA</t>
  </si>
  <si>
    <t>LUNES</t>
  </si>
  <si>
    <t>MARTES</t>
  </si>
  <si>
    <t>MIÉRCOLES</t>
  </si>
  <si>
    <t>JUEVES</t>
  </si>
  <si>
    <t>VIERNES</t>
  </si>
  <si>
    <t>SÁBADO</t>
  </si>
  <si>
    <t>DOMINGO</t>
  </si>
  <si>
    <t>PLAN</t>
  </si>
  <si>
    <t>REAL</t>
  </si>
  <si>
    <t>TEMPORALES</t>
  </si>
  <si>
    <t>TEMPORAL 1</t>
  </si>
  <si>
    <t>TEMPORAL 2</t>
  </si>
  <si>
    <t>MISTI</t>
  </si>
  <si>
    <t xml:space="preserve">CEMENTO BLANCO 25 Kg. </t>
  </si>
  <si>
    <t xml:space="preserve">CEMENTO BLANCO BIGBAG x 1.5TM </t>
  </si>
  <si>
    <t>CARROS</t>
  </si>
  <si>
    <t>PLAYA</t>
  </si>
  <si>
    <t>LLAMADO</t>
  </si>
  <si>
    <t>PROCESO DE C</t>
  </si>
  <si>
    <t>H1</t>
  </si>
  <si>
    <t>H2</t>
  </si>
  <si>
    <t>H3</t>
  </si>
  <si>
    <t>H4</t>
  </si>
  <si>
    <t>H5</t>
  </si>
  <si>
    <t>V</t>
  </si>
  <si>
    <t>RENDIMIENTO</t>
  </si>
  <si>
    <t>EN PROCESO DE RETIRO DE TOLVIN</t>
  </si>
  <si>
    <t>SILO 8</t>
  </si>
  <si>
    <t>HR</t>
  </si>
  <si>
    <t>%</t>
  </si>
  <si>
    <t>CEM YURA ESPECIAL  (HS) X 42.5 KG</t>
  </si>
  <si>
    <t>ME MAYO</t>
  </si>
  <si>
    <t>COMPUERTA</t>
  </si>
  <si>
    <t>CEM.ANTISALITRE HS BBx1.5TM INC.ENV YURA</t>
  </si>
  <si>
    <t>FILLER INDUSTRIAL BB1.5TM</t>
  </si>
  <si>
    <t xml:space="preserve">CB 25 Kg. </t>
  </si>
  <si>
    <t xml:space="preserve">CB BIGBAG x 1.5TM </t>
  </si>
  <si>
    <t>CEMENTO BLANCO A GRANEL EN BBx1.5 YURA</t>
  </si>
  <si>
    <t>Módulos</t>
  </si>
  <si>
    <t>Operativos</t>
  </si>
  <si>
    <t>filler</t>
  </si>
  <si>
    <t>TM</t>
  </si>
  <si>
    <t>MOTACA</t>
  </si>
  <si>
    <t>Modulo 12</t>
  </si>
  <si>
    <t>CEMENTO BLANCO X 25 KG YURA NACIONAL</t>
  </si>
  <si>
    <t>CEM MICROFISURAS</t>
  </si>
  <si>
    <t>Falla</t>
  </si>
  <si>
    <t>10 SON HASTA LA 10</t>
  </si>
  <si>
    <t>CEMENTO PARA MICROFISURAS BIGBAG X1.5 TM</t>
  </si>
  <si>
    <t>CEMENTO PARA ACABADOS TIPO MH  25KG YURA</t>
  </si>
  <si>
    <t>ME JUNIO</t>
  </si>
  <si>
    <t>MAYO</t>
  </si>
  <si>
    <t>ME</t>
  </si>
  <si>
    <t>CB 25 Kg. PINGÜINO</t>
  </si>
  <si>
    <t>Capacidad ™</t>
  </si>
  <si>
    <t xml:space="preserve"> CEMENTO BLANCO A GRANEL EN BBx1.5 YURA</t>
  </si>
  <si>
    <t>CARBONATO 1.5</t>
  </si>
  <si>
    <t>ENERO</t>
  </si>
  <si>
    <t>FEBRERO</t>
  </si>
  <si>
    <t>MARZO</t>
  </si>
  <si>
    <t>ABRIL</t>
  </si>
  <si>
    <t>SUPER FILLER</t>
  </si>
  <si>
    <t>56 BB de calidad</t>
  </si>
  <si>
    <t>BIG BAG   HE    NAC</t>
  </si>
  <si>
    <t>SILO 3</t>
  </si>
  <si>
    <t>SILO 5</t>
  </si>
  <si>
    <t>SILO 6E</t>
  </si>
  <si>
    <t>SUPER SCM BIGBAG X 1.5 TM YURA</t>
  </si>
  <si>
    <t>CEMENTO BLANCO PINGÜINO/ESLINGAX72UND25K</t>
  </si>
  <si>
    <t>lote 2</t>
  </si>
  <si>
    <t>lote 3</t>
  </si>
  <si>
    <t>PEDIR ASPIRADORA</t>
  </si>
  <si>
    <t>SCM</t>
  </si>
  <si>
    <t>SCM: lote 1</t>
  </si>
  <si>
    <t>JUNIO</t>
  </si>
  <si>
    <t>META</t>
  </si>
  <si>
    <t>FALTA</t>
  </si>
  <si>
    <t>CARBONATO (BIG BAG)</t>
  </si>
  <si>
    <t>RUMI</t>
  </si>
  <si>
    <t>MAX</t>
  </si>
  <si>
    <t>GU</t>
  </si>
  <si>
    <t>JULIO</t>
  </si>
  <si>
    <t>ME JULIO</t>
  </si>
  <si>
    <t xml:space="preserve"> 56 BB de calidad</t>
  </si>
  <si>
    <t>AGOSTO</t>
  </si>
  <si>
    <t>Carbonato M100 en BB x 1.5 Ton</t>
  </si>
  <si>
    <t>UTILIZACIÓN</t>
  </si>
  <si>
    <t>MISTI, 1359</t>
  </si>
  <si>
    <t>Ayer 36</t>
  </si>
  <si>
    <t>MISTI, 3087</t>
  </si>
  <si>
    <t xml:space="preserve"> CEM. PORT. I BBx1.5TM INC.ENV YURA</t>
  </si>
  <si>
    <t xml:space="preserve"> CEM ALT REST IN HE BB1.5TM YURA ENV CHIL</t>
  </si>
  <si>
    <t>Berly</t>
  </si>
  <si>
    <t>Mauricio</t>
  </si>
  <si>
    <t>40 sin pase</t>
  </si>
  <si>
    <t>Alfrente de Misti</t>
  </si>
  <si>
    <t>Conectada</t>
  </si>
  <si>
    <t>30 (Sin pase)</t>
  </si>
  <si>
    <t>53 (Sin pase)</t>
  </si>
  <si>
    <t>40 sin pase (22/07 tolva a 1m para llenar)</t>
  </si>
  <si>
    <t>Falta conectar</t>
  </si>
  <si>
    <t>+56 BB de calidad</t>
  </si>
  <si>
    <t>Falta limpiar canaleta</t>
  </si>
  <si>
    <t>Sale, chucear un poco</t>
  </si>
  <si>
    <t>ME AGOSTO</t>
  </si>
  <si>
    <t>+129  sin pase (Se puede despachar 2 por camión)</t>
  </si>
  <si>
    <t>Bolsas</t>
  </si>
  <si>
    <t xml:space="preserve"> CEM.PORTL.IP(GRADO CORRIENTE)X25KG CHILE</t>
  </si>
  <si>
    <t>Van 6</t>
  </si>
  <si>
    <t>SETIEMBRE</t>
  </si>
  <si>
    <t>OCTUBRE</t>
  </si>
  <si>
    <t>+39  sin pase (Se puede despachar 2 por camión)</t>
  </si>
  <si>
    <t xml:space="preserve">129 BB de enjuague de tolva estacionaria, de Filler a Tipo I, </t>
  </si>
  <si>
    <t xml:space="preserve"> CEM.ANTISALITRE HS BBx1.5TM INC.ENV YURA</t>
  </si>
  <si>
    <t xml:space="preserve"> FILLER INDUSTRIAL BB1.5TM</t>
  </si>
  <si>
    <t xml:space="preserve"> CEM.YURA ANTISALITRE MS BBx1.5TM INC.ENV</t>
  </si>
  <si>
    <t>FILLER</t>
  </si>
  <si>
    <t>Filler</t>
  </si>
  <si>
    <t xml:space="preserve">CB BIGBAG </t>
  </si>
  <si>
    <t>CEM MICROFISU</t>
  </si>
  <si>
    <t>CB 25 Kg. PINGÜ</t>
  </si>
  <si>
    <t>CEMENTO BLANCO C/ESLX72UND DE 25kg CHILE</t>
  </si>
  <si>
    <t>CARBONATO M100 EN BB X 1.5 TON</t>
  </si>
  <si>
    <t>Tolva llena, hoy descargando</t>
  </si>
  <si>
    <t>DIA</t>
  </si>
  <si>
    <t>NOCHE</t>
  </si>
  <si>
    <t>BB</t>
  </si>
  <si>
    <t>TOTAL BB</t>
  </si>
  <si>
    <t>TOTAL TM</t>
  </si>
  <si>
    <t xml:space="preserve"> CEMENTO BLANCO C/ESLX72UND DE 25kg CHILE</t>
  </si>
  <si>
    <t>ME SETIEMBRE</t>
  </si>
  <si>
    <t>FILLER EMB</t>
  </si>
  <si>
    <t xml:space="preserve"> CARBONATO M100 EN BB X 1.5 TON</t>
  </si>
  <si>
    <t>CEM. ESPECIAL SC TIPO AR Granel Yura</t>
  </si>
  <si>
    <t xml:space="preserve"> SUPER SCM BIGBAG X 1.5 TM YURA</t>
  </si>
  <si>
    <t xml:space="preserve"> CEMENTO BLANCO X 25 KG YURA NACIONAL</t>
  </si>
  <si>
    <t>-3170 bolsas bajo peso</t>
  </si>
  <si>
    <t>TM CB</t>
  </si>
  <si>
    <t>16 SIN PASE</t>
  </si>
  <si>
    <t>BB HE EXP. CHILE 1.5 TN. CETICOS</t>
  </si>
  <si>
    <t>bb + 25kg</t>
  </si>
  <si>
    <t>DIA (vaceado)</t>
  </si>
  <si>
    <t>Temporal 1</t>
  </si>
  <si>
    <t>CEM YURA ESPECIAL  (HS) X 1.5 TON</t>
  </si>
  <si>
    <t>CBLANCO BB</t>
  </si>
  <si>
    <t>CEM.POR.IP.CORRIENTE 25KG CON ESLINGA</t>
  </si>
  <si>
    <t>CBLANCO 25kg</t>
  </si>
  <si>
    <t>NOVIEMBRE</t>
  </si>
  <si>
    <t>DICIEMBRE</t>
  </si>
  <si>
    <t>CEM.PORTL.PUZOL.IP.EXP.BRASILX 42.5 KG</t>
  </si>
  <si>
    <t>DÍA</t>
  </si>
  <si>
    <t>BIGBAG</t>
  </si>
  <si>
    <t>Ultravac afecto 2%</t>
  </si>
  <si>
    <t>Ultravac afecto 4%</t>
  </si>
  <si>
    <t>MICROCEMENTO</t>
  </si>
  <si>
    <t>+22 BB Alfrente de Misti</t>
  </si>
  <si>
    <t>DIA/NOCHE</t>
  </si>
  <si>
    <t>STOCK</t>
  </si>
  <si>
    <t>26 DE ANTES</t>
  </si>
  <si>
    <t>CEM.PORT.PUZ. IPX42.5KG YURA EXP. BRASIL</t>
  </si>
  <si>
    <t>FALTA AL ME</t>
  </si>
  <si>
    <t>CEM.PORTLAND IPx42.5KG YURA EXP.BRASIL</t>
  </si>
  <si>
    <t>+22 BB en Misti+8 en I+D</t>
  </si>
  <si>
    <t>HORAS MAQUINA</t>
  </si>
  <si>
    <t>RATIO ECS</t>
  </si>
  <si>
    <t>RATIO IDEAL</t>
  </si>
  <si>
    <t>VC</t>
  </si>
  <si>
    <t>CEMENTO YURA PRO EXPORT BRASIL x 42.5 kg</t>
  </si>
  <si>
    <t>Queda Tolva al 100%</t>
  </si>
  <si>
    <t>Queda Tolva al 81%</t>
  </si>
  <si>
    <t>Queda Tolva al 60%</t>
  </si>
  <si>
    <t>plan</t>
  </si>
  <si>
    <t>plan diciembre</t>
  </si>
  <si>
    <t>Queda Tolva al 0%</t>
  </si>
  <si>
    <t>Cemento gris interno</t>
  </si>
  <si>
    <t>Cemento gris externo</t>
  </si>
  <si>
    <t>Blanco</t>
  </si>
  <si>
    <t>Cemento Gris</t>
  </si>
  <si>
    <t>PLAN 2026</t>
  </si>
  <si>
    <t xml:space="preserve"> CEM YURA ESPECIAL  (HS) X 1.5 TON</t>
  </si>
  <si>
    <t>DESPACHO 6 A.M.</t>
  </si>
  <si>
    <t>Queda Tolva al 39%</t>
  </si>
  <si>
    <t>Queda Tolva al 95%</t>
  </si>
  <si>
    <t>EM.YURA ANTISALITRE MS BBx1.5TM INC.ENV</t>
  </si>
  <si>
    <t>2025vs2024</t>
  </si>
  <si>
    <t>TM EN SILOS</t>
  </si>
  <si>
    <t>TM PRODUCCIÓN DE H3</t>
  </si>
  <si>
    <t>2026vs2025</t>
  </si>
  <si>
    <t>Queda Tolva al 11%</t>
  </si>
  <si>
    <t>real</t>
  </si>
  <si>
    <t>MOLINO 7</t>
  </si>
  <si>
    <t>Sala electrica</t>
  </si>
  <si>
    <t>Queda Tolva al 97%</t>
  </si>
  <si>
    <t>Queda Tolva al 103%</t>
  </si>
  <si>
    <t>19 de ayer</t>
  </si>
  <si>
    <t>4100 25kg</t>
  </si>
  <si>
    <t>3900 42.5 kg 1 a.m.</t>
  </si>
  <si>
    <t>7 debe ser 8 cm</t>
  </si>
  <si>
    <t>Queda Tolva al 12%</t>
  </si>
  <si>
    <t>CHUCEADA</t>
  </si>
  <si>
    <t>DIA DEL MES</t>
  </si>
  <si>
    <t>Queda Tolva al 37% (26 TM)</t>
  </si>
  <si>
    <t>Sala elecTrica H5</t>
  </si>
  <si>
    <t>Sala eléctrica H5</t>
  </si>
  <si>
    <t xml:space="preserve">lunes </t>
  </si>
  <si>
    <t>bolsas</t>
  </si>
  <si>
    <t>25kg</t>
  </si>
  <si>
    <t>lunes y martes de BIGBAG CMENOT BLANCO</t>
  </si>
  <si>
    <t>CB 25 Kg. SOBOCE</t>
  </si>
  <si>
    <t>CEMENTO BLANCO SOBOCE/ESLINGAX72UND25K</t>
  </si>
  <si>
    <t>Febrero</t>
  </si>
  <si>
    <t>Queda Tolva al 73%</t>
  </si>
  <si>
    <t>Queda Tolva al 3%</t>
  </si>
  <si>
    <t>vamos</t>
  </si>
  <si>
    <t>CEM.ESP SC PROY AR TIPO (HE) GRANEL YURA</t>
  </si>
  <si>
    <t>Plan</t>
  </si>
  <si>
    <t>Vamos</t>
  </si>
  <si>
    <t>24 carros por encima de 3 horas</t>
  </si>
  <si>
    <t>Embolsado</t>
  </si>
  <si>
    <t>Emb + Tolvas</t>
  </si>
  <si>
    <t>Plan CB</t>
  </si>
  <si>
    <t>Queda Tolva al 78%</t>
  </si>
  <si>
    <t>Queda Tolva al 4%</t>
  </si>
  <si>
    <t>Queda Tolva al 52%</t>
  </si>
  <si>
    <t>Queda Tolva al 8%</t>
  </si>
  <si>
    <t>CEM.YURA ANTISALITRE MS BBx1.5TM INC. ENV</t>
  </si>
  <si>
    <t>Enero</t>
  </si>
  <si>
    <t>Marzo</t>
  </si>
  <si>
    <t>Sala eléctrica H3</t>
  </si>
  <si>
    <t>Sala eléctrica H2</t>
  </si>
  <si>
    <t>Sala eléctrica Silo 8</t>
  </si>
  <si>
    <t>Sala eléctrica Silo 7</t>
  </si>
  <si>
    <t>Sala eléctrica Silo 6</t>
  </si>
  <si>
    <t>ME 03</t>
  </si>
  <si>
    <t xml:space="preserve"> CEM.ESP SC PROY AR TIPO (HE) GRANEL YURA</t>
  </si>
  <si>
    <t>Abril</t>
  </si>
  <si>
    <t>M-J-V</t>
  </si>
  <si>
    <t>Queda Tolva al 83%</t>
  </si>
  <si>
    <t>Queda Tolva al 85%</t>
  </si>
  <si>
    <t>Queda Tolva al 86%</t>
  </si>
  <si>
    <t>Queda Tolva al 74%</t>
  </si>
  <si>
    <t>Queda Tolva al 88%</t>
  </si>
  <si>
    <t>Queda Tolva al 50%</t>
  </si>
  <si>
    <t>del 27 al 3/05</t>
  </si>
  <si>
    <t>25 Y 26/04</t>
  </si>
  <si>
    <t>Queda Tolva al 36%</t>
  </si>
  <si>
    <t>Queda Tolva al 6%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</si>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</sst>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0.000"/>
    <numFmt numFmtId="165" formatCode="#,##0.000"/>
    <numFmt numFmtId="166" formatCode="[$-F800]dddd\,\ mmmm\ dd\,\ yyyy"/>
    <numFmt numFmtId="167" formatCode="0.0%"/>
    <numFmt numFmtId="168" formatCode="0.00000000000"/>
    <numFmt numFmtId="169" formatCode="0.0"/>
    <numFmt numFmtId="170" formatCode="#,##0.0000000000"/>
    <numFmt numFmtId="171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</font>
    <font>
      <b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</font>
    <font>
      <b/>
      <u/>
      <sz val="10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66FF33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</cellStyleXfs>
  <cellXfs count="521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4" fillId="3" borderId="0" xfId="0" applyFont="1" applyFill="1" applyBorder="1" applyAlignment="1">
      <alignment vertical="center"/>
    </xf>
    <xf numFmtId="164" fontId="5" fillId="3" borderId="0" xfId="0" applyNumberFormat="1" applyFont="1" applyFill="1" applyBorder="1"/>
    <xf numFmtId="0" fontId="6" fillId="3" borderId="1" xfId="1" applyFont="1" applyFill="1" applyBorder="1" applyAlignment="1">
      <alignment horizontal="left" vertical="center"/>
    </xf>
    <xf numFmtId="165" fontId="6" fillId="3" borderId="1" xfId="1" applyNumberFormat="1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2" xfId="2" applyFont="1" applyFill="1" applyBorder="1" applyAlignment="1">
      <alignment horizontal="left" vertical="center"/>
    </xf>
    <xf numFmtId="0" fontId="4" fillId="3" borderId="3" xfId="2" applyFont="1" applyFill="1" applyBorder="1" applyAlignment="1">
      <alignment horizontal="left" vertical="center"/>
    </xf>
    <xf numFmtId="164" fontId="4" fillId="3" borderId="6" xfId="0" applyNumberFormat="1" applyFont="1" applyFill="1" applyBorder="1"/>
    <xf numFmtId="0" fontId="4" fillId="3" borderId="7" xfId="0" applyNumberFormat="1" applyFont="1" applyFill="1" applyBorder="1"/>
    <xf numFmtId="0" fontId="4" fillId="3" borderId="8" xfId="0" applyNumberFormat="1" applyFont="1" applyFill="1" applyBorder="1"/>
    <xf numFmtId="0" fontId="4" fillId="3" borderId="8" xfId="0" applyFont="1" applyFill="1" applyBorder="1" applyAlignment="1">
      <alignment vertical="center"/>
    </xf>
    <xf numFmtId="0" fontId="4" fillId="3" borderId="9" xfId="0" applyNumberFormat="1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/>
    <xf numFmtId="0" fontId="4" fillId="3" borderId="4" xfId="0" applyFont="1" applyFill="1" applyBorder="1" applyAlignment="1">
      <alignment horizontal="left"/>
    </xf>
    <xf numFmtId="0" fontId="4" fillId="5" borderId="6" xfId="0" applyNumberFormat="1" applyFont="1" applyFill="1" applyBorder="1"/>
    <xf numFmtId="164" fontId="4" fillId="5" borderId="6" xfId="0" applyNumberFormat="1" applyFont="1" applyFill="1" applyBorder="1"/>
    <xf numFmtId="164" fontId="4" fillId="6" borderId="10" xfId="0" applyNumberFormat="1" applyFont="1" applyFill="1" applyBorder="1"/>
    <xf numFmtId="164" fontId="4" fillId="6" borderId="6" xfId="0" applyNumberFormat="1" applyFont="1" applyFill="1" applyBorder="1" applyAlignment="1">
      <alignment vertical="center"/>
    </xf>
    <xf numFmtId="164" fontId="4" fillId="7" borderId="6" xfId="0" applyNumberFormat="1" applyFont="1" applyFill="1" applyBorder="1"/>
    <xf numFmtId="164" fontId="0" fillId="8" borderId="0" xfId="0" applyNumberFormat="1" applyFill="1"/>
    <xf numFmtId="164" fontId="4" fillId="9" borderId="6" xfId="0" applyNumberFormat="1" applyFont="1" applyFill="1" applyBorder="1"/>
    <xf numFmtId="0" fontId="4" fillId="9" borderId="6" xfId="0" applyNumberFormat="1" applyFont="1" applyFill="1" applyBorder="1"/>
    <xf numFmtId="164" fontId="0" fillId="6" borderId="5" xfId="0" applyNumberFormat="1" applyFill="1" applyBorder="1"/>
    <xf numFmtId="164" fontId="4" fillId="4" borderId="6" xfId="0" applyNumberFormat="1" applyFont="1" applyFill="1" applyBorder="1"/>
    <xf numFmtId="164" fontId="0" fillId="0" borderId="0" xfId="0" applyNumberFormat="1"/>
    <xf numFmtId="164" fontId="4" fillId="10" borderId="6" xfId="0" applyNumberFormat="1" applyFont="1" applyFill="1" applyBorder="1"/>
    <xf numFmtId="0" fontId="0" fillId="0" borderId="11" xfId="0" applyBorder="1"/>
    <xf numFmtId="164" fontId="0" fillId="6" borderId="6" xfId="0" applyNumberFormat="1" applyFill="1" applyBorder="1"/>
    <xf numFmtId="164" fontId="0" fillId="9" borderId="6" xfId="0" applyNumberFormat="1" applyFill="1" applyBorder="1"/>
    <xf numFmtId="164" fontId="0" fillId="7" borderId="6" xfId="0" applyNumberFormat="1" applyFill="1" applyBorder="1"/>
    <xf numFmtId="0" fontId="0" fillId="0" borderId="11" xfId="0" applyFill="1" applyBorder="1"/>
    <xf numFmtId="164" fontId="0" fillId="8" borderId="6" xfId="0" applyNumberFormat="1" applyFill="1" applyBorder="1"/>
    <xf numFmtId="0" fontId="0" fillId="0" borderId="12" xfId="0" applyFill="1" applyBorder="1"/>
    <xf numFmtId="164" fontId="0" fillId="10" borderId="13" xfId="0" applyNumberFormat="1" applyFill="1" applyBorder="1"/>
    <xf numFmtId="0" fontId="0" fillId="0" borderId="14" xfId="0" applyBorder="1"/>
    <xf numFmtId="164" fontId="4" fillId="5" borderId="15" xfId="0" applyNumberFormat="1" applyFont="1" applyFill="1" applyBorder="1"/>
    <xf numFmtId="0" fontId="3" fillId="0" borderId="16" xfId="0" applyFont="1" applyBorder="1"/>
    <xf numFmtId="0" fontId="3" fillId="0" borderId="17" xfId="0" applyFont="1" applyBorder="1"/>
    <xf numFmtId="1" fontId="6" fillId="3" borderId="18" xfId="1" applyNumberFormat="1" applyFont="1" applyFill="1" applyBorder="1" applyAlignment="1">
      <alignment horizontal="right" vertical="center"/>
    </xf>
    <xf numFmtId="164" fontId="6" fillId="3" borderId="19" xfId="1" applyNumberFormat="1" applyFont="1" applyFill="1" applyBorder="1" applyAlignment="1">
      <alignment horizontal="right" vertical="center"/>
    </xf>
    <xf numFmtId="0" fontId="4" fillId="3" borderId="4" xfId="2" applyFont="1" applyFill="1" applyBorder="1" applyAlignment="1">
      <alignment horizontal="right" vertical="center"/>
    </xf>
    <xf numFmtId="0" fontId="4" fillId="3" borderId="2" xfId="2" applyFont="1" applyFill="1" applyBorder="1" applyAlignment="1">
      <alignment horizontal="right" vertical="center"/>
    </xf>
    <xf numFmtId="164" fontId="6" fillId="3" borderId="4" xfId="0" applyNumberFormat="1" applyFont="1" applyFill="1" applyBorder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20" xfId="2" applyFont="1" applyFill="1" applyBorder="1" applyAlignment="1">
      <alignment horizontal="right" vertical="center"/>
    </xf>
    <xf numFmtId="0" fontId="4" fillId="3" borderId="21" xfId="2" applyFont="1" applyFill="1" applyBorder="1" applyAlignment="1">
      <alignment horizontal="right" vertical="center"/>
    </xf>
    <xf numFmtId="0" fontId="6" fillId="3" borderId="19" xfId="1" applyFont="1" applyFill="1" applyBorder="1" applyAlignment="1">
      <alignment horizontal="left" vertical="center"/>
    </xf>
    <xf numFmtId="4" fontId="4" fillId="3" borderId="0" xfId="0" applyNumberFormat="1" applyFont="1" applyFill="1" applyAlignment="1">
      <alignment vertical="center"/>
    </xf>
    <xf numFmtId="0" fontId="4" fillId="3" borderId="22" xfId="2" applyFont="1" applyFill="1" applyBorder="1" applyAlignment="1">
      <alignment horizontal="right" vertical="center"/>
    </xf>
    <xf numFmtId="0" fontId="4" fillId="3" borderId="3" xfId="2" applyFont="1" applyFill="1" applyBorder="1" applyAlignment="1">
      <alignment horizontal="right" vertical="center"/>
    </xf>
    <xf numFmtId="0" fontId="7" fillId="3" borderId="0" xfId="2" applyFont="1" applyFill="1" applyBorder="1" applyAlignment="1">
      <alignment horizontal="center" vertical="center"/>
    </xf>
    <xf numFmtId="9" fontId="4" fillId="3" borderId="0" xfId="3" applyFont="1" applyFill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14" fontId="9" fillId="3" borderId="5" xfId="0" applyNumberFormat="1" applyFont="1" applyFill="1" applyBorder="1" applyAlignment="1">
      <alignment vertical="center"/>
    </xf>
    <xf numFmtId="9" fontId="9" fillId="3" borderId="5" xfId="3" applyFont="1" applyFill="1" applyBorder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7" fontId="4" fillId="3" borderId="0" xfId="3" applyNumberFormat="1" applyFont="1" applyFill="1" applyAlignment="1">
      <alignment vertical="center"/>
    </xf>
    <xf numFmtId="164" fontId="6" fillId="3" borderId="5" xfId="0" applyNumberFormat="1" applyFont="1" applyFill="1" applyBorder="1" applyAlignment="1">
      <alignment vertical="center"/>
    </xf>
    <xf numFmtId="167" fontId="6" fillId="3" borderId="5" xfId="0" applyNumberFormat="1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4" fillId="3" borderId="23" xfId="0" applyFont="1" applyFill="1" applyBorder="1" applyAlignment="1">
      <alignment vertical="center"/>
    </xf>
    <xf numFmtId="1" fontId="4" fillId="3" borderId="0" xfId="0" applyNumberFormat="1" applyFont="1" applyFill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164" fontId="6" fillId="3" borderId="25" xfId="0" applyNumberFormat="1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9" fontId="4" fillId="3" borderId="0" xfId="3" applyFont="1" applyFill="1" applyAlignment="1">
      <alignment horizontal="left" vertical="center"/>
    </xf>
    <xf numFmtId="0" fontId="4" fillId="11" borderId="2" xfId="2" applyFont="1" applyFill="1" applyBorder="1" applyAlignment="1">
      <alignment horizontal="left" vertical="center"/>
    </xf>
    <xf numFmtId="0" fontId="4" fillId="11" borderId="21" xfId="2" applyFont="1" applyFill="1" applyBorder="1" applyAlignment="1">
      <alignment horizontal="right" vertical="center"/>
    </xf>
    <xf numFmtId="0" fontId="4" fillId="11" borderId="2" xfId="2" applyFont="1" applyFill="1" applyBorder="1" applyAlignment="1">
      <alignment horizontal="right" vertical="center"/>
    </xf>
    <xf numFmtId="9" fontId="4" fillId="11" borderId="0" xfId="3" applyFont="1" applyFill="1" applyAlignment="1">
      <alignment horizontal="left" vertical="center"/>
    </xf>
    <xf numFmtId="0" fontId="7" fillId="3" borderId="0" xfId="2" applyFont="1" applyFill="1" applyBorder="1" applyAlignment="1">
      <alignment horizontal="center" vertical="center"/>
    </xf>
    <xf numFmtId="0" fontId="11" fillId="3" borderId="5" xfId="4" applyFont="1" applyFill="1" applyBorder="1"/>
    <xf numFmtId="1" fontId="6" fillId="3" borderId="5" xfId="0" applyNumberFormat="1" applyFont="1" applyFill="1" applyBorder="1" applyAlignment="1">
      <alignment horizontal="center"/>
    </xf>
    <xf numFmtId="2" fontId="12" fillId="3" borderId="5" xfId="2" applyNumberFormat="1" applyFont="1" applyFill="1" applyBorder="1" applyAlignment="1">
      <alignment horizontal="center"/>
    </xf>
    <xf numFmtId="0" fontId="11" fillId="3" borderId="5" xfId="0" applyFont="1" applyFill="1" applyBorder="1" applyProtection="1">
      <protection locked="0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9" fontId="4" fillId="3" borderId="0" xfId="3" applyFont="1" applyFill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2" fontId="6" fillId="3" borderId="5" xfId="0" applyNumberFormat="1" applyFont="1" applyFill="1" applyBorder="1" applyAlignment="1">
      <alignment horizontal="center" vertical="center"/>
    </xf>
    <xf numFmtId="2" fontId="4" fillId="3" borderId="0" xfId="0" applyNumberFormat="1" applyFont="1" applyFill="1" applyAlignment="1">
      <alignment vertical="center"/>
    </xf>
    <xf numFmtId="167" fontId="4" fillId="3" borderId="0" xfId="3" applyNumberFormat="1" applyFont="1" applyFill="1" applyAlignment="1">
      <alignment horizontal="center" vertical="center"/>
    </xf>
    <xf numFmtId="10" fontId="6" fillId="3" borderId="5" xfId="3" applyNumberFormat="1" applyFont="1" applyFill="1" applyBorder="1" applyAlignment="1">
      <alignment horizontal="center" vertical="center"/>
    </xf>
    <xf numFmtId="9" fontId="4" fillId="12" borderId="0" xfId="3" applyFont="1" applyFill="1" applyAlignment="1">
      <alignment horizontal="left" vertical="center"/>
    </xf>
    <xf numFmtId="0" fontId="7" fillId="3" borderId="0" xfId="2" applyFont="1" applyFill="1" applyBorder="1" applyAlignment="1">
      <alignment horizontal="center" vertical="center"/>
    </xf>
    <xf numFmtId="0" fontId="4" fillId="13" borderId="2" xfId="2" applyFont="1" applyFill="1" applyBorder="1" applyAlignment="1">
      <alignment horizontal="left" vertical="center"/>
    </xf>
    <xf numFmtId="0" fontId="4" fillId="13" borderId="21" xfId="2" applyFont="1" applyFill="1" applyBorder="1" applyAlignment="1">
      <alignment horizontal="right" vertical="center"/>
    </xf>
    <xf numFmtId="0" fontId="4" fillId="13" borderId="2" xfId="2" applyFont="1" applyFill="1" applyBorder="1" applyAlignment="1">
      <alignment horizontal="right" vertical="center"/>
    </xf>
    <xf numFmtId="9" fontId="4" fillId="13" borderId="0" xfId="3" applyFont="1" applyFill="1" applyAlignment="1">
      <alignment horizontal="left" vertical="center"/>
    </xf>
    <xf numFmtId="0" fontId="13" fillId="13" borderId="5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1" fontId="4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9" fontId="4" fillId="14" borderId="0" xfId="3" applyFont="1" applyFill="1" applyAlignment="1">
      <alignment horizontal="left" vertical="center"/>
    </xf>
    <xf numFmtId="0" fontId="11" fillId="3" borderId="29" xfId="0" applyFont="1" applyFill="1" applyBorder="1" applyProtection="1">
      <protection locked="0"/>
    </xf>
    <xf numFmtId="1" fontId="6" fillId="3" borderId="2" xfId="0" applyNumberFormat="1" applyFont="1" applyFill="1" applyBorder="1" applyAlignment="1">
      <alignment horizontal="center"/>
    </xf>
    <xf numFmtId="2" fontId="12" fillId="3" borderId="30" xfId="2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1" fontId="4" fillId="3" borderId="0" xfId="0" applyNumberFormat="1" applyFont="1" applyFill="1" applyAlignment="1">
      <alignment horizontal="right" vertical="center"/>
    </xf>
    <xf numFmtId="0" fontId="7" fillId="3" borderId="0" xfId="2" applyFont="1" applyFill="1" applyBorder="1" applyAlignment="1">
      <alignment horizontal="center" vertical="center"/>
    </xf>
    <xf numFmtId="0" fontId="4" fillId="15" borderId="0" xfId="0" applyFont="1" applyFill="1" applyAlignment="1">
      <alignment vertical="center"/>
    </xf>
    <xf numFmtId="1" fontId="4" fillId="15" borderId="0" xfId="0" applyNumberFormat="1" applyFont="1" applyFill="1" applyAlignment="1">
      <alignment horizontal="right" vertical="center"/>
    </xf>
    <xf numFmtId="164" fontId="4" fillId="15" borderId="0" xfId="0" applyNumberFormat="1" applyFont="1" applyFill="1" applyAlignment="1">
      <alignment vertical="center"/>
    </xf>
    <xf numFmtId="9" fontId="4" fillId="15" borderId="0" xfId="3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" fontId="4" fillId="15" borderId="0" xfId="0" applyNumberFormat="1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4" fillId="16" borderId="2" xfId="2" applyFont="1" applyFill="1" applyBorder="1" applyAlignment="1">
      <alignment horizontal="left" vertical="center"/>
    </xf>
    <xf numFmtId="0" fontId="4" fillId="16" borderId="21" xfId="2" applyFont="1" applyFill="1" applyBorder="1" applyAlignment="1">
      <alignment horizontal="right" vertical="center"/>
    </xf>
    <xf numFmtId="0" fontId="4" fillId="16" borderId="2" xfId="2" applyFont="1" applyFill="1" applyBorder="1" applyAlignment="1">
      <alignment horizontal="right" vertical="center"/>
    </xf>
    <xf numFmtId="9" fontId="4" fillId="16" borderId="0" xfId="3" applyFont="1" applyFill="1" applyAlignment="1">
      <alignment horizontal="left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68" fontId="6" fillId="3" borderId="5" xfId="0" applyNumberFormat="1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" fontId="6" fillId="3" borderId="5" xfId="0" applyNumberFormat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vertical="center"/>
    </xf>
    <xf numFmtId="9" fontId="13" fillId="3" borderId="5" xfId="3" applyFont="1" applyFill="1" applyBorder="1" applyAlignment="1">
      <alignment horizontal="center" vertical="center"/>
    </xf>
    <xf numFmtId="2" fontId="9" fillId="3" borderId="5" xfId="0" applyNumberFormat="1" applyFont="1" applyFill="1" applyBorder="1" applyAlignment="1">
      <alignment vertical="center"/>
    </xf>
    <xf numFmtId="2" fontId="13" fillId="3" borderId="5" xfId="0" applyNumberFormat="1" applyFont="1" applyFill="1" applyBorder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16" fontId="0" fillId="3" borderId="5" xfId="0" applyNumberFormat="1" applyFont="1" applyFill="1" applyBorder="1" applyAlignment="1">
      <alignment horizontal="center"/>
    </xf>
    <xf numFmtId="1" fontId="4" fillId="15" borderId="5" xfId="0" applyNumberFormat="1" applyFont="1" applyFill="1" applyBorder="1" applyAlignment="1">
      <alignment horizontal="center"/>
    </xf>
    <xf numFmtId="0" fontId="0" fillId="15" borderId="5" xfId="0" applyFont="1" applyFill="1" applyBorder="1" applyAlignment="1">
      <alignment horizontal="center"/>
    </xf>
    <xf numFmtId="0" fontId="6" fillId="3" borderId="0" xfId="0" applyFont="1" applyFill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16" fillId="11" borderId="2" xfId="2" applyFont="1" applyFill="1" applyBorder="1" applyAlignment="1">
      <alignment horizontal="left" vertical="center"/>
    </xf>
    <xf numFmtId="0" fontId="16" fillId="11" borderId="21" xfId="2" applyFont="1" applyFill="1" applyBorder="1" applyAlignment="1">
      <alignment horizontal="right" vertical="center"/>
    </xf>
    <xf numFmtId="0" fontId="16" fillId="11" borderId="2" xfId="2" applyFont="1" applyFill="1" applyBorder="1" applyAlignment="1">
      <alignment horizontal="right" vertical="center"/>
    </xf>
    <xf numFmtId="9" fontId="16" fillId="11" borderId="0" xfId="3" applyFont="1" applyFill="1" applyAlignment="1">
      <alignment horizontal="left" vertical="center"/>
    </xf>
    <xf numFmtId="16" fontId="0" fillId="6" borderId="31" xfId="0" applyNumberFormat="1" applyFont="1" applyFill="1" applyBorder="1" applyAlignment="1">
      <alignment horizontal="center"/>
    </xf>
    <xf numFmtId="1" fontId="4" fillId="6" borderId="31" xfId="0" applyNumberFormat="1" applyFont="1" applyFill="1" applyBorder="1" applyAlignment="1">
      <alignment horizontal="center"/>
    </xf>
    <xf numFmtId="16" fontId="0" fillId="3" borderId="31" xfId="0" applyNumberFormat="1" applyFont="1" applyFill="1" applyBorder="1" applyAlignment="1">
      <alignment horizontal="center"/>
    </xf>
    <xf numFmtId="0" fontId="0" fillId="15" borderId="31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4" fillId="3" borderId="0" xfId="0" applyFont="1" applyFill="1"/>
    <xf numFmtId="0" fontId="4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4" fillId="3" borderId="0" xfId="0" applyFont="1" applyFill="1" applyBorder="1" applyAlignment="1">
      <alignment vertical="center"/>
    </xf>
    <xf numFmtId="164" fontId="5" fillId="3" borderId="0" xfId="0" applyNumberFormat="1" applyFont="1" applyFill="1" applyBorder="1"/>
    <xf numFmtId="0" fontId="6" fillId="3" borderId="1" xfId="1" applyFont="1" applyFill="1" applyBorder="1" applyAlignment="1">
      <alignment horizontal="left" vertical="center"/>
    </xf>
    <xf numFmtId="165" fontId="6" fillId="3" borderId="1" xfId="1" applyNumberFormat="1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2" xfId="2" applyFont="1" applyFill="1" applyBorder="1" applyAlignment="1">
      <alignment horizontal="left" vertical="center"/>
    </xf>
    <xf numFmtId="1" fontId="6" fillId="3" borderId="18" xfId="1" applyNumberFormat="1" applyFont="1" applyFill="1" applyBorder="1" applyAlignment="1">
      <alignment horizontal="right" vertical="center"/>
    </xf>
    <xf numFmtId="164" fontId="6" fillId="3" borderId="19" xfId="1" applyNumberFormat="1" applyFont="1" applyFill="1" applyBorder="1" applyAlignment="1">
      <alignment horizontal="right" vertical="center"/>
    </xf>
    <xf numFmtId="0" fontId="4" fillId="3" borderId="4" xfId="2" applyFont="1" applyFill="1" applyBorder="1" applyAlignment="1">
      <alignment horizontal="right" vertical="center"/>
    </xf>
    <xf numFmtId="0" fontId="4" fillId="3" borderId="2" xfId="2" applyFont="1" applyFill="1" applyBorder="1" applyAlignment="1">
      <alignment horizontal="right" vertical="center"/>
    </xf>
    <xf numFmtId="164" fontId="6" fillId="3" borderId="4" xfId="0" applyNumberFormat="1" applyFont="1" applyFill="1" applyBorder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20" xfId="2" applyFont="1" applyFill="1" applyBorder="1" applyAlignment="1">
      <alignment horizontal="right" vertical="center"/>
    </xf>
    <xf numFmtId="0" fontId="4" fillId="3" borderId="21" xfId="2" applyFont="1" applyFill="1" applyBorder="1" applyAlignment="1">
      <alignment horizontal="right" vertical="center"/>
    </xf>
    <xf numFmtId="0" fontId="6" fillId="3" borderId="19" xfId="1" applyFont="1" applyFill="1" applyBorder="1" applyAlignment="1">
      <alignment horizontal="left" vertical="center"/>
    </xf>
    <xf numFmtId="4" fontId="4" fillId="3" borderId="0" xfId="0" applyNumberFormat="1" applyFont="1" applyFill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69" fontId="6" fillId="3" borderId="5" xfId="0" applyNumberFormat="1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1" fontId="9" fillId="3" borderId="5" xfId="0" applyNumberFormat="1" applyFont="1" applyFill="1" applyBorder="1" applyAlignment="1">
      <alignment vertical="center"/>
    </xf>
    <xf numFmtId="9" fontId="4" fillId="17" borderId="0" xfId="3" applyFont="1" applyFill="1" applyAlignment="1">
      <alignment horizontal="left" vertical="center"/>
    </xf>
    <xf numFmtId="169" fontId="6" fillId="3" borderId="4" xfId="0" applyNumberFormat="1" applyFont="1" applyFill="1" applyBorder="1" applyAlignment="1">
      <alignment horizontal="center" vertical="center"/>
    </xf>
    <xf numFmtId="169" fontId="4" fillId="3" borderId="0" xfId="0" applyNumberFormat="1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4" fillId="3" borderId="21" xfId="0" applyFont="1" applyFill="1" applyBorder="1" applyAlignment="1">
      <alignment vertical="center"/>
    </xf>
    <xf numFmtId="1" fontId="4" fillId="3" borderId="21" xfId="0" applyNumberFormat="1" applyFont="1" applyFill="1" applyBorder="1" applyAlignment="1">
      <alignment vertical="center"/>
    </xf>
    <xf numFmtId="9" fontId="4" fillId="3" borderId="21" xfId="3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15" borderId="21" xfId="0" applyFont="1" applyFill="1" applyBorder="1" applyAlignment="1">
      <alignment vertical="center"/>
    </xf>
    <xf numFmtId="1" fontId="4" fillId="15" borderId="21" xfId="0" applyNumberFormat="1" applyFont="1" applyFill="1" applyBorder="1" applyAlignment="1">
      <alignment horizontal="right" vertical="center"/>
    </xf>
    <xf numFmtId="1" fontId="4" fillId="15" borderId="21" xfId="0" applyNumberFormat="1" applyFont="1" applyFill="1" applyBorder="1" applyAlignment="1">
      <alignment vertical="center"/>
    </xf>
    <xf numFmtId="9" fontId="4" fillId="15" borderId="21" xfId="3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vertical="center"/>
    </xf>
    <xf numFmtId="0" fontId="4" fillId="3" borderId="24" xfId="0" applyFont="1" applyFill="1" applyBorder="1" applyAlignment="1">
      <alignment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vertical="center"/>
    </xf>
    <xf numFmtId="0" fontId="4" fillId="3" borderId="33" xfId="0" applyFont="1" applyFill="1" applyBorder="1" applyAlignment="1">
      <alignment horizontal="center" vertical="center"/>
    </xf>
    <xf numFmtId="0" fontId="14" fillId="3" borderId="33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20" fillId="3" borderId="0" xfId="0" applyFont="1" applyFill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20" fillId="3" borderId="0" xfId="0" applyFont="1" applyFill="1" applyAlignment="1">
      <alignment horizontal="left" vertical="center"/>
    </xf>
    <xf numFmtId="0" fontId="7" fillId="3" borderId="0" xfId="2" applyFont="1" applyFill="1" applyBorder="1" applyAlignment="1">
      <alignment horizontal="center" vertical="center"/>
    </xf>
    <xf numFmtId="1" fontId="15" fillId="15" borderId="5" xfId="0" applyNumberFormat="1" applyFont="1" applyFill="1" applyBorder="1" applyAlignment="1">
      <alignment horizontal="center"/>
    </xf>
    <xf numFmtId="0" fontId="20" fillId="3" borderId="0" xfId="0" applyFont="1" applyFill="1" applyAlignment="1">
      <alignment horizontal="left" vertical="center" wrapText="1"/>
    </xf>
    <xf numFmtId="14" fontId="9" fillId="15" borderId="5" xfId="0" applyNumberFormat="1" applyFont="1" applyFill="1" applyBorder="1" applyAlignment="1">
      <alignment vertical="center"/>
    </xf>
    <xf numFmtId="0" fontId="9" fillId="15" borderId="5" xfId="0" applyFont="1" applyFill="1" applyBorder="1" applyAlignment="1">
      <alignment vertical="center"/>
    </xf>
    <xf numFmtId="0" fontId="20" fillId="3" borderId="0" xfId="0" quotePrefix="1" applyFont="1" applyFill="1" applyAlignment="1">
      <alignment horizontal="left" vertical="center"/>
    </xf>
    <xf numFmtId="1" fontId="20" fillId="3" borderId="0" xfId="0" applyNumberFormat="1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64" fontId="6" fillId="3" borderId="19" xfId="0" applyNumberFormat="1" applyFont="1" applyFill="1" applyBorder="1" applyAlignment="1">
      <alignment vertical="center"/>
    </xf>
    <xf numFmtId="16" fontId="0" fillId="3" borderId="0" xfId="0" applyNumberFormat="1" applyFill="1"/>
    <xf numFmtId="1" fontId="0" fillId="3" borderId="0" xfId="0" applyNumberFormat="1" applyFill="1"/>
    <xf numFmtId="0" fontId="20" fillId="3" borderId="0" xfId="0" quotePrefix="1" applyFont="1" applyFill="1" applyAlignment="1">
      <alignment horizontal="left" vertical="center" wrapText="1"/>
    </xf>
    <xf numFmtId="0" fontId="11" fillId="3" borderId="5" xfId="0" applyFont="1" applyFill="1" applyBorder="1" applyAlignment="1" applyProtection="1">
      <alignment vertical="center"/>
      <protection locked="0"/>
    </xf>
    <xf numFmtId="2" fontId="12" fillId="3" borderId="5" xfId="2" applyNumberFormat="1" applyFont="1" applyFill="1" applyBorder="1" applyAlignment="1">
      <alignment horizontal="center" vertical="center"/>
    </xf>
    <xf numFmtId="164" fontId="6" fillId="3" borderId="34" xfId="0" applyNumberFormat="1" applyFont="1" applyFill="1" applyBorder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9" fontId="4" fillId="3" borderId="0" xfId="3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" fontId="4" fillId="3" borderId="0" xfId="0" applyNumberFormat="1" applyFont="1" applyFill="1" applyAlignment="1">
      <alignment horizontal="left" vertical="center"/>
    </xf>
    <xf numFmtId="16" fontId="0" fillId="3" borderId="11" xfId="0" applyNumberFormat="1" applyFont="1" applyFill="1" applyBorder="1" applyAlignment="1">
      <alignment horizontal="center"/>
    </xf>
    <xf numFmtId="0" fontId="0" fillId="15" borderId="6" xfId="0" applyFont="1" applyFill="1" applyBorder="1" applyAlignment="1">
      <alignment horizont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9" fontId="4" fillId="0" borderId="0" xfId="3" applyFont="1" applyFill="1" applyAlignment="1">
      <alignment horizontal="left" vertical="center"/>
    </xf>
    <xf numFmtId="9" fontId="6" fillId="17" borderId="0" xfId="3" applyFont="1" applyFill="1" applyAlignment="1">
      <alignment horizontal="left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7" fontId="6" fillId="3" borderId="5" xfId="3" applyNumberFormat="1" applyFont="1" applyFill="1" applyBorder="1" applyAlignment="1">
      <alignment horizontal="center" vertical="center"/>
    </xf>
    <xf numFmtId="164" fontId="6" fillId="3" borderId="34" xfId="0" applyNumberFormat="1" applyFont="1" applyFill="1" applyBorder="1" applyAlignment="1">
      <alignment horizontal="center" vertical="center"/>
    </xf>
    <xf numFmtId="1" fontId="15" fillId="15" borderId="31" xfId="0" applyNumberFormat="1" applyFont="1" applyFill="1" applyBorder="1" applyAlignment="1">
      <alignment horizont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" fontId="6" fillId="3" borderId="34" xfId="0" applyNumberFormat="1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1" fontId="4" fillId="0" borderId="21" xfId="0" applyNumberFormat="1" applyFont="1" applyFill="1" applyBorder="1" applyAlignment="1">
      <alignment horizontal="right" vertical="center"/>
    </xf>
    <xf numFmtId="1" fontId="4" fillId="0" borderId="21" xfId="0" applyNumberFormat="1" applyFont="1" applyFill="1" applyBorder="1" applyAlignment="1">
      <alignment vertical="center"/>
    </xf>
    <xf numFmtId="9" fontId="4" fillId="0" borderId="21" xfId="3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6" fillId="3" borderId="34" xfId="1" applyFont="1" applyFill="1" applyBorder="1" applyAlignment="1">
      <alignment horizontal="left" vertical="center"/>
    </xf>
    <xf numFmtId="1" fontId="6" fillId="3" borderId="35" xfId="1" applyNumberFormat="1" applyFont="1" applyFill="1" applyBorder="1" applyAlignment="1">
      <alignment horizontal="right" vertical="center"/>
    </xf>
    <xf numFmtId="164" fontId="6" fillId="3" borderId="34" xfId="1" applyNumberFormat="1" applyFont="1" applyFill="1" applyBorder="1" applyAlignment="1">
      <alignment horizontal="right" vertical="center"/>
    </xf>
    <xf numFmtId="0" fontId="6" fillId="3" borderId="5" xfId="1" applyFont="1" applyFill="1" applyBorder="1" applyAlignment="1">
      <alignment horizontal="left" vertical="center"/>
    </xf>
    <xf numFmtId="165" fontId="6" fillId="3" borderId="5" xfId="1" applyNumberFormat="1" applyFont="1" applyFill="1" applyBorder="1" applyAlignment="1">
      <alignment horizontal="left" vertical="center"/>
    </xf>
    <xf numFmtId="1" fontId="9" fillId="3" borderId="31" xfId="0" applyNumberFormat="1" applyFont="1" applyFill="1" applyBorder="1" applyAlignment="1">
      <alignment vertical="center"/>
    </xf>
    <xf numFmtId="1" fontId="4" fillId="3" borderId="25" xfId="0" applyNumberFormat="1" applyFont="1" applyFill="1" applyBorder="1" applyAlignment="1">
      <alignment vertical="center"/>
    </xf>
    <xf numFmtId="167" fontId="4" fillId="3" borderId="25" xfId="3" applyNumberFormat="1" applyFont="1" applyFill="1" applyBorder="1" applyAlignment="1">
      <alignment horizontal="center" vertical="center"/>
    </xf>
    <xf numFmtId="1" fontId="4" fillId="3" borderId="25" xfId="0" applyNumberFormat="1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4" fontId="9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29" xfId="1" applyFont="1" applyFill="1" applyBorder="1" applyAlignment="1">
      <alignment horizontal="left" vertical="center"/>
    </xf>
    <xf numFmtId="165" fontId="4" fillId="3" borderId="29" xfId="1" applyNumberFormat="1" applyFont="1" applyFill="1" applyBorder="1" applyAlignment="1">
      <alignment horizontal="left" vertical="center"/>
    </xf>
    <xf numFmtId="164" fontId="6" fillId="3" borderId="2" xfId="0" applyNumberFormat="1" applyFont="1" applyFill="1" applyBorder="1" applyAlignment="1">
      <alignment vertical="center"/>
    </xf>
    <xf numFmtId="2" fontId="0" fillId="3" borderId="29" xfId="1" applyNumberFormat="1" applyFont="1" applyFill="1" applyBorder="1" applyAlignment="1">
      <alignment horizontal="right" vertical="center"/>
    </xf>
    <xf numFmtId="2" fontId="6" fillId="3" borderId="2" xfId="1" applyNumberFormat="1" applyFont="1" applyFill="1" applyBorder="1" applyAlignment="1">
      <alignment horizontal="right" vertical="center"/>
    </xf>
    <xf numFmtId="0" fontId="7" fillId="3" borderId="0" xfId="2" applyFont="1" applyFill="1" applyBorder="1" applyAlignment="1">
      <alignment horizontal="center" vertical="center"/>
    </xf>
    <xf numFmtId="1" fontId="7" fillId="18" borderId="19" xfId="0" applyNumberFormat="1" applyFont="1" applyFill="1" applyBorder="1" applyAlignment="1">
      <alignment horizontal="center" vertical="center"/>
    </xf>
    <xf numFmtId="167" fontId="21" fillId="18" borderId="36" xfId="3" applyNumberFormat="1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2" fontId="22" fillId="3" borderId="5" xfId="2" applyNumberFormat="1" applyFont="1" applyFill="1" applyBorder="1" applyAlignment="1">
      <alignment horizontal="center"/>
    </xf>
    <xf numFmtId="165" fontId="4" fillId="3" borderId="0" xfId="0" applyNumberFormat="1" applyFont="1" applyFill="1" applyAlignment="1">
      <alignment vertical="center"/>
    </xf>
    <xf numFmtId="0" fontId="11" fillId="3" borderId="29" xfId="0" applyFont="1" applyFill="1" applyBorder="1" applyAlignment="1">
      <alignment horizontal="left"/>
    </xf>
    <xf numFmtId="14" fontId="15" fillId="3" borderId="0" xfId="0" applyNumberFormat="1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3" fillId="19" borderId="37" xfId="0" applyFont="1" applyFill="1" applyBorder="1" applyAlignment="1">
      <alignment horizontal="center"/>
    </xf>
    <xf numFmtId="3" fontId="3" fillId="20" borderId="5" xfId="0" applyNumberFormat="1" applyFont="1" applyFill="1" applyBorder="1" applyAlignment="1">
      <alignment horizont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10" fontId="21" fillId="18" borderId="36" xfId="3" applyNumberFormat="1" applyFont="1" applyFill="1" applyBorder="1" applyAlignment="1">
      <alignment horizontal="center" vertical="center"/>
    </xf>
    <xf numFmtId="10" fontId="4" fillId="3" borderId="0" xfId="3" applyNumberFormat="1" applyFont="1" applyFill="1" applyAlignment="1">
      <alignment horizontal="center" vertical="center"/>
    </xf>
    <xf numFmtId="169" fontId="6" fillId="3" borderId="5" xfId="3" applyNumberFormat="1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7" fillId="3" borderId="0" xfId="2" applyFont="1" applyFill="1" applyBorder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4" fontId="15" fillId="3" borderId="24" xfId="0" applyNumberFormat="1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vertical="center"/>
    </xf>
    <xf numFmtId="0" fontId="4" fillId="3" borderId="25" xfId="0" applyFont="1" applyFill="1" applyBorder="1" applyAlignment="1">
      <alignment vertical="center"/>
    </xf>
    <xf numFmtId="0" fontId="9" fillId="3" borderId="26" xfId="0" applyFont="1" applyFill="1" applyBorder="1" applyAlignment="1">
      <alignment horizontal="left" vertical="center"/>
    </xf>
    <xf numFmtId="14" fontId="15" fillId="3" borderId="32" xfId="0" applyNumberFormat="1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vertical="center"/>
    </xf>
    <xf numFmtId="0" fontId="9" fillId="3" borderId="33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4" fontId="15" fillId="3" borderId="38" xfId="0" applyNumberFormat="1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vertical="center"/>
    </xf>
    <xf numFmtId="0" fontId="9" fillId="3" borderId="8" xfId="0" applyFont="1" applyFill="1" applyBorder="1" applyAlignment="1">
      <alignment horizontal="left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3" fontId="4" fillId="3" borderId="0" xfId="0" applyNumberFormat="1" applyFont="1" applyFill="1" applyAlignment="1">
      <alignment vertical="center"/>
    </xf>
    <xf numFmtId="170" fontId="4" fillId="3" borderId="0" xfId="0" applyNumberFormat="1" applyFont="1" applyFill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4" fontId="15" fillId="3" borderId="38" xfId="0" applyNumberFormat="1" applyFont="1" applyFill="1" applyBorder="1" applyAlignment="1">
      <alignment horizontal="left" vertical="center"/>
    </xf>
    <xf numFmtId="14" fontId="15" fillId="3" borderId="25" xfId="0" applyNumberFormat="1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left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vertical="center"/>
    </xf>
    <xf numFmtId="1" fontId="6" fillId="3" borderId="5" xfId="0" applyNumberFormat="1" applyFont="1" applyFill="1" applyBorder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71" fontId="0" fillId="0" borderId="0" xfId="5" applyNumberFormat="1" applyFont="1"/>
    <xf numFmtId="0" fontId="0" fillId="21" borderId="0" xfId="0" applyFill="1"/>
    <xf numFmtId="171" fontId="3" fillId="21" borderId="0" xfId="0" applyNumberFormat="1" applyFont="1" applyFill="1"/>
    <xf numFmtId="171" fontId="0" fillId="0" borderId="0" xfId="0" applyNumberFormat="1"/>
    <xf numFmtId="17" fontId="3" fillId="19" borderId="37" xfId="0" applyNumberFormat="1" applyFont="1" applyFill="1" applyBorder="1" applyAlignment="1">
      <alignment horizont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" fontId="6" fillId="3" borderId="0" xfId="0" applyNumberFormat="1" applyFont="1" applyFill="1" applyAlignment="1">
      <alignment vertical="center"/>
    </xf>
    <xf numFmtId="167" fontId="6" fillId="3" borderId="0" xfId="3" applyNumberFormat="1" applyFont="1" applyFill="1" applyAlignment="1">
      <alignment horizontal="center" vertical="center"/>
    </xf>
    <xf numFmtId="4" fontId="4" fillId="3" borderId="38" xfId="0" applyNumberFormat="1" applyFont="1" applyFill="1" applyBorder="1" applyAlignment="1">
      <alignment vertical="center"/>
    </xf>
    <xf numFmtId="1" fontId="6" fillId="3" borderId="21" xfId="0" applyNumberFormat="1" applyFont="1" applyFill="1" applyBorder="1" applyAlignment="1">
      <alignment vertical="center"/>
    </xf>
    <xf numFmtId="167" fontId="4" fillId="3" borderId="8" xfId="3" applyNumberFormat="1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9" fontId="4" fillId="3" borderId="0" xfId="0" applyNumberFormat="1" applyFont="1" applyFill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16" fontId="4" fillId="3" borderId="0" xfId="0" applyNumberFormat="1" applyFont="1" applyFill="1" applyAlignment="1">
      <alignment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right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167" fontId="4" fillId="3" borderId="39" xfId="3" applyNumberFormat="1" applyFont="1" applyFill="1" applyBorder="1" applyAlignment="1">
      <alignment horizontal="center" vertical="center"/>
    </xf>
    <xf numFmtId="3" fontId="4" fillId="3" borderId="36" xfId="0" applyNumberFormat="1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4" fontId="15" fillId="3" borderId="21" xfId="0" applyNumberFormat="1" applyFont="1" applyFill="1" applyBorder="1" applyAlignment="1">
      <alignment horizontal="left" vertical="center"/>
    </xf>
    <xf numFmtId="9" fontId="4" fillId="3" borderId="5" xfId="3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" fontId="4" fillId="3" borderId="21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1" fontId="24" fillId="0" borderId="0" xfId="0" applyNumberFormat="1" applyFont="1"/>
    <xf numFmtId="0" fontId="25" fillId="0" borderId="0" xfId="0" applyFont="1"/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7" fontId="9" fillId="3" borderId="0" xfId="3" applyNumberFormat="1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3" fontId="4" fillId="3" borderId="0" xfId="0" applyNumberFormat="1" applyFont="1" applyFill="1" applyAlignment="1">
      <alignment horizontal="left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9" fontId="4" fillId="3" borderId="0" xfId="0" applyNumberFormat="1" applyFont="1" applyFill="1" applyAlignment="1">
      <alignment horizontal="center" vertical="center"/>
    </xf>
    <xf numFmtId="9" fontId="10" fillId="3" borderId="0" xfId="0" applyNumberFormat="1" applyFont="1" applyFill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18" xfId="0" applyBorder="1"/>
    <xf numFmtId="0" fontId="0" fillId="0" borderId="39" xfId="0" applyBorder="1"/>
    <xf numFmtId="9" fontId="0" fillId="0" borderId="0" xfId="3" applyFont="1"/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3" fontId="0" fillId="0" borderId="0" xfId="0" applyNumberFormat="1"/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6" fontId="7" fillId="3" borderId="0" xfId="0" applyNumberFormat="1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6">
    <cellStyle name="Bueno" xfId="1" builtinId="26"/>
    <cellStyle name="Millares" xfId="5" builtinId="3"/>
    <cellStyle name="Normal" xfId="0" builtinId="0"/>
    <cellStyle name="Normal 2" xfId="2"/>
    <cellStyle name="Normal 4 2" xfId="4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calcChain" Target="calcChain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styles" Target="styles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51</xdr:row>
      <xdr:rowOff>9525</xdr:rowOff>
    </xdr:from>
    <xdr:to>
      <xdr:col>9</xdr:col>
      <xdr:colOff>29818</xdr:colOff>
      <xdr:row>58</xdr:row>
      <xdr:rowOff>95457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0029825"/>
          <a:ext cx="8907118" cy="14861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19</xdr:row>
      <xdr:rowOff>28575</xdr:rowOff>
    </xdr:from>
    <xdr:to>
      <xdr:col>7</xdr:col>
      <xdr:colOff>752810</xdr:colOff>
      <xdr:row>28</xdr:row>
      <xdr:rowOff>124074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0850" y="3714750"/>
          <a:ext cx="2400635" cy="17814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1228725</xdr:colOff>
      <xdr:row>18</xdr:row>
      <xdr:rowOff>142875</xdr:rowOff>
    </xdr:from>
    <xdr:to>
      <xdr:col>7</xdr:col>
      <xdr:colOff>447675</xdr:colOff>
      <xdr:row>27</xdr:row>
      <xdr:rowOff>36150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0" y="3638550"/>
          <a:ext cx="2133600" cy="1579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133351</xdr:colOff>
      <xdr:row>20</xdr:row>
      <xdr:rowOff>168536</xdr:rowOff>
    </xdr:from>
    <xdr:to>
      <xdr:col>7</xdr:col>
      <xdr:colOff>733426</xdr:colOff>
      <xdr:row>29</xdr:row>
      <xdr:rowOff>9774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451" y="4045211"/>
          <a:ext cx="2152650" cy="15271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21</xdr:row>
      <xdr:rowOff>183329</xdr:rowOff>
    </xdr:from>
    <xdr:to>
      <xdr:col>7</xdr:col>
      <xdr:colOff>0</xdr:colOff>
      <xdr:row>27</xdr:row>
      <xdr:rowOff>28829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3675" y="4250504"/>
          <a:ext cx="1352550" cy="1017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21</xdr:row>
      <xdr:rowOff>28575</xdr:rowOff>
    </xdr:from>
    <xdr:to>
      <xdr:col>6</xdr:col>
      <xdr:colOff>676275</xdr:colOff>
      <xdr:row>26</xdr:row>
      <xdr:rowOff>83625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950" y="4095750"/>
          <a:ext cx="1352550" cy="1017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7.bin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8.bin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19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20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66.bin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67.bin"/></Relationships>
</file>

<file path=xl/worksheets/_rels/sheet1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68.bin"/></Relationships>
</file>

<file path=xl/worksheets/_rels/sheet1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69.bin"/></Relationships>
</file>

<file path=xl/worksheets/_rels/sheet1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70.bin"/></Relationships>
</file>

<file path=xl/worksheets/_rels/sheet1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71.bin"/></Relationships>
</file>

<file path=xl/worksheets/_rels/sheet1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72.bin"/></Relationships>
</file>

<file path=xl/worksheets/_rels/sheet1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73.bin"/></Relationships>
</file>

<file path=xl/worksheets/_rels/sheet2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74.bin"/></Relationships>
</file>

<file path=xl/worksheets/_rels/sheet2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75.bin"/></Relationships>
</file>

<file path=xl/worksheets/_rels/sheet2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76.bin"/></Relationships>
</file>

<file path=xl/worksheets/_rels/sheet2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77.bin"/></Relationships>
</file>

<file path=xl/worksheets/_rels/sheet2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78.bin"/></Relationships>
</file>

<file path=xl/worksheets/_rels/sheet2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79.bin"/></Relationships>
</file>

<file path=xl/worksheets/_rels/sheet2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80.bin"/></Relationships>
</file>

<file path=xl/worksheets/_rels/sheet2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81.bin"/></Relationships>
</file>

<file path=xl/worksheets/_rels/sheet2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182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47"/>
  <sheetViews>
    <sheetView zoomScaleNormal="100" workbookViewId="0">
      <selection activeCell="E14" sqref="E14"/>
    </sheetView>
  </sheetViews>
  <sheetFormatPr baseColWidth="10" defaultColWidth="11.42578125" defaultRowHeight="15" customHeight="1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5" width="19.140625" style="2" customWidth="1"/>
    <col min="6" max="6" width="9.7109375" style="2" bestFit="1" customWidth="1"/>
    <col min="7" max="7" width="10.42578125" style="2" bestFit="1" customWidth="1"/>
    <col min="8" max="8" width="6.7109375" style="2" bestFit="1" customWidth="1"/>
    <col min="9" max="9" width="13.5703125" style="2" bestFit="1" customWidth="1"/>
    <col min="10" max="10" width="5.28515625" style="2" bestFit="1" customWidth="1"/>
    <col min="11" max="16384" width="11.42578125" style="2"/>
  </cols>
  <sheetData>
    <row r="1" spans="1:11" ht="15" customHeight="1" x14ac:dyDescent="0.25">
      <c r="A1" s="1"/>
      <c r="B1" s="518">
        <v>45795</v>
      </c>
      <c r="C1" s="518"/>
      <c r="D1" s="518"/>
      <c r="E1" s="61" t="s">
        <v>82</v>
      </c>
    </row>
    <row r="2" spans="1:11" ht="15" customHeight="1" x14ac:dyDescent="0.25">
      <c r="E2" s="62">
        <v>207588</v>
      </c>
    </row>
    <row r="3" spans="1:11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1" ht="19.5" customHeight="1" thickBot="1" x14ac:dyDescent="0.4">
      <c r="A4" s="4"/>
      <c r="B4" s="49"/>
      <c r="C4" s="49"/>
      <c r="D4" s="5">
        <f>D24</f>
        <v>4787.6100000000006</v>
      </c>
      <c r="F4" s="58" t="s">
        <v>51</v>
      </c>
      <c r="G4" s="59">
        <v>45789</v>
      </c>
      <c r="H4" s="58">
        <v>6679</v>
      </c>
      <c r="I4" s="58">
        <v>6034.43</v>
      </c>
      <c r="J4" s="60">
        <f>+I4/H4</f>
        <v>0.90349303787992219</v>
      </c>
    </row>
    <row r="5" spans="1:11" ht="15" customHeight="1" x14ac:dyDescent="0.25">
      <c r="A5" s="4"/>
      <c r="B5" s="8" t="s">
        <v>6</v>
      </c>
      <c r="C5" s="50">
        <v>760</v>
      </c>
      <c r="D5" s="46">
        <v>32.4</v>
      </c>
      <c r="E5" s="53"/>
      <c r="F5" s="58" t="s">
        <v>52</v>
      </c>
      <c r="G5" s="59">
        <v>45790</v>
      </c>
      <c r="H5" s="58">
        <v>8467</v>
      </c>
      <c r="I5" s="58">
        <v>8258.2199999999993</v>
      </c>
      <c r="J5" s="60">
        <f t="shared" ref="J5:J11" si="0">+I5/H5</f>
        <v>0.97534191567261119</v>
      </c>
    </row>
    <row r="6" spans="1:11" ht="15" customHeight="1" x14ac:dyDescent="0.25">
      <c r="A6" s="4"/>
      <c r="B6" s="9" t="s">
        <v>10</v>
      </c>
      <c r="C6" s="51">
        <v>13510</v>
      </c>
      <c r="D6" s="47">
        <v>577.03399999999999</v>
      </c>
      <c r="E6" s="53"/>
      <c r="F6" s="58" t="s">
        <v>53</v>
      </c>
      <c r="G6" s="59">
        <v>45791</v>
      </c>
      <c r="H6" s="58">
        <v>7756</v>
      </c>
      <c r="I6" s="58">
        <v>7996.87</v>
      </c>
      <c r="J6" s="60">
        <f t="shared" si="0"/>
        <v>1.0310559566787003</v>
      </c>
    </row>
    <row r="7" spans="1:11" ht="15" customHeight="1" x14ac:dyDescent="0.25">
      <c r="A7" s="4"/>
      <c r="B7" s="9" t="s">
        <v>35</v>
      </c>
      <c r="C7" s="51">
        <v>16090</v>
      </c>
      <c r="D7" s="47">
        <v>686.54</v>
      </c>
      <c r="E7" s="53"/>
      <c r="F7" s="58" t="s">
        <v>54</v>
      </c>
      <c r="G7" s="59">
        <v>45792</v>
      </c>
      <c r="H7" s="58">
        <v>6272</v>
      </c>
      <c r="I7" s="58">
        <v>7600.04</v>
      </c>
      <c r="J7" s="60">
        <f t="shared" si="0"/>
        <v>1.2117410714285715</v>
      </c>
    </row>
    <row r="8" spans="1:11" ht="15" customHeight="1" x14ac:dyDescent="0.25">
      <c r="A8" s="4"/>
      <c r="B8" s="9" t="s">
        <v>4</v>
      </c>
      <c r="C8" s="51">
        <v>1490</v>
      </c>
      <c r="D8" s="47">
        <v>63.54</v>
      </c>
      <c r="E8" s="53"/>
      <c r="F8" s="58" t="s">
        <v>55</v>
      </c>
      <c r="G8" s="59">
        <v>45793</v>
      </c>
      <c r="H8" s="58">
        <v>6051</v>
      </c>
      <c r="I8" s="58">
        <v>7593.12</v>
      </c>
      <c r="J8" s="60">
        <f t="shared" si="0"/>
        <v>1.254853743182945</v>
      </c>
    </row>
    <row r="9" spans="1:11" ht="15" customHeight="1" x14ac:dyDescent="0.25">
      <c r="A9" s="4"/>
      <c r="B9" s="9" t="s">
        <v>37</v>
      </c>
      <c r="C9" s="51">
        <v>15800</v>
      </c>
      <c r="D9" s="47">
        <v>674.72199999999998</v>
      </c>
      <c r="E9" s="53"/>
      <c r="F9" s="58" t="s">
        <v>56</v>
      </c>
      <c r="G9" s="59">
        <v>45794</v>
      </c>
      <c r="H9" s="58">
        <v>5851</v>
      </c>
      <c r="I9" s="58">
        <v>6283.62</v>
      </c>
      <c r="J9" s="60">
        <f t="shared" si="0"/>
        <v>1.0739394975217911</v>
      </c>
    </row>
    <row r="10" spans="1:11" ht="15" customHeight="1" x14ac:dyDescent="0.25">
      <c r="A10" s="4"/>
      <c r="B10" s="9" t="s">
        <v>38</v>
      </c>
      <c r="C10" s="51">
        <v>23248</v>
      </c>
      <c r="D10" s="47">
        <v>991.952</v>
      </c>
      <c r="E10" s="53"/>
      <c r="F10" s="58" t="s">
        <v>57</v>
      </c>
      <c r="G10" s="59">
        <v>45795</v>
      </c>
      <c r="H10" s="58">
        <v>3600</v>
      </c>
      <c r="I10" s="58">
        <v>4787.6100000000006</v>
      </c>
      <c r="J10" s="60">
        <f t="shared" si="0"/>
        <v>1.3298916666666669</v>
      </c>
    </row>
    <row r="11" spans="1:11" ht="15" customHeight="1" x14ac:dyDescent="0.25">
      <c r="A11" s="4"/>
      <c r="B11" s="9" t="s">
        <v>42</v>
      </c>
      <c r="C11" s="51">
        <v>6857</v>
      </c>
      <c r="D11" s="47">
        <v>292.47199999999998</v>
      </c>
      <c r="E11" s="53"/>
      <c r="H11" s="58">
        <f>+SUM(H4:H10)</f>
        <v>44676</v>
      </c>
      <c r="I11" s="58">
        <f>+SUM(I4:I10)</f>
        <v>48553.91</v>
      </c>
      <c r="J11" s="60">
        <f t="shared" si="0"/>
        <v>1.0868007431283015</v>
      </c>
    </row>
    <row r="12" spans="1:11" ht="15" customHeight="1" x14ac:dyDescent="0.25">
      <c r="A12" s="4"/>
      <c r="B12" s="9" t="s">
        <v>47</v>
      </c>
      <c r="C12" s="51">
        <v>5424</v>
      </c>
      <c r="D12" s="47">
        <v>137.30199999999999</v>
      </c>
      <c r="E12" s="53"/>
    </row>
    <row r="13" spans="1:11" ht="15" customHeight="1" x14ac:dyDescent="0.25">
      <c r="A13" s="4"/>
      <c r="B13" s="9" t="s">
        <v>50</v>
      </c>
      <c r="C13" s="51">
        <v>1224</v>
      </c>
      <c r="D13" s="47">
        <v>30.818000000000001</v>
      </c>
      <c r="E13" s="53"/>
    </row>
    <row r="14" spans="1:11" ht="15" customHeight="1" x14ac:dyDescent="0.25">
      <c r="A14" s="4"/>
      <c r="B14" s="9" t="s">
        <v>44</v>
      </c>
      <c r="C14" s="51">
        <v>41</v>
      </c>
      <c r="D14" s="47">
        <v>61.9</v>
      </c>
      <c r="E14" s="53"/>
    </row>
    <row r="15" spans="1:11" ht="15" customHeight="1" x14ac:dyDescent="0.25">
      <c r="A15" s="4"/>
      <c r="B15" s="9" t="s">
        <v>39</v>
      </c>
      <c r="C15" s="51">
        <v>193</v>
      </c>
      <c r="D15" s="47">
        <v>291.83999999999997</v>
      </c>
      <c r="E15" s="53"/>
    </row>
    <row r="16" spans="1:11" ht="15" customHeight="1" x14ac:dyDescent="0.25">
      <c r="A16" s="4"/>
      <c r="B16" s="9" t="s">
        <v>43</v>
      </c>
      <c r="C16" s="51">
        <v>68</v>
      </c>
      <c r="D16" s="47">
        <v>102.83</v>
      </c>
      <c r="E16" s="53"/>
      <c r="I16" s="2">
        <f>+E2*2%</f>
        <v>4151.76</v>
      </c>
      <c r="K16" s="2">
        <f>+I16/1.5</f>
        <v>2767.84</v>
      </c>
    </row>
    <row r="17" spans="1:7" ht="15" customHeight="1" x14ac:dyDescent="0.25">
      <c r="A17" s="4"/>
      <c r="B17" s="9" t="s">
        <v>45</v>
      </c>
      <c r="C17" s="51"/>
      <c r="D17" s="47"/>
      <c r="E17" s="53"/>
    </row>
    <row r="18" spans="1:7" ht="15" customHeight="1" x14ac:dyDescent="0.25">
      <c r="A18" s="4"/>
      <c r="B18" s="9" t="s">
        <v>41</v>
      </c>
      <c r="C18" s="51">
        <v>130</v>
      </c>
      <c r="D18" s="47">
        <v>195.29</v>
      </c>
      <c r="E18" s="53"/>
    </row>
    <row r="19" spans="1:7" ht="15" customHeight="1" x14ac:dyDescent="0.25">
      <c r="A19" s="4"/>
      <c r="B19" s="9" t="s">
        <v>49</v>
      </c>
      <c r="C19" s="51">
        <v>107</v>
      </c>
      <c r="D19" s="47">
        <v>160.71</v>
      </c>
      <c r="E19" s="93">
        <f>+C19/D4</f>
        <v>2.2349355941691153E-2</v>
      </c>
    </row>
    <row r="20" spans="1:7" ht="15" customHeight="1" x14ac:dyDescent="0.25">
      <c r="A20" s="4"/>
      <c r="B20" s="9" t="s">
        <v>48</v>
      </c>
      <c r="C20" s="51"/>
      <c r="D20" s="47"/>
      <c r="E20" s="53"/>
    </row>
    <row r="21" spans="1:7" ht="15" customHeight="1" x14ac:dyDescent="0.25">
      <c r="A21" s="4"/>
      <c r="B21" s="9" t="s">
        <v>40</v>
      </c>
      <c r="C21" s="51"/>
      <c r="D21" s="47">
        <v>336.18</v>
      </c>
      <c r="E21" s="53"/>
    </row>
    <row r="22" spans="1:7" ht="15" customHeight="1" x14ac:dyDescent="0.25">
      <c r="A22" s="4"/>
      <c r="B22" s="9" t="s">
        <v>9</v>
      </c>
      <c r="C22" s="51"/>
      <c r="D22" s="47">
        <v>152.08000000000001</v>
      </c>
      <c r="E22" s="53"/>
    </row>
    <row r="23" spans="1:7" ht="15" customHeight="1" thickBot="1" x14ac:dyDescent="0.3">
      <c r="A23" s="4"/>
      <c r="B23" s="10" t="s">
        <v>46</v>
      </c>
      <c r="C23" s="54"/>
      <c r="D23" s="55"/>
      <c r="E23" s="53"/>
    </row>
    <row r="24" spans="1:7" ht="15" customHeight="1" thickBot="1" x14ac:dyDescent="0.3">
      <c r="B24" s="52" t="s">
        <v>0</v>
      </c>
      <c r="C24" s="44"/>
      <c r="D24" s="45">
        <f>SUM(D5:D23)</f>
        <v>4787.6100000000006</v>
      </c>
      <c r="E24" s="53"/>
    </row>
    <row r="25" spans="1:7" ht="15" customHeight="1" x14ac:dyDescent="0.25">
      <c r="B25" s="6" t="s">
        <v>1</v>
      </c>
      <c r="C25" s="7"/>
      <c r="D25" s="48">
        <v>117383.132</v>
      </c>
      <c r="E25" s="63">
        <f>+D25/E2</f>
        <v>0.56546203056053335</v>
      </c>
      <c r="F25" s="3"/>
    </row>
    <row r="26" spans="1:7" ht="15" customHeight="1" x14ac:dyDescent="0.25">
      <c r="D26" s="3">
        <f>+(E2/31)*18</f>
        <v>120534.96774193548</v>
      </c>
      <c r="E26" s="63">
        <f>+D26/E2</f>
        <v>0.58064516129032262</v>
      </c>
    </row>
    <row r="27" spans="1:7" ht="15" customHeight="1" x14ac:dyDescent="0.25">
      <c r="D27" s="64">
        <f>+D25-D26</f>
        <v>-3151.835741935487</v>
      </c>
      <c r="E27" s="65">
        <f>+E25-E26</f>
        <v>-1.5183130729789274E-2</v>
      </c>
    </row>
    <row r="28" spans="1:7" ht="15" customHeight="1" x14ac:dyDescent="0.25">
      <c r="G28" s="3"/>
    </row>
    <row r="29" spans="1:7" ht="15" customHeight="1" x14ac:dyDescent="0.25">
      <c r="B29" s="66" t="s">
        <v>60</v>
      </c>
      <c r="G29" s="3"/>
    </row>
    <row r="30" spans="1:7" ht="15" customHeight="1" x14ac:dyDescent="0.25">
      <c r="B30" s="2" t="s">
        <v>61</v>
      </c>
      <c r="C30" s="2">
        <v>865</v>
      </c>
    </row>
    <row r="31" spans="1:7" ht="15" customHeight="1" x14ac:dyDescent="0.25">
      <c r="B31" s="2" t="s">
        <v>62</v>
      </c>
      <c r="C31" s="2">
        <v>1618</v>
      </c>
      <c r="D31" s="3" t="s">
        <v>64</v>
      </c>
      <c r="E31" s="2">
        <v>13159</v>
      </c>
      <c r="F31" s="2">
        <v>328.97500000000002</v>
      </c>
    </row>
    <row r="32" spans="1:7" ht="15" customHeight="1" x14ac:dyDescent="0.25">
      <c r="B32" s="2" t="s">
        <v>63</v>
      </c>
      <c r="C32" s="67">
        <v>947</v>
      </c>
      <c r="D32" s="3" t="s">
        <v>65</v>
      </c>
      <c r="E32" s="2">
        <v>208</v>
      </c>
      <c r="F32" s="2">
        <v>312</v>
      </c>
    </row>
    <row r="33" spans="1:5" ht="15" customHeight="1" x14ac:dyDescent="0.25">
      <c r="C33" s="2">
        <f>+SUM(C30:C32)</f>
        <v>3430</v>
      </c>
    </row>
    <row r="35" spans="1:5" ht="15" customHeight="1" x14ac:dyDescent="0.25">
      <c r="B35" s="2" t="s">
        <v>66</v>
      </c>
      <c r="D35" s="2"/>
    </row>
    <row r="36" spans="1:5" ht="15" customHeight="1" x14ac:dyDescent="0.25">
      <c r="B36" s="2" t="s">
        <v>67</v>
      </c>
      <c r="C36" s="2" t="s">
        <v>68</v>
      </c>
      <c r="D36" s="3" t="s">
        <v>69</v>
      </c>
      <c r="E36" s="2" t="s">
        <v>33</v>
      </c>
    </row>
    <row r="37" spans="1:5" ht="15" customHeight="1" x14ac:dyDescent="0.25">
      <c r="B37" s="2">
        <v>2</v>
      </c>
      <c r="C37" s="2">
        <v>2</v>
      </c>
      <c r="D37" s="2">
        <v>10</v>
      </c>
      <c r="E37" s="2">
        <f>+SUM(B37:D37)</f>
        <v>14</v>
      </c>
    </row>
    <row r="39" spans="1:5" ht="15" customHeight="1" x14ac:dyDescent="0.25">
      <c r="A39" s="2" t="s">
        <v>70</v>
      </c>
      <c r="E39" s="66" t="s">
        <v>76</v>
      </c>
    </row>
    <row r="40" spans="1:5" ht="15" customHeight="1" x14ac:dyDescent="0.25">
      <c r="A40" s="2" t="s">
        <v>71</v>
      </c>
      <c r="B40" s="2">
        <v>4.33</v>
      </c>
      <c r="C40" s="2">
        <v>2374</v>
      </c>
      <c r="D40" s="68">
        <v>3600</v>
      </c>
      <c r="E40" s="57">
        <f>+C40/D40</f>
        <v>0.6594444444444445</v>
      </c>
    </row>
    <row r="41" spans="1:5" ht="15" customHeight="1" x14ac:dyDescent="0.25">
      <c r="A41" s="2" t="s">
        <v>72</v>
      </c>
      <c r="B41" s="2">
        <v>7.52</v>
      </c>
      <c r="C41" s="2">
        <v>2898</v>
      </c>
      <c r="D41" s="68">
        <v>3600</v>
      </c>
      <c r="E41" s="57">
        <f>+C41/D41</f>
        <v>0.80500000000000005</v>
      </c>
    </row>
    <row r="42" spans="1:5" ht="15" customHeight="1" x14ac:dyDescent="0.25">
      <c r="A42" s="2" t="s">
        <v>73</v>
      </c>
      <c r="B42" s="2">
        <v>10.34</v>
      </c>
      <c r="C42" s="2">
        <v>2273</v>
      </c>
      <c r="D42" s="68">
        <v>3900</v>
      </c>
      <c r="E42" s="57">
        <f>+C42/D42</f>
        <v>0.58282051282051284</v>
      </c>
    </row>
    <row r="43" spans="1:5" ht="15" customHeight="1" x14ac:dyDescent="0.25">
      <c r="A43" s="2" t="s">
        <v>74</v>
      </c>
      <c r="B43" s="2">
        <v>8.57</v>
      </c>
      <c r="C43" s="2">
        <v>3029</v>
      </c>
      <c r="D43" s="68">
        <v>3900</v>
      </c>
      <c r="E43" s="57">
        <f>+C43/D43</f>
        <v>0.77666666666666662</v>
      </c>
    </row>
    <row r="44" spans="1:5" ht="15" customHeight="1" x14ac:dyDescent="0.25">
      <c r="A44" s="2" t="s">
        <v>75</v>
      </c>
      <c r="B44" s="2" t="s">
        <v>77</v>
      </c>
    </row>
    <row r="45" spans="1:5" ht="15" customHeight="1" x14ac:dyDescent="0.25">
      <c r="D45" s="3" t="s">
        <v>79</v>
      </c>
    </row>
    <row r="46" spans="1:5" ht="15" customHeight="1" x14ac:dyDescent="0.25">
      <c r="B46" s="2" t="s">
        <v>78</v>
      </c>
      <c r="C46" s="2">
        <v>4</v>
      </c>
      <c r="D46" s="3">
        <v>5</v>
      </c>
    </row>
    <row r="47" spans="1:5" ht="15" customHeight="1" x14ac:dyDescent="0.25">
      <c r="C47" s="2">
        <v>6</v>
      </c>
      <c r="D47" s="3">
        <v>9</v>
      </c>
    </row>
  </sheetData>
  <mergeCells count="2">
    <mergeCell ref="B1:D1"/>
    <mergeCell ref="B3:D3"/>
  </mergeCells>
  <pageMargins left="0" right="0" top="0.74803149606299213" bottom="0" header="0.31496062992125984" footer="0.31496062992125984"/>
  <pageSetup paperSize="9"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A19" sqref="A19:XFD19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5" width="15" style="2" bestFit="1" customWidth="1"/>
    <col min="6" max="7" width="11.42578125" style="2"/>
    <col min="8" max="8" width="6.28515625" style="2" bestFit="1" customWidth="1"/>
    <col min="9" max="9" width="9" style="2" bestFit="1" customWidth="1"/>
    <col min="10" max="10" width="4.28515625" style="2" bestFit="1" customWidth="1"/>
    <col min="11" max="16384" width="11.42578125" style="2"/>
  </cols>
  <sheetData>
    <row r="1" spans="1:10" ht="15" customHeight="1" x14ac:dyDescent="0.25">
      <c r="A1" s="1"/>
      <c r="B1" s="518">
        <v>45796</v>
      </c>
      <c r="C1" s="518"/>
      <c r="D1" s="518"/>
      <c r="E1" s="61" t="s">
        <v>82</v>
      </c>
    </row>
    <row r="2" spans="1:10" x14ac:dyDescent="0.25">
      <c r="E2" s="62">
        <v>207588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56"/>
      <c r="C4" s="56"/>
      <c r="D4" s="5">
        <f>D24</f>
        <v>6031.438000000001</v>
      </c>
      <c r="F4" s="58" t="s">
        <v>51</v>
      </c>
      <c r="G4" s="59">
        <v>45796</v>
      </c>
      <c r="H4" s="58">
        <v>6179</v>
      </c>
      <c r="I4" s="58">
        <v>6031.438000000001</v>
      </c>
      <c r="J4" s="60">
        <f>+I4/H4</f>
        <v>0.97611878944813091</v>
      </c>
    </row>
    <row r="5" spans="1:10" ht="15" customHeight="1" x14ac:dyDescent="0.25">
      <c r="A5" s="4"/>
      <c r="B5" s="8" t="s">
        <v>6</v>
      </c>
      <c r="C5" s="50">
        <v>3005</v>
      </c>
      <c r="D5" s="46">
        <v>128.16</v>
      </c>
      <c r="E5" s="80">
        <f>+D5/$D$4</f>
        <v>2.1248664083092617E-2</v>
      </c>
      <c r="F5" s="58" t="s">
        <v>52</v>
      </c>
      <c r="G5" s="59">
        <v>45797</v>
      </c>
      <c r="H5" s="58">
        <v>8374</v>
      </c>
      <c r="I5" s="58"/>
      <c r="J5" s="60">
        <f t="shared" ref="J5:J11" si="0">+I5/H5</f>
        <v>0</v>
      </c>
    </row>
    <row r="6" spans="1:10" ht="15" customHeight="1" x14ac:dyDescent="0.25">
      <c r="A6" s="4"/>
      <c r="B6" s="9" t="s">
        <v>10</v>
      </c>
      <c r="C6" s="51">
        <v>15578</v>
      </c>
      <c r="D6" s="47">
        <v>665.80399999999997</v>
      </c>
      <c r="E6" s="80">
        <f t="shared" ref="E6:E23" si="1">+D6/$D$4</f>
        <v>0.11038893212530741</v>
      </c>
      <c r="F6" s="58" t="s">
        <v>53</v>
      </c>
      <c r="G6" s="59">
        <v>45798</v>
      </c>
      <c r="H6" s="58">
        <v>7620</v>
      </c>
      <c r="I6" s="58"/>
      <c r="J6" s="60">
        <f t="shared" si="0"/>
        <v>0</v>
      </c>
    </row>
    <row r="7" spans="1:10" ht="15" customHeight="1" x14ac:dyDescent="0.25">
      <c r="A7" s="4"/>
      <c r="B7" s="9" t="s">
        <v>35</v>
      </c>
      <c r="C7" s="51">
        <v>10908</v>
      </c>
      <c r="D7" s="47">
        <v>464.97</v>
      </c>
      <c r="E7" s="80">
        <f t="shared" si="1"/>
        <v>7.7091068498092816E-2</v>
      </c>
      <c r="F7" s="58" t="s">
        <v>54</v>
      </c>
      <c r="G7" s="59">
        <v>45799</v>
      </c>
      <c r="H7" s="58">
        <v>7440</v>
      </c>
      <c r="I7" s="58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2028</v>
      </c>
      <c r="D8" s="47">
        <v>86.528999999999996</v>
      </c>
      <c r="E8" s="80">
        <f t="shared" si="1"/>
        <v>1.4346330012842705E-2</v>
      </c>
      <c r="F8" s="58" t="s">
        <v>55</v>
      </c>
      <c r="G8" s="59">
        <v>45800</v>
      </c>
      <c r="H8" s="58">
        <v>7740</v>
      </c>
      <c r="I8" s="58"/>
      <c r="J8" s="60">
        <f t="shared" si="0"/>
        <v>0</v>
      </c>
    </row>
    <row r="9" spans="1:10" ht="15" customHeight="1" x14ac:dyDescent="0.25">
      <c r="A9" s="4"/>
      <c r="B9" s="81" t="s">
        <v>37</v>
      </c>
      <c r="C9" s="82">
        <v>21737</v>
      </c>
      <c r="D9" s="83">
        <v>928.71400000000006</v>
      </c>
      <c r="E9" s="84">
        <f t="shared" si="1"/>
        <v>0.15397886872085892</v>
      </c>
      <c r="F9" s="58" t="s">
        <v>56</v>
      </c>
      <c r="G9" s="59">
        <v>45801</v>
      </c>
      <c r="H9" s="58">
        <v>6194</v>
      </c>
      <c r="I9" s="58"/>
      <c r="J9" s="60">
        <f t="shared" si="0"/>
        <v>0</v>
      </c>
    </row>
    <row r="10" spans="1:10" ht="15" customHeight="1" x14ac:dyDescent="0.25">
      <c r="A10" s="4"/>
      <c r="B10" s="81" t="s">
        <v>38</v>
      </c>
      <c r="C10" s="82">
        <v>33794</v>
      </c>
      <c r="D10" s="83">
        <v>1441.1769999999999</v>
      </c>
      <c r="E10" s="84">
        <f t="shared" si="1"/>
        <v>0.23894417881772137</v>
      </c>
      <c r="F10" s="58" t="s">
        <v>57</v>
      </c>
      <c r="G10" s="59">
        <v>45802</v>
      </c>
      <c r="H10" s="58">
        <v>4327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7647</v>
      </c>
      <c r="D11" s="47">
        <v>326.274</v>
      </c>
      <c r="E11" s="80">
        <f t="shared" si="1"/>
        <v>5.4095557311539956E-2</v>
      </c>
      <c r="H11" s="58">
        <f>+SUM(H4:H10)</f>
        <v>47874</v>
      </c>
      <c r="I11" s="58">
        <f>+SUM(I4:I10)</f>
        <v>6031.438000000001</v>
      </c>
      <c r="J11" s="60">
        <f t="shared" si="0"/>
        <v>0.12598567071897065</v>
      </c>
    </row>
    <row r="12" spans="1:10" ht="15" customHeight="1" x14ac:dyDescent="0.25">
      <c r="A12" s="4"/>
      <c r="B12" s="9" t="s">
        <v>81</v>
      </c>
      <c r="C12" s="51">
        <v>1620</v>
      </c>
      <c r="D12" s="47">
        <v>69.06</v>
      </c>
      <c r="E12" s="80">
        <f t="shared" si="1"/>
        <v>1.145000578634813E-2</v>
      </c>
    </row>
    <row r="13" spans="1:10" ht="15" customHeight="1" x14ac:dyDescent="0.25">
      <c r="A13" s="4"/>
      <c r="B13" s="9" t="s">
        <v>50</v>
      </c>
      <c r="C13" s="51"/>
      <c r="D13" s="47"/>
      <c r="E13" s="80">
        <f t="shared" si="1"/>
        <v>0</v>
      </c>
    </row>
    <row r="14" spans="1:10" ht="15" customHeight="1" x14ac:dyDescent="0.25">
      <c r="A14" s="4"/>
      <c r="B14" s="9" t="s">
        <v>44</v>
      </c>
      <c r="C14" s="51">
        <v>22</v>
      </c>
      <c r="D14" s="47">
        <v>33.21</v>
      </c>
      <c r="E14" s="80">
        <f t="shared" si="1"/>
        <v>5.5061496114193658E-3</v>
      </c>
    </row>
    <row r="15" spans="1:10" ht="15" customHeight="1" x14ac:dyDescent="0.25">
      <c r="A15" s="4"/>
      <c r="B15" s="9" t="s">
        <v>39</v>
      </c>
      <c r="C15" s="51">
        <v>377</v>
      </c>
      <c r="D15" s="47">
        <v>569.08000000000004</v>
      </c>
      <c r="E15" s="80">
        <f t="shared" si="1"/>
        <v>9.4352292106791108E-2</v>
      </c>
    </row>
    <row r="16" spans="1:10" ht="15" customHeight="1" x14ac:dyDescent="0.25">
      <c r="A16" s="4"/>
      <c r="B16" s="9" t="s">
        <v>43</v>
      </c>
      <c r="C16" s="51">
        <v>226</v>
      </c>
      <c r="D16" s="47">
        <v>341.01</v>
      </c>
      <c r="E16" s="80">
        <f t="shared" si="1"/>
        <v>5.6538755766037875E-2</v>
      </c>
    </row>
    <row r="17" spans="1:7" ht="15" customHeight="1" x14ac:dyDescent="0.25">
      <c r="A17" s="4"/>
      <c r="B17" s="9" t="s">
        <v>45</v>
      </c>
      <c r="C17" s="51">
        <v>22</v>
      </c>
      <c r="D17" s="47">
        <v>33.06</v>
      </c>
      <c r="E17" s="80">
        <f t="shared" si="1"/>
        <v>5.4812799203108773E-3</v>
      </c>
    </row>
    <row r="18" spans="1:7" ht="15" customHeight="1" x14ac:dyDescent="0.25">
      <c r="A18" s="4"/>
      <c r="B18" s="9" t="s">
        <v>41</v>
      </c>
      <c r="C18" s="51">
        <v>265</v>
      </c>
      <c r="D18" s="47">
        <v>397.99</v>
      </c>
      <c r="E18" s="80">
        <f t="shared" si="1"/>
        <v>6.5985922428449056E-2</v>
      </c>
    </row>
    <row r="19" spans="1:7" ht="15" customHeight="1" x14ac:dyDescent="0.25">
      <c r="A19" s="4"/>
      <c r="B19" s="9" t="s">
        <v>49</v>
      </c>
      <c r="C19" s="51">
        <v>21</v>
      </c>
      <c r="D19" s="47">
        <v>31.55</v>
      </c>
      <c r="E19" s="80">
        <f t="shared" si="1"/>
        <v>5.2309250298187586E-3</v>
      </c>
    </row>
    <row r="20" spans="1:7" ht="15" customHeight="1" x14ac:dyDescent="0.25">
      <c r="A20" s="4"/>
      <c r="B20" s="9" t="s">
        <v>48</v>
      </c>
      <c r="C20" s="51"/>
      <c r="D20" s="47">
        <v>30</v>
      </c>
      <c r="E20" s="80">
        <f t="shared" si="1"/>
        <v>4.9739382216977103E-3</v>
      </c>
    </row>
    <row r="21" spans="1:7" ht="15" customHeight="1" x14ac:dyDescent="0.25">
      <c r="A21" s="4"/>
      <c r="B21" s="9" t="s">
        <v>40</v>
      </c>
      <c r="C21" s="51"/>
      <c r="D21" s="47">
        <v>364.88</v>
      </c>
      <c r="E21" s="80">
        <f t="shared" si="1"/>
        <v>6.0496352611102019E-2</v>
      </c>
    </row>
    <row r="22" spans="1:7" ht="15" customHeight="1" x14ac:dyDescent="0.25">
      <c r="A22" s="4"/>
      <c r="B22" s="9" t="s">
        <v>9</v>
      </c>
      <c r="C22" s="51"/>
      <c r="D22" s="47">
        <v>119.97</v>
      </c>
      <c r="E22" s="80">
        <f t="shared" si="1"/>
        <v>1.9890778948569145E-2</v>
      </c>
    </row>
    <row r="23" spans="1:7" ht="15" customHeight="1" thickBot="1" x14ac:dyDescent="0.3">
      <c r="A23" s="4"/>
      <c r="B23" s="10" t="s">
        <v>46</v>
      </c>
      <c r="C23" s="54"/>
      <c r="D23" s="55"/>
      <c r="E23" s="80">
        <f t="shared" si="1"/>
        <v>0</v>
      </c>
    </row>
    <row r="24" spans="1:7" ht="15" customHeight="1" thickBot="1" x14ac:dyDescent="0.3">
      <c r="B24" s="52" t="s">
        <v>0</v>
      </c>
      <c r="C24" s="44"/>
      <c r="D24" s="45">
        <f>SUM(D5:D23)</f>
        <v>6031.438000000001</v>
      </c>
      <c r="E24" s="53"/>
    </row>
    <row r="25" spans="1:7" ht="15" customHeight="1" x14ac:dyDescent="0.25">
      <c r="B25" s="6" t="s">
        <v>1</v>
      </c>
      <c r="C25" s="7"/>
      <c r="D25" s="48">
        <v>123551.92</v>
      </c>
      <c r="E25" s="63">
        <f>+D25/E2</f>
        <v>0.59517852669711158</v>
      </c>
      <c r="F25" s="3"/>
    </row>
    <row r="26" spans="1:7" ht="15" customHeight="1" x14ac:dyDescent="0.25">
      <c r="D26" s="3">
        <f>+(E2/31)*19</f>
        <v>127231.35483870967</v>
      </c>
      <c r="E26" s="63">
        <f>+D26/E2</f>
        <v>0.61290322580645151</v>
      </c>
    </row>
    <row r="27" spans="1:7" ht="15" customHeight="1" x14ac:dyDescent="0.25">
      <c r="D27" s="64">
        <f>+D25-D26</f>
        <v>-3679.4348387096688</v>
      </c>
      <c r="E27" s="65">
        <f>+E25-E26</f>
        <v>-1.7724699109339936E-2</v>
      </c>
    </row>
    <row r="28" spans="1:7" ht="15" customHeight="1" x14ac:dyDescent="0.25">
      <c r="G28" s="3"/>
    </row>
    <row r="29" spans="1:7" ht="15" customHeight="1" x14ac:dyDescent="0.25">
      <c r="B29" s="66" t="s">
        <v>60</v>
      </c>
      <c r="G29" s="3"/>
    </row>
    <row r="30" spans="1:7" ht="15" customHeight="1" x14ac:dyDescent="0.25">
      <c r="B30" s="2" t="s">
        <v>61</v>
      </c>
      <c r="C30" s="2">
        <v>495</v>
      </c>
    </row>
    <row r="31" spans="1:7" ht="15" customHeight="1" x14ac:dyDescent="0.25">
      <c r="B31" s="2" t="s">
        <v>62</v>
      </c>
      <c r="C31" s="2">
        <v>1288</v>
      </c>
      <c r="D31" s="3" t="s">
        <v>64</v>
      </c>
      <c r="E31" s="2">
        <v>13062</v>
      </c>
      <c r="F31" s="2">
        <v>326.55</v>
      </c>
    </row>
    <row r="32" spans="1:7" ht="15" customHeight="1" x14ac:dyDescent="0.25">
      <c r="B32" s="2" t="s">
        <v>63</v>
      </c>
      <c r="C32" s="67">
        <v>675</v>
      </c>
      <c r="D32" s="3" t="s">
        <v>65</v>
      </c>
      <c r="E32" s="2">
        <v>182</v>
      </c>
      <c r="F32" s="2">
        <v>273</v>
      </c>
    </row>
    <row r="33" spans="1:5" ht="15" customHeight="1" x14ac:dyDescent="0.25">
      <c r="C33" s="2">
        <f>+SUM(C30:C32)</f>
        <v>2458</v>
      </c>
    </row>
    <row r="34" spans="1:5" ht="15" customHeight="1" x14ac:dyDescent="0.25"/>
    <row r="35" spans="1:5" ht="15" customHeight="1" x14ac:dyDescent="0.25">
      <c r="B35" s="2" t="s">
        <v>66</v>
      </c>
      <c r="D35" s="2"/>
    </row>
    <row r="36" spans="1:5" ht="15" customHeight="1" x14ac:dyDescent="0.25">
      <c r="B36" s="76" t="s">
        <v>67</v>
      </c>
      <c r="C36" s="77" t="s">
        <v>68</v>
      </c>
      <c r="D36" s="78" t="s">
        <v>69</v>
      </c>
      <c r="E36" s="79" t="s">
        <v>33</v>
      </c>
    </row>
    <row r="37" spans="1:5" ht="15" customHeight="1" x14ac:dyDescent="0.25">
      <c r="B37" s="73">
        <v>19</v>
      </c>
      <c r="C37" s="74">
        <v>1</v>
      </c>
      <c r="D37" s="74">
        <v>10</v>
      </c>
      <c r="E37" s="75">
        <f>+SUM(B37:D37)</f>
        <v>30</v>
      </c>
    </row>
    <row r="38" spans="1:5" ht="15" customHeight="1" x14ac:dyDescent="0.25"/>
    <row r="39" spans="1:5" ht="15" customHeight="1" x14ac:dyDescent="0.25">
      <c r="D39" s="2"/>
      <c r="E39" s="66" t="s">
        <v>76</v>
      </c>
    </row>
    <row r="40" spans="1:5" ht="15" customHeight="1" x14ac:dyDescent="0.25">
      <c r="A40" s="2" t="s">
        <v>70</v>
      </c>
    </row>
    <row r="41" spans="1:5" ht="15" customHeight="1" x14ac:dyDescent="0.25">
      <c r="A41" s="2" t="s">
        <v>71</v>
      </c>
      <c r="B41" s="2">
        <v>4.5999999999999996</v>
      </c>
      <c r="C41" s="2">
        <v>2438</v>
      </c>
      <c r="D41" s="68">
        <v>3600</v>
      </c>
      <c r="E41" s="57">
        <f>+C41/D41</f>
        <v>0.67722222222222217</v>
      </c>
    </row>
    <row r="42" spans="1:5" ht="15" customHeight="1" x14ac:dyDescent="0.25">
      <c r="A42" s="2" t="s">
        <v>72</v>
      </c>
      <c r="B42" s="2">
        <v>6.26</v>
      </c>
      <c r="C42" s="2">
        <v>2777</v>
      </c>
      <c r="D42" s="68">
        <v>3600</v>
      </c>
      <c r="E42" s="57">
        <f>+C42/D42</f>
        <v>0.7713888888888889</v>
      </c>
    </row>
    <row r="43" spans="1:5" ht="15" customHeight="1" x14ac:dyDescent="0.25">
      <c r="A43" s="2" t="s">
        <v>73</v>
      </c>
      <c r="B43" s="2">
        <v>13.63</v>
      </c>
      <c r="C43" s="2">
        <v>2761</v>
      </c>
      <c r="D43" s="68">
        <v>3900</v>
      </c>
      <c r="E43" s="57">
        <f>+C43/D43</f>
        <v>0.70794871794871794</v>
      </c>
    </row>
    <row r="44" spans="1:5" ht="15" customHeight="1" x14ac:dyDescent="0.25">
      <c r="A44" s="2" t="s">
        <v>74</v>
      </c>
      <c r="B44" s="2">
        <v>14.45</v>
      </c>
      <c r="C44" s="2">
        <v>3166</v>
      </c>
      <c r="D44" s="68">
        <v>3900</v>
      </c>
      <c r="E44" s="57">
        <f>+C44/D44</f>
        <v>0.81179487179487175</v>
      </c>
    </row>
    <row r="45" spans="1:5" ht="15" customHeight="1" x14ac:dyDescent="0.25">
      <c r="A45" s="2" t="s">
        <v>75</v>
      </c>
      <c r="B45" s="2" t="s">
        <v>77</v>
      </c>
    </row>
    <row r="46" spans="1:5" ht="15" customHeight="1" x14ac:dyDescent="0.25">
      <c r="C46" s="71" t="s">
        <v>83</v>
      </c>
      <c r="D46" s="72" t="s">
        <v>79</v>
      </c>
    </row>
    <row r="47" spans="1:5" ht="15" customHeight="1" x14ac:dyDescent="0.25">
      <c r="B47" s="2" t="s">
        <v>78</v>
      </c>
      <c r="C47" s="71">
        <v>4</v>
      </c>
      <c r="D47" s="72">
        <v>3</v>
      </c>
    </row>
    <row r="48" spans="1:5" ht="15" customHeight="1" x14ac:dyDescent="0.25">
      <c r="C48" s="71">
        <v>6</v>
      </c>
      <c r="D48" s="72">
        <v>16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selection activeCell="A19" sqref="A19:XFD19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5" width="19.140625" style="2" customWidth="1"/>
    <col min="6" max="6" width="9.7109375" style="2" bestFit="1" customWidth="1"/>
    <col min="7" max="7" width="10.42578125" style="2" bestFit="1" customWidth="1"/>
    <col min="8" max="8" width="6.28515625" style="2" bestFit="1" customWidth="1"/>
    <col min="9" max="9" width="10" style="2" bestFit="1" customWidth="1"/>
    <col min="10" max="10" width="5.28515625" style="2" bestFit="1" customWidth="1"/>
    <col min="11" max="16384" width="11.42578125" style="2"/>
  </cols>
  <sheetData>
    <row r="1" spans="1:10" ht="15" customHeight="1" x14ac:dyDescent="0.25">
      <c r="A1" s="1"/>
      <c r="B1" s="518">
        <v>45797</v>
      </c>
      <c r="C1" s="518"/>
      <c r="D1" s="518"/>
      <c r="E1" s="61" t="s">
        <v>82</v>
      </c>
    </row>
    <row r="2" spans="1:10" x14ac:dyDescent="0.25">
      <c r="E2" s="62">
        <v>207588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70"/>
      <c r="C4" s="70"/>
      <c r="D4" s="5">
        <f>D25</f>
        <v>8456.9160000000011</v>
      </c>
      <c r="F4" s="58" t="s">
        <v>51</v>
      </c>
      <c r="G4" s="59">
        <v>45796</v>
      </c>
      <c r="H4" s="58">
        <v>6179</v>
      </c>
      <c r="I4" s="58">
        <v>6031.438000000001</v>
      </c>
      <c r="J4" s="60">
        <f>+I4/H4</f>
        <v>0.97611878944813091</v>
      </c>
    </row>
    <row r="5" spans="1:10" ht="15" customHeight="1" x14ac:dyDescent="0.25">
      <c r="A5" s="4"/>
      <c r="B5" s="8" t="s">
        <v>6</v>
      </c>
      <c r="C5" s="50">
        <v>9363</v>
      </c>
      <c r="D5" s="46">
        <v>399.65800000000002</v>
      </c>
      <c r="E5" s="80">
        <f>+D5/$D$4</f>
        <v>4.725812577540086E-2</v>
      </c>
      <c r="F5" s="58" t="s">
        <v>52</v>
      </c>
      <c r="G5" s="59">
        <v>45797</v>
      </c>
      <c r="H5" s="58">
        <v>8374</v>
      </c>
      <c r="I5" s="58">
        <v>8456.9160000000011</v>
      </c>
      <c r="J5" s="60">
        <f t="shared" ref="J5:J11" si="0">+I5/H5</f>
        <v>1.0099016001910677</v>
      </c>
    </row>
    <row r="6" spans="1:10" ht="15" customHeight="1" x14ac:dyDescent="0.25">
      <c r="A6" s="4"/>
      <c r="B6" s="9" t="s">
        <v>10</v>
      </c>
      <c r="C6" s="51">
        <v>10345</v>
      </c>
      <c r="D6" s="47">
        <v>441.59399999999999</v>
      </c>
      <c r="E6" s="80">
        <f t="shared" ref="E6:E24" si="1">+D6/$D$4</f>
        <v>5.2216907440017134E-2</v>
      </c>
      <c r="F6" s="58" t="s">
        <v>53</v>
      </c>
      <c r="G6" s="59">
        <v>45798</v>
      </c>
      <c r="H6" s="58">
        <v>7620</v>
      </c>
      <c r="I6" s="58"/>
      <c r="J6" s="60">
        <f t="shared" si="0"/>
        <v>0</v>
      </c>
    </row>
    <row r="7" spans="1:10" ht="15" customHeight="1" x14ac:dyDescent="0.25">
      <c r="A7" s="4"/>
      <c r="B7" s="9" t="s">
        <v>35</v>
      </c>
      <c r="C7" s="51">
        <v>23222</v>
      </c>
      <c r="D7" s="47">
        <v>990.61</v>
      </c>
      <c r="E7" s="80">
        <f t="shared" si="1"/>
        <v>0.11713608128542366</v>
      </c>
      <c r="F7" s="58" t="s">
        <v>54</v>
      </c>
      <c r="G7" s="59">
        <v>45799</v>
      </c>
      <c r="H7" s="58">
        <v>7440</v>
      </c>
      <c r="I7" s="58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3137</v>
      </c>
      <c r="D8" s="47">
        <v>133.63</v>
      </c>
      <c r="E8" s="80">
        <f t="shared" si="1"/>
        <v>1.5801268452944311E-2</v>
      </c>
      <c r="F8" s="58" t="s">
        <v>55</v>
      </c>
      <c r="G8" s="59">
        <v>45800</v>
      </c>
      <c r="H8" s="58">
        <v>7740</v>
      </c>
      <c r="I8" s="58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f>45436+780</f>
        <v>46216</v>
      </c>
      <c r="D9" s="47">
        <f>1939.69+33.282</f>
        <v>1972.972</v>
      </c>
      <c r="E9" s="84">
        <f t="shared" si="1"/>
        <v>0.23329686613890924</v>
      </c>
      <c r="F9" s="58" t="s">
        <v>56</v>
      </c>
      <c r="G9" s="59">
        <v>45801</v>
      </c>
      <c r="H9" s="58">
        <v>6194</v>
      </c>
      <c r="I9" s="58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f>49869+720</f>
        <v>50589</v>
      </c>
      <c r="D10" s="47">
        <f>2127.228+30.75</f>
        <v>2157.9780000000001</v>
      </c>
      <c r="E10" s="84">
        <f t="shared" si="1"/>
        <v>0.25517316241523502</v>
      </c>
      <c r="F10" s="58" t="s">
        <v>57</v>
      </c>
      <c r="G10" s="59">
        <v>45802</v>
      </c>
      <c r="H10" s="58">
        <v>4327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13420</v>
      </c>
      <c r="D11" s="47">
        <v>573.01400000000001</v>
      </c>
      <c r="E11" s="80">
        <f t="shared" si="1"/>
        <v>6.7756851315538658E-2</v>
      </c>
      <c r="H11" s="58">
        <f>+SUM(H4:H5)</f>
        <v>14553</v>
      </c>
      <c r="I11" s="58">
        <f>+SUM(I4:I10)</f>
        <v>14488.354000000003</v>
      </c>
      <c r="J11" s="60">
        <f t="shared" si="0"/>
        <v>0.99555789184360632</v>
      </c>
    </row>
    <row r="12" spans="1:10" ht="15" customHeight="1" x14ac:dyDescent="0.25">
      <c r="A12" s="4"/>
      <c r="B12" s="9" t="s">
        <v>81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50</v>
      </c>
      <c r="C13" s="51"/>
      <c r="D13" s="47"/>
      <c r="E13" s="80">
        <f t="shared" si="1"/>
        <v>0</v>
      </c>
    </row>
    <row r="14" spans="1:10" ht="15" customHeight="1" x14ac:dyDescent="0.25">
      <c r="A14" s="4"/>
      <c r="B14" s="9" t="s">
        <v>44</v>
      </c>
      <c r="C14" s="51"/>
      <c r="D14" s="47"/>
      <c r="E14" s="80">
        <f t="shared" si="1"/>
        <v>0</v>
      </c>
    </row>
    <row r="15" spans="1:10" ht="15" customHeight="1" x14ac:dyDescent="0.25">
      <c r="A15" s="4"/>
      <c r="B15" s="9" t="s">
        <v>39</v>
      </c>
      <c r="C15" s="51">
        <v>107</v>
      </c>
      <c r="D15" s="47">
        <v>161.37</v>
      </c>
      <c r="E15" s="80">
        <f t="shared" si="1"/>
        <v>1.9081424008468333E-2</v>
      </c>
    </row>
    <row r="16" spans="1:10" ht="15" customHeight="1" x14ac:dyDescent="0.25">
      <c r="A16" s="4"/>
      <c r="B16" s="9" t="s">
        <v>43</v>
      </c>
      <c r="C16" s="51">
        <f>157+22</f>
        <v>179</v>
      </c>
      <c r="D16" s="47">
        <f>236.27+33.19</f>
        <v>269.46000000000004</v>
      </c>
      <c r="E16" s="80">
        <f t="shared" si="1"/>
        <v>3.1862679019160178E-2</v>
      </c>
    </row>
    <row r="17" spans="1:7" ht="15" customHeight="1" x14ac:dyDescent="0.25">
      <c r="A17" s="4"/>
      <c r="B17" s="9" t="s">
        <v>45</v>
      </c>
      <c r="C17" s="51">
        <v>24</v>
      </c>
      <c r="D17" s="47">
        <v>36.03</v>
      </c>
      <c r="E17" s="80">
        <f t="shared" si="1"/>
        <v>4.2604183368972802E-3</v>
      </c>
    </row>
    <row r="18" spans="1:7" ht="15" customHeight="1" x14ac:dyDescent="0.25">
      <c r="A18" s="4"/>
      <c r="B18" s="9" t="s">
        <v>41</v>
      </c>
      <c r="C18" s="51">
        <v>126</v>
      </c>
      <c r="D18" s="47">
        <v>189.31</v>
      </c>
      <c r="E18" s="80">
        <f t="shared" si="1"/>
        <v>2.2385228847017043E-2</v>
      </c>
    </row>
    <row r="19" spans="1:7" ht="15" customHeight="1" x14ac:dyDescent="0.25">
      <c r="A19" s="4"/>
      <c r="B19" s="9" t="s">
        <v>49</v>
      </c>
      <c r="C19" s="51">
        <v>62</v>
      </c>
      <c r="D19" s="47">
        <v>93.03</v>
      </c>
      <c r="E19" s="80">
        <f t="shared" si="1"/>
        <v>1.1000463998932944E-2</v>
      </c>
    </row>
    <row r="20" spans="1:7" ht="15" customHeight="1" x14ac:dyDescent="0.25">
      <c r="A20" s="4"/>
      <c r="B20" s="9" t="s">
        <v>84</v>
      </c>
      <c r="C20" s="51">
        <f>100+20</f>
        <v>120</v>
      </c>
      <c r="D20" s="47">
        <f>150.81+30.02</f>
        <v>180.83</v>
      </c>
      <c r="E20" s="80">
        <f t="shared" si="1"/>
        <v>2.1382499246770336E-2</v>
      </c>
    </row>
    <row r="21" spans="1:7" ht="15" customHeight="1" x14ac:dyDescent="0.25">
      <c r="A21" s="4"/>
      <c r="B21" s="9" t="s">
        <v>85</v>
      </c>
      <c r="C21" s="51">
        <v>21</v>
      </c>
      <c r="D21" s="47">
        <v>31.68</v>
      </c>
      <c r="E21" s="80">
        <f t="shared" si="1"/>
        <v>3.7460464311103473E-3</v>
      </c>
    </row>
    <row r="22" spans="1:7" ht="15" customHeight="1" x14ac:dyDescent="0.25">
      <c r="A22" s="4"/>
      <c r="B22" s="9" t="s">
        <v>40</v>
      </c>
      <c r="C22" s="51"/>
      <c r="D22" s="47">
        <v>548.26</v>
      </c>
      <c r="E22" s="80">
        <f t="shared" si="1"/>
        <v>6.4829779555573203E-2</v>
      </c>
    </row>
    <row r="23" spans="1:7" ht="15" customHeight="1" x14ac:dyDescent="0.25">
      <c r="A23" s="4"/>
      <c r="B23" s="9" t="s">
        <v>9</v>
      </c>
      <c r="C23" s="51"/>
      <c r="D23" s="47">
        <v>277.49</v>
      </c>
      <c r="E23" s="80">
        <f t="shared" si="1"/>
        <v>3.2812197732601335E-2</v>
      </c>
    </row>
    <row r="24" spans="1:7" ht="15" customHeight="1" thickBot="1" x14ac:dyDescent="0.3">
      <c r="A24" s="4"/>
      <c r="B24" s="10" t="s">
        <v>46</v>
      </c>
      <c r="C24" s="54"/>
      <c r="D24" s="55"/>
      <c r="E24" s="80">
        <f t="shared" si="1"/>
        <v>0</v>
      </c>
    </row>
    <row r="25" spans="1:7" ht="15" customHeight="1" thickBot="1" x14ac:dyDescent="0.3">
      <c r="B25" s="52" t="s">
        <v>0</v>
      </c>
      <c r="C25" s="44"/>
      <c r="D25" s="45">
        <f>SUM(D5:D24)</f>
        <v>8456.9160000000011</v>
      </c>
      <c r="F25" s="3"/>
    </row>
    <row r="26" spans="1:7" ht="15" customHeight="1" x14ac:dyDescent="0.25">
      <c r="B26" s="6" t="s">
        <v>1</v>
      </c>
      <c r="C26" s="7"/>
      <c r="D26" s="48">
        <v>132008.83600000001</v>
      </c>
      <c r="E26" s="63">
        <f>+D26/E2</f>
        <v>0.6359174711447676</v>
      </c>
      <c r="F26" s="3"/>
    </row>
    <row r="27" spans="1:7" ht="15" customHeight="1" x14ac:dyDescent="0.25">
      <c r="D27" s="3">
        <f>+(E2/31)*20</f>
        <v>133927.74193548388</v>
      </c>
      <c r="E27" s="63">
        <f>+D27/E2</f>
        <v>0.64516129032258063</v>
      </c>
    </row>
    <row r="28" spans="1:7" ht="15" customHeight="1" x14ac:dyDescent="0.25">
      <c r="D28" s="64">
        <f>+D26-D27</f>
        <v>-1918.9059354838682</v>
      </c>
      <c r="E28" s="65">
        <f>E26-E27</f>
        <v>-9.2438191778130285E-3</v>
      </c>
    </row>
    <row r="29" spans="1:7" ht="15" customHeight="1" x14ac:dyDescent="0.25">
      <c r="G29" s="3"/>
    </row>
    <row r="30" spans="1:7" ht="15" customHeight="1" x14ac:dyDescent="0.25">
      <c r="B30" s="66" t="s">
        <v>60</v>
      </c>
      <c r="G30" s="3"/>
    </row>
    <row r="31" spans="1:7" ht="15" customHeight="1" x14ac:dyDescent="0.25">
      <c r="B31" s="2" t="s">
        <v>61</v>
      </c>
      <c r="C31" s="2">
        <v>158</v>
      </c>
    </row>
    <row r="32" spans="1:7" ht="15" customHeight="1" x14ac:dyDescent="0.25">
      <c r="B32" s="2" t="s">
        <v>62</v>
      </c>
      <c r="C32" s="2">
        <v>1108</v>
      </c>
      <c r="D32" s="86" t="s">
        <v>86</v>
      </c>
      <c r="E32" s="87">
        <v>15223</v>
      </c>
      <c r="F32" s="88">
        <v>380.57500000000005</v>
      </c>
    </row>
    <row r="33" spans="1:6" ht="15" customHeight="1" x14ac:dyDescent="0.25">
      <c r="B33" s="2" t="s">
        <v>63</v>
      </c>
      <c r="C33" s="67">
        <v>479</v>
      </c>
      <c r="D33" s="89" t="s">
        <v>87</v>
      </c>
      <c r="E33" s="87">
        <v>182</v>
      </c>
      <c r="F33" s="88">
        <v>273</v>
      </c>
    </row>
    <row r="34" spans="1:6" ht="15" customHeight="1" x14ac:dyDescent="0.25">
      <c r="C34" s="2">
        <f>+SUM(C31:C33)</f>
        <v>1745</v>
      </c>
    </row>
    <row r="35" spans="1:6" ht="15" customHeight="1" x14ac:dyDescent="0.25"/>
    <row r="36" spans="1:6" ht="15" customHeight="1" x14ac:dyDescent="0.25">
      <c r="B36" s="2" t="s">
        <v>66</v>
      </c>
      <c r="D36" s="2"/>
    </row>
    <row r="37" spans="1:6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</row>
    <row r="38" spans="1:6" ht="15" customHeight="1" x14ac:dyDescent="0.25">
      <c r="B38" s="73">
        <v>30</v>
      </c>
      <c r="C38" s="74">
        <v>24</v>
      </c>
      <c r="D38" s="74">
        <v>2</v>
      </c>
      <c r="E38" s="75">
        <f>+SUM(B38:D38)</f>
        <v>56</v>
      </c>
    </row>
    <row r="39" spans="1:6" ht="15" customHeight="1" x14ac:dyDescent="0.25"/>
    <row r="40" spans="1:6" ht="15" customHeight="1" x14ac:dyDescent="0.25">
      <c r="D40" s="2"/>
      <c r="E40" s="66" t="s">
        <v>76</v>
      </c>
    </row>
    <row r="41" spans="1:6" ht="15" customHeight="1" x14ac:dyDescent="0.25">
      <c r="A41" s="2" t="s">
        <v>70</v>
      </c>
    </row>
    <row r="42" spans="1:6" ht="15" customHeight="1" x14ac:dyDescent="0.25">
      <c r="A42" s="2" t="s">
        <v>71</v>
      </c>
      <c r="B42" s="2">
        <v>6.99</v>
      </c>
      <c r="C42" s="2">
        <v>2252</v>
      </c>
      <c r="D42" s="68">
        <v>3600</v>
      </c>
      <c r="E42" s="57">
        <f>+C42/D42</f>
        <v>0.62555555555555553</v>
      </c>
    </row>
    <row r="43" spans="1:6" ht="15" customHeight="1" x14ac:dyDescent="0.25">
      <c r="A43" s="2" t="s">
        <v>72</v>
      </c>
      <c r="B43" s="2">
        <v>10.43</v>
      </c>
      <c r="C43" s="2">
        <v>2872</v>
      </c>
      <c r="D43" s="68">
        <v>3600</v>
      </c>
      <c r="E43" s="57">
        <f>+C43/D43</f>
        <v>0.79777777777777781</v>
      </c>
    </row>
    <row r="44" spans="1:6" ht="15" customHeight="1" x14ac:dyDescent="0.25">
      <c r="A44" s="2" t="s">
        <v>73</v>
      </c>
      <c r="B44" s="2">
        <v>15.34</v>
      </c>
      <c r="C44" s="2">
        <v>2792</v>
      </c>
      <c r="D44" s="68">
        <v>3900</v>
      </c>
      <c r="E44" s="57">
        <f>+C44/D44</f>
        <v>0.71589743589743593</v>
      </c>
    </row>
    <row r="45" spans="1:6" ht="15" customHeight="1" x14ac:dyDescent="0.25">
      <c r="A45" s="2" t="s">
        <v>74</v>
      </c>
      <c r="B45" s="2">
        <v>15.74</v>
      </c>
      <c r="C45" s="2">
        <v>2969</v>
      </c>
      <c r="D45" s="68">
        <v>3900</v>
      </c>
      <c r="E45" s="57">
        <f>+C45/D45</f>
        <v>0.76128205128205129</v>
      </c>
    </row>
    <row r="46" spans="1:6" ht="15" customHeight="1" x14ac:dyDescent="0.25">
      <c r="A46" s="2" t="s">
        <v>75</v>
      </c>
      <c r="B46" s="2" t="s">
        <v>77</v>
      </c>
    </row>
    <row r="47" spans="1:6" ht="15" customHeight="1" x14ac:dyDescent="0.25">
      <c r="C47" s="71" t="s">
        <v>83</v>
      </c>
      <c r="D47" s="72" t="s">
        <v>79</v>
      </c>
    </row>
    <row r="48" spans="1:6" ht="15" customHeight="1" x14ac:dyDescent="0.25">
      <c r="B48" s="2" t="s">
        <v>78</v>
      </c>
      <c r="C48" s="71"/>
      <c r="D48" s="72"/>
    </row>
    <row r="49" spans="3:4" ht="15" customHeight="1" x14ac:dyDescent="0.25">
      <c r="C49" s="71">
        <v>6</v>
      </c>
      <c r="D49" s="72">
        <v>16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A8" workbookViewId="0">
      <selection activeCell="A19" sqref="A19:XFD19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5" width="12.85546875" style="2" customWidth="1"/>
    <col min="6" max="6" width="9.7109375" style="2" bestFit="1" customWidth="1"/>
    <col min="7" max="7" width="10.42578125" style="2" bestFit="1" customWidth="1"/>
    <col min="8" max="8" width="6.28515625" style="2" bestFit="1" customWidth="1"/>
    <col min="9" max="9" width="9" style="2" bestFit="1" customWidth="1"/>
    <col min="10" max="10" width="5.28515625" style="2" bestFit="1" customWidth="1"/>
    <col min="11" max="16384" width="11.42578125" style="2"/>
  </cols>
  <sheetData>
    <row r="1" spans="1:10" ht="15" customHeight="1" x14ac:dyDescent="0.25">
      <c r="A1" s="1"/>
      <c r="B1" s="518">
        <v>45798</v>
      </c>
      <c r="C1" s="518"/>
      <c r="D1" s="518"/>
      <c r="E1" s="61" t="s">
        <v>82</v>
      </c>
    </row>
    <row r="2" spans="1:10" x14ac:dyDescent="0.25">
      <c r="E2" s="62">
        <v>207588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85"/>
      <c r="C4" s="85"/>
      <c r="D4" s="5">
        <f>D25</f>
        <v>7665.6959999999999</v>
      </c>
      <c r="F4" s="58" t="s">
        <v>51</v>
      </c>
      <c r="G4" s="59">
        <v>45796</v>
      </c>
      <c r="H4" s="58">
        <v>6179</v>
      </c>
      <c r="I4" s="58">
        <v>6031.438000000001</v>
      </c>
      <c r="J4" s="60">
        <f>+I4/H4</f>
        <v>0.97611878944813091</v>
      </c>
    </row>
    <row r="5" spans="1:10" ht="15" customHeight="1" x14ac:dyDescent="0.25">
      <c r="A5" s="4"/>
      <c r="B5" s="8" t="s">
        <v>6</v>
      </c>
      <c r="C5" s="50">
        <v>1480</v>
      </c>
      <c r="D5" s="46">
        <v>63.05</v>
      </c>
      <c r="E5" s="80">
        <f>+D5/$D$4</f>
        <v>8.2249543942259119E-3</v>
      </c>
      <c r="F5" s="58" t="s">
        <v>52</v>
      </c>
      <c r="G5" s="59">
        <v>45797</v>
      </c>
      <c r="H5" s="58">
        <v>8374</v>
      </c>
      <c r="I5" s="58">
        <v>8456.9160000000011</v>
      </c>
      <c r="J5" s="60">
        <f t="shared" ref="J5:J11" si="0">+I5/H5</f>
        <v>1.0099016001910677</v>
      </c>
    </row>
    <row r="6" spans="1:10" ht="15" customHeight="1" x14ac:dyDescent="0.25">
      <c r="A6" s="4"/>
      <c r="B6" s="9" t="s">
        <v>10</v>
      </c>
      <c r="C6" s="51">
        <v>21790</v>
      </c>
      <c r="D6" s="47">
        <v>930.05799999999999</v>
      </c>
      <c r="E6" s="80">
        <f t="shared" ref="E6:E24" si="1">+D6/$D$4</f>
        <v>0.12132727413140307</v>
      </c>
      <c r="F6" s="58" t="s">
        <v>53</v>
      </c>
      <c r="G6" s="59">
        <v>45798</v>
      </c>
      <c r="H6" s="58">
        <v>7620</v>
      </c>
      <c r="I6" s="58">
        <v>7665.6959999999999</v>
      </c>
      <c r="J6" s="60">
        <f t="shared" si="0"/>
        <v>1.0059968503937007</v>
      </c>
    </row>
    <row r="7" spans="1:10" ht="15" customHeight="1" x14ac:dyDescent="0.25">
      <c r="A7" s="4"/>
      <c r="B7" s="9" t="s">
        <v>35</v>
      </c>
      <c r="C7" s="51">
        <v>12882</v>
      </c>
      <c r="D7" s="47">
        <v>549.55999999999995</v>
      </c>
      <c r="E7" s="80">
        <f t="shared" si="1"/>
        <v>7.1690815811114861E-2</v>
      </c>
      <c r="F7" s="58" t="s">
        <v>54</v>
      </c>
      <c r="G7" s="59">
        <v>45799</v>
      </c>
      <c r="H7" s="58">
        <v>7440</v>
      </c>
      <c r="I7" s="58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4620</v>
      </c>
      <c r="D8" s="47">
        <v>197.12</v>
      </c>
      <c r="E8" s="80">
        <f t="shared" si="1"/>
        <v>2.5714560034731354E-2</v>
      </c>
      <c r="F8" s="58" t="s">
        <v>55</v>
      </c>
      <c r="G8" s="59">
        <v>45800</v>
      </c>
      <c r="H8" s="58">
        <v>7740</v>
      </c>
      <c r="I8" s="58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v>27412</v>
      </c>
      <c r="D9" s="47">
        <v>1169.354</v>
      </c>
      <c r="E9" s="84">
        <f t="shared" si="1"/>
        <v>0.15254374814759156</v>
      </c>
      <c r="F9" s="58" t="s">
        <v>56</v>
      </c>
      <c r="G9" s="59">
        <v>45801</v>
      </c>
      <c r="H9" s="58">
        <v>6194</v>
      </c>
      <c r="I9" s="58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52254</v>
      </c>
      <c r="D10" s="47">
        <v>2228.9459999999999</v>
      </c>
      <c r="E10" s="84">
        <f t="shared" si="1"/>
        <v>0.29076890082779178</v>
      </c>
      <c r="F10" s="58" t="s">
        <v>57</v>
      </c>
      <c r="G10" s="59">
        <v>45802</v>
      </c>
      <c r="H10" s="58">
        <v>4327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10179</v>
      </c>
      <c r="D11" s="47">
        <v>434.178</v>
      </c>
      <c r="E11" s="80">
        <f t="shared" si="1"/>
        <v>5.6639084044032006E-2</v>
      </c>
      <c r="H11" s="58">
        <f>+SUM(H4:H6)</f>
        <v>22173</v>
      </c>
      <c r="I11" s="58">
        <f>+SUM(I4:I10)</f>
        <v>22154.050000000003</v>
      </c>
      <c r="J11" s="60">
        <f t="shared" si="0"/>
        <v>0.99914535696567908</v>
      </c>
    </row>
    <row r="12" spans="1:10" ht="15" customHeight="1" x14ac:dyDescent="0.25">
      <c r="A12" s="4"/>
      <c r="B12" s="9" t="s">
        <v>81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50</v>
      </c>
      <c r="C13" s="51"/>
      <c r="D13" s="47"/>
      <c r="E13" s="80">
        <f t="shared" si="1"/>
        <v>0</v>
      </c>
    </row>
    <row r="14" spans="1:10" ht="15" customHeight="1" x14ac:dyDescent="0.25">
      <c r="A14" s="4"/>
      <c r="B14" s="9" t="s">
        <v>44</v>
      </c>
      <c r="C14" s="51">
        <v>63</v>
      </c>
      <c r="D14" s="47">
        <v>95.1</v>
      </c>
      <c r="E14" s="80">
        <f t="shared" si="1"/>
        <v>1.2405918523249551E-2</v>
      </c>
    </row>
    <row r="15" spans="1:10" ht="15" customHeight="1" x14ac:dyDescent="0.25">
      <c r="A15" s="4"/>
      <c r="B15" s="9" t="s">
        <v>39</v>
      </c>
      <c r="C15" s="51">
        <v>393</v>
      </c>
      <c r="D15" s="47">
        <v>591.72</v>
      </c>
      <c r="E15" s="80">
        <f t="shared" si="1"/>
        <v>7.7190642571789966E-2</v>
      </c>
    </row>
    <row r="16" spans="1:10" ht="15" customHeight="1" x14ac:dyDescent="0.25">
      <c r="A16" s="4"/>
      <c r="B16" s="9" t="s">
        <v>43</v>
      </c>
      <c r="C16" s="51">
        <v>176</v>
      </c>
      <c r="D16" s="47">
        <v>265.18</v>
      </c>
      <c r="E16" s="80">
        <f t="shared" si="1"/>
        <v>3.4593075436333505E-2</v>
      </c>
    </row>
    <row r="17" spans="1:7" ht="15" customHeight="1" x14ac:dyDescent="0.25">
      <c r="A17" s="4"/>
      <c r="B17" s="9" t="s">
        <v>45</v>
      </c>
      <c r="C17" s="51"/>
      <c r="D17" s="47"/>
      <c r="E17" s="80">
        <f t="shared" si="1"/>
        <v>0</v>
      </c>
    </row>
    <row r="18" spans="1:7" ht="15" customHeight="1" x14ac:dyDescent="0.25">
      <c r="A18" s="4"/>
      <c r="B18" s="9" t="s">
        <v>41</v>
      </c>
      <c r="C18" s="51">
        <v>294</v>
      </c>
      <c r="D18" s="47">
        <v>441.92</v>
      </c>
      <c r="E18" s="80">
        <f t="shared" si="1"/>
        <v>5.764903799994156E-2</v>
      </c>
    </row>
    <row r="19" spans="1:7" ht="15" customHeight="1" x14ac:dyDescent="0.25">
      <c r="A19" s="4"/>
      <c r="B19" s="9" t="s">
        <v>49</v>
      </c>
      <c r="C19" s="51"/>
      <c r="D19" s="47"/>
      <c r="E19" s="80">
        <f t="shared" si="1"/>
        <v>0</v>
      </c>
    </row>
    <row r="20" spans="1:7" ht="15" customHeight="1" x14ac:dyDescent="0.25">
      <c r="A20" s="4"/>
      <c r="B20" s="9" t="s">
        <v>84</v>
      </c>
      <c r="C20" s="51">
        <v>40</v>
      </c>
      <c r="D20" s="47">
        <v>60.2</v>
      </c>
      <c r="E20" s="80">
        <f t="shared" si="1"/>
        <v>7.8531681924250592E-3</v>
      </c>
    </row>
    <row r="21" spans="1:7" ht="15" customHeight="1" x14ac:dyDescent="0.25">
      <c r="A21" s="4"/>
      <c r="B21" s="9" t="s">
        <v>85</v>
      </c>
      <c r="C21" s="51">
        <v>22</v>
      </c>
      <c r="D21" s="47">
        <v>33.07</v>
      </c>
      <c r="E21" s="80">
        <f t="shared" si="1"/>
        <v>4.3140244538786825E-3</v>
      </c>
    </row>
    <row r="22" spans="1:7" ht="15" customHeight="1" x14ac:dyDescent="0.25">
      <c r="A22" s="4"/>
      <c r="B22" s="9" t="s">
        <v>40</v>
      </c>
      <c r="C22" s="51"/>
      <c r="D22" s="47">
        <v>304.08999999999997</v>
      </c>
      <c r="E22" s="80">
        <f t="shared" si="1"/>
        <v>3.9668935475656739E-2</v>
      </c>
    </row>
    <row r="23" spans="1:7" ht="15" customHeight="1" x14ac:dyDescent="0.25">
      <c r="A23" s="4"/>
      <c r="B23" s="9" t="s">
        <v>9</v>
      </c>
      <c r="C23" s="51"/>
      <c r="D23" s="47">
        <v>213.15</v>
      </c>
      <c r="E23" s="80">
        <f t="shared" si="1"/>
        <v>2.7805694355737563E-2</v>
      </c>
    </row>
    <row r="24" spans="1:7" ht="15" customHeight="1" thickBot="1" x14ac:dyDescent="0.3">
      <c r="A24" s="4"/>
      <c r="B24" s="10" t="s">
        <v>46</v>
      </c>
      <c r="C24" s="54"/>
      <c r="D24" s="55">
        <v>89</v>
      </c>
      <c r="E24" s="80">
        <f t="shared" si="1"/>
        <v>1.1610165600096848E-2</v>
      </c>
    </row>
    <row r="25" spans="1:7" ht="15" customHeight="1" thickBot="1" x14ac:dyDescent="0.3">
      <c r="B25" s="52" t="s">
        <v>0</v>
      </c>
      <c r="C25" s="44"/>
      <c r="D25" s="45">
        <f>SUM(D5:D24)</f>
        <v>7665.6959999999999</v>
      </c>
      <c r="F25" s="3"/>
    </row>
    <row r="26" spans="1:7" ht="15" customHeight="1" x14ac:dyDescent="0.25">
      <c r="B26" s="6" t="s">
        <v>1</v>
      </c>
      <c r="C26" s="7"/>
      <c r="D26" s="48">
        <v>139709.122</v>
      </c>
      <c r="E26" s="63">
        <f>+D26/E2</f>
        <v>0.67301155172746019</v>
      </c>
      <c r="F26" s="3"/>
    </row>
    <row r="27" spans="1:7" ht="15" customHeight="1" x14ac:dyDescent="0.25">
      <c r="D27" s="3">
        <f>+(E2/31)*21</f>
        <v>140624.12903225806</v>
      </c>
      <c r="E27" s="63">
        <f>+D27/E2</f>
        <v>0.67741935483870963</v>
      </c>
    </row>
    <row r="28" spans="1:7" ht="15" customHeight="1" x14ac:dyDescent="0.25">
      <c r="D28" s="64">
        <f>+D26-D27</f>
        <v>-915.00703225805773</v>
      </c>
      <c r="E28" s="65">
        <f>E26-E27</f>
        <v>-4.407803111249442E-3</v>
      </c>
    </row>
    <row r="29" spans="1:7" ht="15" customHeight="1" x14ac:dyDescent="0.25">
      <c r="G29" s="3"/>
    </row>
    <row r="30" spans="1:7" ht="15" customHeight="1" x14ac:dyDescent="0.25">
      <c r="B30" s="66" t="s">
        <v>60</v>
      </c>
      <c r="G30" s="3"/>
    </row>
    <row r="31" spans="1:7" ht="15" customHeight="1" x14ac:dyDescent="0.25">
      <c r="B31" s="2" t="s">
        <v>61</v>
      </c>
      <c r="C31" s="2">
        <v>171</v>
      </c>
    </row>
    <row r="32" spans="1:7" ht="15" customHeight="1" x14ac:dyDescent="0.25">
      <c r="B32" s="2" t="s">
        <v>62</v>
      </c>
      <c r="C32" s="2">
        <v>981</v>
      </c>
      <c r="D32" s="86" t="s">
        <v>86</v>
      </c>
      <c r="E32" s="87">
        <v>14755</v>
      </c>
      <c r="F32" s="88">
        <v>368.875</v>
      </c>
    </row>
    <row r="33" spans="1:6" ht="15" customHeight="1" x14ac:dyDescent="0.25">
      <c r="B33" s="2" t="s">
        <v>63</v>
      </c>
      <c r="C33" s="67">
        <v>408</v>
      </c>
      <c r="D33" s="89" t="s">
        <v>87</v>
      </c>
      <c r="E33" s="87">
        <v>182</v>
      </c>
      <c r="F33" s="88">
        <v>273</v>
      </c>
    </row>
    <row r="34" spans="1:6" ht="15" customHeight="1" x14ac:dyDescent="0.25">
      <c r="C34" s="2">
        <f>+SUM(C31:C33)</f>
        <v>1560</v>
      </c>
    </row>
    <row r="35" spans="1:6" ht="15" customHeight="1" x14ac:dyDescent="0.25"/>
    <row r="36" spans="1:6" ht="15" customHeight="1" x14ac:dyDescent="0.25">
      <c r="B36" s="2" t="s">
        <v>66</v>
      </c>
      <c r="D36" s="2"/>
    </row>
    <row r="37" spans="1:6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</row>
    <row r="38" spans="1:6" ht="15" customHeight="1" x14ac:dyDescent="0.25">
      <c r="B38" s="73">
        <v>33</v>
      </c>
      <c r="C38" s="74">
        <v>1</v>
      </c>
      <c r="D38" s="74">
        <v>24</v>
      </c>
      <c r="E38" s="75">
        <f>+SUM(B38:D38)</f>
        <v>58</v>
      </c>
    </row>
    <row r="39" spans="1:6" ht="15" customHeight="1" x14ac:dyDescent="0.25"/>
    <row r="40" spans="1:6" ht="15" customHeight="1" x14ac:dyDescent="0.25">
      <c r="D40" s="2"/>
      <c r="E40" s="66" t="s">
        <v>76</v>
      </c>
    </row>
    <row r="41" spans="1:6" ht="15" customHeight="1" x14ac:dyDescent="0.25">
      <c r="A41" s="2" t="s">
        <v>70</v>
      </c>
    </row>
    <row r="42" spans="1:6" ht="15" customHeight="1" x14ac:dyDescent="0.25">
      <c r="A42" s="2" t="s">
        <v>71</v>
      </c>
      <c r="B42" s="2">
        <v>11.29</v>
      </c>
      <c r="C42" s="2">
        <v>2354</v>
      </c>
      <c r="D42" s="68">
        <v>3600</v>
      </c>
      <c r="E42" s="57">
        <f>+C42/D42</f>
        <v>0.65388888888888885</v>
      </c>
    </row>
    <row r="43" spans="1:6" ht="15" customHeight="1" x14ac:dyDescent="0.25">
      <c r="A43" s="2" t="s">
        <v>72</v>
      </c>
      <c r="B43" s="2">
        <v>6.36</v>
      </c>
      <c r="C43" s="2">
        <v>2674</v>
      </c>
      <c r="D43" s="68">
        <v>3600</v>
      </c>
      <c r="E43" s="57">
        <f>+C43/D43</f>
        <v>0.74277777777777776</v>
      </c>
    </row>
    <row r="44" spans="1:6" ht="15" customHeight="1" x14ac:dyDescent="0.25">
      <c r="A44" s="2" t="s">
        <v>73</v>
      </c>
      <c r="B44" s="2">
        <v>13.6</v>
      </c>
      <c r="C44" s="2">
        <v>2726</v>
      </c>
      <c r="D44" s="68">
        <v>3900</v>
      </c>
      <c r="E44" s="57">
        <f>+C44/D44</f>
        <v>0.698974358974359</v>
      </c>
    </row>
    <row r="45" spans="1:6" ht="15" customHeight="1" x14ac:dyDescent="0.25">
      <c r="A45" s="2" t="s">
        <v>74</v>
      </c>
      <c r="B45" s="2">
        <v>14.23</v>
      </c>
      <c r="C45" s="2">
        <v>2978</v>
      </c>
      <c r="D45" s="68">
        <v>3900</v>
      </c>
      <c r="E45" s="57">
        <f>+C45/D45</f>
        <v>0.76358974358974363</v>
      </c>
    </row>
    <row r="46" spans="1:6" ht="15" customHeight="1" x14ac:dyDescent="0.25">
      <c r="A46" s="2" t="s">
        <v>75</v>
      </c>
      <c r="B46" s="2" t="s">
        <v>77</v>
      </c>
    </row>
    <row r="47" spans="1:6" ht="15" customHeight="1" x14ac:dyDescent="0.25">
      <c r="C47" s="71" t="s">
        <v>83</v>
      </c>
      <c r="D47" s="72" t="s">
        <v>79</v>
      </c>
    </row>
    <row r="48" spans="1:6" ht="15" customHeight="1" x14ac:dyDescent="0.25">
      <c r="B48" s="2" t="s">
        <v>78</v>
      </c>
      <c r="C48" s="71">
        <v>4</v>
      </c>
      <c r="D48" s="72">
        <v>6</v>
      </c>
    </row>
    <row r="49" spans="3:4" ht="15" customHeight="1" x14ac:dyDescent="0.25">
      <c r="C49" s="71">
        <v>6</v>
      </c>
      <c r="D49" s="72">
        <v>15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selection activeCell="F19" sqref="F19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5" width="13.42578125" style="2" customWidth="1"/>
    <col min="6" max="6" width="9.7109375" style="2" bestFit="1" customWidth="1"/>
    <col min="7" max="7" width="10.42578125" style="2" bestFit="1" customWidth="1"/>
    <col min="8" max="8" width="6.28515625" style="2" bestFit="1" customWidth="1"/>
    <col min="9" max="9" width="10" style="2" bestFit="1" customWidth="1"/>
    <col min="10" max="10" width="5.28515625" style="2" bestFit="1" customWidth="1"/>
    <col min="11" max="16384" width="11.42578125" style="2"/>
  </cols>
  <sheetData>
    <row r="1" spans="1:10" ht="15" customHeight="1" x14ac:dyDescent="0.25">
      <c r="A1" s="1"/>
      <c r="B1" s="518">
        <f ca="1">TODAY()-1</f>
        <v>46171</v>
      </c>
      <c r="C1" s="518"/>
      <c r="D1" s="518"/>
      <c r="E1" s="61" t="s">
        <v>82</v>
      </c>
    </row>
    <row r="2" spans="1:10" x14ac:dyDescent="0.25">
      <c r="E2" s="62">
        <v>207588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90"/>
      <c r="C4" s="90"/>
      <c r="D4" s="5">
        <f>D25</f>
        <v>7779.232</v>
      </c>
      <c r="F4" s="58" t="s">
        <v>51</v>
      </c>
      <c r="G4" s="59">
        <v>45796</v>
      </c>
      <c r="H4" s="58">
        <v>6179</v>
      </c>
      <c r="I4" s="58">
        <v>6031.438000000001</v>
      </c>
      <c r="J4" s="60">
        <f>+I4/H4</f>
        <v>0.97611878944813091</v>
      </c>
    </row>
    <row r="5" spans="1:10" ht="15" customHeight="1" x14ac:dyDescent="0.25">
      <c r="A5" s="4"/>
      <c r="B5" s="8" t="s">
        <v>6</v>
      </c>
      <c r="C5" s="50">
        <v>4600</v>
      </c>
      <c r="D5" s="46">
        <v>196.31200000000001</v>
      </c>
      <c r="E5" s="80">
        <f>+D5/$D$4</f>
        <v>2.5235395987675907E-2</v>
      </c>
      <c r="F5" s="58" t="s">
        <v>52</v>
      </c>
      <c r="G5" s="59">
        <v>45797</v>
      </c>
      <c r="H5" s="58">
        <v>8374</v>
      </c>
      <c r="I5" s="58">
        <v>8456.9160000000011</v>
      </c>
      <c r="J5" s="60">
        <f t="shared" ref="J5:J11" si="0">+I5/H5</f>
        <v>1.0099016001910677</v>
      </c>
    </row>
    <row r="6" spans="1:10" ht="15" customHeight="1" x14ac:dyDescent="0.25">
      <c r="A6" s="4"/>
      <c r="B6" s="9" t="s">
        <v>10</v>
      </c>
      <c r="C6" s="51">
        <v>23154</v>
      </c>
      <c r="D6" s="47">
        <v>987.74800000000005</v>
      </c>
      <c r="E6" s="80">
        <f t="shared" ref="E6:E24" si="1">+D6/$D$4</f>
        <v>0.12697243121171858</v>
      </c>
      <c r="F6" s="58" t="s">
        <v>53</v>
      </c>
      <c r="G6" s="59">
        <v>45798</v>
      </c>
      <c r="H6" s="58">
        <v>7620</v>
      </c>
      <c r="I6" s="58">
        <v>7665.6959999999999</v>
      </c>
      <c r="J6" s="60">
        <f t="shared" si="0"/>
        <v>1.0059968503937007</v>
      </c>
    </row>
    <row r="7" spans="1:10" ht="15" customHeight="1" x14ac:dyDescent="0.25">
      <c r="A7" s="4"/>
      <c r="B7" s="9" t="s">
        <v>35</v>
      </c>
      <c r="C7" s="51">
        <v>19868</v>
      </c>
      <c r="D7" s="47">
        <v>847.56</v>
      </c>
      <c r="E7" s="80">
        <f t="shared" si="1"/>
        <v>0.10895162915825109</v>
      </c>
      <c r="F7" s="58" t="s">
        <v>54</v>
      </c>
      <c r="G7" s="59">
        <v>45799</v>
      </c>
      <c r="H7" s="58">
        <v>7440</v>
      </c>
      <c r="I7" s="58">
        <v>7779.232</v>
      </c>
      <c r="J7" s="60">
        <f t="shared" si="0"/>
        <v>1.0455956989247313</v>
      </c>
    </row>
    <row r="8" spans="1:10" ht="15" customHeight="1" x14ac:dyDescent="0.25">
      <c r="A8" s="4"/>
      <c r="B8" s="9" t="s">
        <v>4</v>
      </c>
      <c r="C8" s="51">
        <v>750</v>
      </c>
      <c r="D8" s="47">
        <v>32.049999999999997</v>
      </c>
      <c r="E8" s="80">
        <f t="shared" si="1"/>
        <v>4.11994397390385E-3</v>
      </c>
      <c r="F8" s="58" t="s">
        <v>55</v>
      </c>
      <c r="G8" s="59">
        <v>45800</v>
      </c>
      <c r="H8" s="58">
        <v>7740</v>
      </c>
      <c r="I8" s="58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v>28721</v>
      </c>
      <c r="D9" s="47">
        <v>1225.0340000000001</v>
      </c>
      <c r="E9" s="84">
        <f t="shared" si="1"/>
        <v>0.15747492811629735</v>
      </c>
      <c r="F9" s="58" t="s">
        <v>56</v>
      </c>
      <c r="G9" s="59">
        <v>45801</v>
      </c>
      <c r="H9" s="58">
        <v>6194</v>
      </c>
      <c r="I9" s="58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47258</v>
      </c>
      <c r="D10" s="47">
        <v>2013.732</v>
      </c>
      <c r="E10" s="84">
        <f t="shared" si="1"/>
        <v>0.25886000057589231</v>
      </c>
      <c r="F10" s="58" t="s">
        <v>57</v>
      </c>
      <c r="G10" s="59">
        <v>45802</v>
      </c>
      <c r="H10" s="58">
        <v>4327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13770</v>
      </c>
      <c r="D11" s="47">
        <v>586.92600000000004</v>
      </c>
      <c r="E11" s="80">
        <f t="shared" si="1"/>
        <v>7.5447807701325795E-2</v>
      </c>
      <c r="H11" s="58">
        <f>+SUM(H4:H6)</f>
        <v>22173</v>
      </c>
      <c r="I11" s="58">
        <f>+SUM(I4:I10)</f>
        <v>29933.282000000003</v>
      </c>
      <c r="J11" s="60">
        <f t="shared" si="0"/>
        <v>1.3499879132277997</v>
      </c>
    </row>
    <row r="12" spans="1:10" ht="15" customHeight="1" x14ac:dyDescent="0.25">
      <c r="A12" s="4"/>
      <c r="B12" s="9" t="s">
        <v>81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50</v>
      </c>
      <c r="C13" s="51"/>
      <c r="D13" s="47"/>
      <c r="E13" s="80">
        <f t="shared" si="1"/>
        <v>0</v>
      </c>
    </row>
    <row r="14" spans="1:10" ht="15" customHeight="1" x14ac:dyDescent="0.25">
      <c r="A14" s="4"/>
      <c r="B14" s="9" t="s">
        <v>44</v>
      </c>
      <c r="C14" s="51"/>
      <c r="D14" s="47"/>
      <c r="E14" s="80">
        <f t="shared" si="1"/>
        <v>0</v>
      </c>
    </row>
    <row r="15" spans="1:10" ht="15" customHeight="1" x14ac:dyDescent="0.25">
      <c r="A15" s="4"/>
      <c r="B15" s="9" t="s">
        <v>39</v>
      </c>
      <c r="C15" s="51">
        <v>322</v>
      </c>
      <c r="D15" s="47">
        <v>484.18</v>
      </c>
      <c r="E15" s="80">
        <f t="shared" si="1"/>
        <v>6.2240077169571494E-2</v>
      </c>
    </row>
    <row r="16" spans="1:10" ht="15" customHeight="1" x14ac:dyDescent="0.25">
      <c r="A16" s="4"/>
      <c r="B16" s="9" t="s">
        <v>43</v>
      </c>
      <c r="C16" s="51">
        <v>175</v>
      </c>
      <c r="D16" s="47">
        <v>263.52</v>
      </c>
      <c r="E16" s="80">
        <f t="shared" si="1"/>
        <v>3.3874809235667477E-2</v>
      </c>
    </row>
    <row r="17" spans="1:7" ht="15" customHeight="1" x14ac:dyDescent="0.25">
      <c r="A17" s="4"/>
      <c r="B17" s="9" t="s">
        <v>45</v>
      </c>
      <c r="C17" s="51">
        <v>22</v>
      </c>
      <c r="D17" s="47">
        <v>33.049999999999997</v>
      </c>
      <c r="E17" s="80">
        <f t="shared" si="1"/>
        <v>4.2484913677854055E-3</v>
      </c>
    </row>
    <row r="18" spans="1:7" ht="15" customHeight="1" x14ac:dyDescent="0.25">
      <c r="A18" s="4"/>
      <c r="B18" s="9" t="s">
        <v>41</v>
      </c>
      <c r="C18" s="51">
        <v>289</v>
      </c>
      <c r="D18" s="47">
        <v>434.77</v>
      </c>
      <c r="E18" s="80">
        <f t="shared" si="1"/>
        <v>5.5888550437883842E-2</v>
      </c>
    </row>
    <row r="19" spans="1:7" ht="15" customHeight="1" x14ac:dyDescent="0.25">
      <c r="A19" s="4"/>
      <c r="B19" s="9" t="s">
        <v>49</v>
      </c>
      <c r="C19" s="51">
        <v>64</v>
      </c>
      <c r="D19" s="47">
        <v>96.2</v>
      </c>
      <c r="E19" s="80">
        <f t="shared" si="1"/>
        <v>1.236625929140563E-2</v>
      </c>
    </row>
    <row r="20" spans="1:7" ht="15" customHeight="1" x14ac:dyDescent="0.25">
      <c r="A20" s="4"/>
      <c r="B20" s="9" t="s">
        <v>88</v>
      </c>
      <c r="C20" s="51">
        <v>20</v>
      </c>
      <c r="D20" s="47">
        <v>30.04</v>
      </c>
      <c r="E20" s="80">
        <f t="shared" si="1"/>
        <v>3.8615637122019243E-3</v>
      </c>
    </row>
    <row r="21" spans="1:7" ht="15" customHeight="1" x14ac:dyDescent="0.25">
      <c r="A21" s="4"/>
      <c r="B21" s="9" t="s">
        <v>85</v>
      </c>
      <c r="C21" s="51"/>
      <c r="D21" s="47"/>
      <c r="E21" s="80">
        <f t="shared" si="1"/>
        <v>0</v>
      </c>
    </row>
    <row r="22" spans="1:7" ht="15" customHeight="1" x14ac:dyDescent="0.25">
      <c r="A22" s="4"/>
      <c r="B22" s="9" t="s">
        <v>40</v>
      </c>
      <c r="C22" s="51"/>
      <c r="D22" s="47">
        <v>393.95</v>
      </c>
      <c r="E22" s="80">
        <f t="shared" si="1"/>
        <v>5.0641245819638747E-2</v>
      </c>
    </row>
    <row r="23" spans="1:7" ht="15" customHeight="1" x14ac:dyDescent="0.25">
      <c r="A23" s="4"/>
      <c r="B23" s="9" t="s">
        <v>9</v>
      </c>
      <c r="C23" s="51"/>
      <c r="D23" s="47">
        <v>93.6</v>
      </c>
      <c r="E23" s="80">
        <f t="shared" si="1"/>
        <v>1.2032036067313585E-2</v>
      </c>
    </row>
    <row r="24" spans="1:7" ht="15" customHeight="1" thickBot="1" x14ac:dyDescent="0.3">
      <c r="A24" s="4"/>
      <c r="B24" s="10" t="s">
        <v>46</v>
      </c>
      <c r="C24" s="54"/>
      <c r="D24" s="55">
        <v>60.56</v>
      </c>
      <c r="E24" s="80">
        <f t="shared" si="1"/>
        <v>7.7848301734669955E-3</v>
      </c>
    </row>
    <row r="25" spans="1:7" ht="15" customHeight="1" thickBot="1" x14ac:dyDescent="0.3">
      <c r="B25" s="52" t="s">
        <v>0</v>
      </c>
      <c r="C25" s="44"/>
      <c r="D25" s="45">
        <f>SUM(D5:D24)</f>
        <v>7779.232</v>
      </c>
      <c r="F25" s="3"/>
    </row>
    <row r="26" spans="1:7" ht="15" customHeight="1" x14ac:dyDescent="0.25">
      <c r="B26" s="6" t="s">
        <v>1</v>
      </c>
      <c r="C26" s="7"/>
      <c r="D26" s="48">
        <v>147488.35399999999</v>
      </c>
      <c r="E26" s="63">
        <f>+D26/E2</f>
        <v>0.7104859336763204</v>
      </c>
      <c r="F26" s="3"/>
    </row>
    <row r="27" spans="1:7" ht="15" customHeight="1" x14ac:dyDescent="0.25">
      <c r="D27" s="3">
        <f>+(E2/31)*22</f>
        <v>147320.51612903224</v>
      </c>
      <c r="E27" s="63">
        <f>+D27/E2</f>
        <v>0.70967741935483863</v>
      </c>
    </row>
    <row r="28" spans="1:7" ht="15" customHeight="1" x14ac:dyDescent="0.25">
      <c r="D28" s="64">
        <f>+D26-D27</f>
        <v>167.83787096774904</v>
      </c>
      <c r="E28" s="65">
        <f>E26-E27</f>
        <v>8.0851432148176805E-4</v>
      </c>
    </row>
    <row r="29" spans="1:7" ht="15" customHeight="1" x14ac:dyDescent="0.25">
      <c r="G29" s="3"/>
    </row>
    <row r="30" spans="1:7" ht="15" customHeight="1" x14ac:dyDescent="0.25">
      <c r="B30" s="66" t="s">
        <v>60</v>
      </c>
      <c r="G30" s="3"/>
    </row>
    <row r="31" spans="1:7" ht="15" customHeight="1" x14ac:dyDescent="0.25">
      <c r="B31" s="2" t="s">
        <v>61</v>
      </c>
      <c r="C31" s="2">
        <v>98</v>
      </c>
    </row>
    <row r="32" spans="1:7" ht="15" customHeight="1" x14ac:dyDescent="0.25">
      <c r="B32" s="2" t="s">
        <v>62</v>
      </c>
      <c r="C32" s="2">
        <v>904</v>
      </c>
      <c r="D32" s="86" t="s">
        <v>86</v>
      </c>
      <c r="E32" s="87">
        <v>14755</v>
      </c>
      <c r="F32" s="88">
        <v>368.875</v>
      </c>
    </row>
    <row r="33" spans="1:7" ht="15" customHeight="1" x14ac:dyDescent="0.25">
      <c r="B33" s="2" t="s">
        <v>63</v>
      </c>
      <c r="C33" s="67">
        <v>477</v>
      </c>
      <c r="D33" s="89" t="s">
        <v>87</v>
      </c>
      <c r="E33" s="87">
        <v>162</v>
      </c>
      <c r="F33" s="88">
        <v>243</v>
      </c>
    </row>
    <row r="34" spans="1:7" ht="15" customHeight="1" x14ac:dyDescent="0.25">
      <c r="C34" s="2">
        <f>+SUM(C31:C33)</f>
        <v>1479</v>
      </c>
    </row>
    <row r="35" spans="1:7" ht="15" customHeight="1" x14ac:dyDescent="0.25"/>
    <row r="36" spans="1:7" ht="15" customHeight="1" x14ac:dyDescent="0.25">
      <c r="B36" s="2" t="s">
        <v>66</v>
      </c>
      <c r="D36" s="2"/>
    </row>
    <row r="37" spans="1:7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</row>
    <row r="38" spans="1:7" ht="15" customHeight="1" x14ac:dyDescent="0.25">
      <c r="B38" s="73">
        <v>33</v>
      </c>
      <c r="C38" s="74">
        <v>1</v>
      </c>
      <c r="D38" s="74">
        <v>24</v>
      </c>
      <c r="E38" s="75">
        <f>+SUM(B38:D38)</f>
        <v>58</v>
      </c>
    </row>
    <row r="39" spans="1:7" ht="15" customHeight="1" x14ac:dyDescent="0.25"/>
    <row r="40" spans="1:7" ht="15" customHeight="1" x14ac:dyDescent="0.25">
      <c r="D40" s="2"/>
      <c r="E40" s="66" t="s">
        <v>76</v>
      </c>
    </row>
    <row r="41" spans="1:7" ht="15" customHeight="1" x14ac:dyDescent="0.25">
      <c r="A41" s="2" t="s">
        <v>70</v>
      </c>
      <c r="F41" s="2" t="s">
        <v>90</v>
      </c>
      <c r="G41" s="2" t="s">
        <v>89</v>
      </c>
    </row>
    <row r="42" spans="1:7" ht="15" customHeight="1" x14ac:dyDescent="0.25">
      <c r="A42" s="2" t="s">
        <v>71</v>
      </c>
      <c r="B42" s="2">
        <v>13.2</v>
      </c>
      <c r="C42" s="2">
        <v>2368</v>
      </c>
      <c r="D42" s="68">
        <v>3600</v>
      </c>
      <c r="E42" s="57">
        <f>+C42/D42</f>
        <v>0.65777777777777779</v>
      </c>
      <c r="F42" s="2">
        <v>10</v>
      </c>
      <c r="G42" s="2">
        <v>12</v>
      </c>
    </row>
    <row r="43" spans="1:7" ht="15" customHeight="1" x14ac:dyDescent="0.25">
      <c r="A43" s="2" t="s">
        <v>72</v>
      </c>
      <c r="B43" s="2">
        <v>4.62</v>
      </c>
      <c r="C43" s="2">
        <v>2552</v>
      </c>
      <c r="D43" s="68">
        <v>3600</v>
      </c>
      <c r="E43" s="57">
        <f>+C43/D43</f>
        <v>0.7088888888888889</v>
      </c>
    </row>
    <row r="44" spans="1:7" ht="15" customHeight="1" x14ac:dyDescent="0.25">
      <c r="A44" s="2" t="s">
        <v>73</v>
      </c>
      <c r="B44" s="2">
        <v>18.059999999999999</v>
      </c>
      <c r="C44" s="2">
        <v>2841</v>
      </c>
      <c r="D44" s="68">
        <v>3900</v>
      </c>
      <c r="E44" s="57">
        <f>+C44/D44</f>
        <v>0.72846153846153849</v>
      </c>
    </row>
    <row r="45" spans="1:7" ht="15" customHeight="1" x14ac:dyDescent="0.25">
      <c r="A45" s="2" t="s">
        <v>74</v>
      </c>
      <c r="B45" s="2">
        <v>16.16</v>
      </c>
      <c r="C45" s="2">
        <v>2956</v>
      </c>
      <c r="D45" s="68">
        <v>3900</v>
      </c>
      <c r="E45" s="57">
        <f>+C45/D45</f>
        <v>0.75794871794871799</v>
      </c>
      <c r="F45" s="2">
        <v>11</v>
      </c>
    </row>
    <row r="46" spans="1:7" ht="15" customHeight="1" x14ac:dyDescent="0.25">
      <c r="A46" s="2" t="s">
        <v>75</v>
      </c>
      <c r="B46" s="2" t="s">
        <v>77</v>
      </c>
    </row>
    <row r="47" spans="1:7" ht="15" customHeight="1" x14ac:dyDescent="0.25">
      <c r="C47" s="71" t="s">
        <v>83</v>
      </c>
      <c r="D47" s="72" t="s">
        <v>79</v>
      </c>
    </row>
    <row r="48" spans="1:7" ht="15" customHeight="1" x14ac:dyDescent="0.25">
      <c r="B48" s="2" t="s">
        <v>78</v>
      </c>
      <c r="C48" s="71">
        <v>4</v>
      </c>
      <c r="D48" s="72">
        <v>3</v>
      </c>
    </row>
    <row r="49" spans="3:4" ht="15" customHeight="1" x14ac:dyDescent="0.25">
      <c r="C49" s="71">
        <v>6</v>
      </c>
      <c r="D49" s="72">
        <v>18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activeCell="B1" sqref="B1:D1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5" width="11.42578125" style="2"/>
    <col min="6" max="6" width="11.140625" style="2" bestFit="1" customWidth="1"/>
    <col min="7" max="7" width="10.42578125" style="2" bestFit="1" customWidth="1"/>
    <col min="8" max="8" width="10.85546875" style="2" bestFit="1" customWidth="1"/>
    <col min="9" max="9" width="10" style="2" bestFit="1" customWidth="1"/>
    <col min="10" max="10" width="5.28515625" style="2" bestFit="1" customWidth="1"/>
    <col min="11" max="16384" width="11.42578125" style="2"/>
  </cols>
  <sheetData>
    <row r="1" spans="1:10" ht="15" customHeight="1" x14ac:dyDescent="0.25">
      <c r="A1" s="1"/>
      <c r="B1" s="518">
        <v>45802</v>
      </c>
      <c r="C1" s="518"/>
      <c r="D1" s="518"/>
      <c r="E1" s="61" t="s">
        <v>82</v>
      </c>
    </row>
    <row r="2" spans="1:10" x14ac:dyDescent="0.25">
      <c r="E2" s="62">
        <v>207588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91"/>
      <c r="C4" s="91"/>
      <c r="D4" s="5">
        <f>D25</f>
        <v>5008.4990000000007</v>
      </c>
      <c r="F4" s="58" t="s">
        <v>51</v>
      </c>
      <c r="G4" s="59">
        <v>45796</v>
      </c>
      <c r="H4" s="58">
        <v>6179</v>
      </c>
      <c r="I4" s="58">
        <v>6031.438000000001</v>
      </c>
      <c r="J4" s="60">
        <f>+I4/H4</f>
        <v>0.97611878944813091</v>
      </c>
    </row>
    <row r="5" spans="1:10" ht="15" customHeight="1" x14ac:dyDescent="0.25">
      <c r="A5" s="4"/>
      <c r="B5" s="8" t="s">
        <v>10</v>
      </c>
      <c r="C5" s="50">
        <v>11719</v>
      </c>
      <c r="D5" s="46">
        <v>500.26600000000002</v>
      </c>
      <c r="E5" s="80">
        <f>+D5/$D$4</f>
        <v>9.9883418165801763E-2</v>
      </c>
      <c r="F5" s="58" t="s">
        <v>52</v>
      </c>
      <c r="G5" s="59">
        <v>45797</v>
      </c>
      <c r="H5" s="58">
        <v>8374</v>
      </c>
      <c r="I5" s="58">
        <v>8456.9160000000011</v>
      </c>
      <c r="J5" s="60">
        <f t="shared" ref="J5:J11" si="0">+I5/H5</f>
        <v>1.0099016001910677</v>
      </c>
    </row>
    <row r="6" spans="1:10" ht="15" customHeight="1" x14ac:dyDescent="0.25">
      <c r="A6" s="4"/>
      <c r="B6" s="9" t="s">
        <v>35</v>
      </c>
      <c r="C6" s="51">
        <v>7945</v>
      </c>
      <c r="D6" s="47">
        <v>339.12</v>
      </c>
      <c r="E6" s="80">
        <f t="shared" ref="E6:E24" si="1">+D6/$D$4</f>
        <v>6.7708908397505915E-2</v>
      </c>
      <c r="F6" s="58" t="s">
        <v>53</v>
      </c>
      <c r="G6" s="59">
        <v>45798</v>
      </c>
      <c r="H6" s="58">
        <v>7620</v>
      </c>
      <c r="I6" s="58">
        <v>7665.6959999999999</v>
      </c>
      <c r="J6" s="60">
        <f t="shared" si="0"/>
        <v>1.0059968503937007</v>
      </c>
    </row>
    <row r="7" spans="1:10" ht="15" customHeight="1" x14ac:dyDescent="0.25">
      <c r="A7" s="4"/>
      <c r="B7" s="9" t="s">
        <v>4</v>
      </c>
      <c r="C7" s="51">
        <v>8541</v>
      </c>
      <c r="D7" s="47">
        <v>363.89</v>
      </c>
      <c r="E7" s="80">
        <f t="shared" si="1"/>
        <v>7.2654501877708264E-2</v>
      </c>
      <c r="F7" s="58" t="s">
        <v>54</v>
      </c>
      <c r="G7" s="59">
        <v>45799</v>
      </c>
      <c r="H7" s="58">
        <v>7440</v>
      </c>
      <c r="I7" s="58">
        <v>7779.232</v>
      </c>
      <c r="J7" s="60">
        <f t="shared" si="0"/>
        <v>1.0455956989247313</v>
      </c>
    </row>
    <row r="8" spans="1:10" ht="15" customHeight="1" x14ac:dyDescent="0.25">
      <c r="A8" s="4"/>
      <c r="B8" s="9" t="s">
        <v>37</v>
      </c>
      <c r="C8" s="51">
        <v>23403</v>
      </c>
      <c r="D8" s="47">
        <v>998.28399999999999</v>
      </c>
      <c r="E8" s="80">
        <f t="shared" si="1"/>
        <v>0.19931799926484958</v>
      </c>
      <c r="F8" s="58" t="s">
        <v>55</v>
      </c>
      <c r="G8" s="59">
        <v>45800</v>
      </c>
      <c r="H8" s="58">
        <v>7740</v>
      </c>
      <c r="I8" s="58">
        <v>8520.68</v>
      </c>
      <c r="J8" s="60">
        <f t="shared" si="0"/>
        <v>1.1008630490956073</v>
      </c>
    </row>
    <row r="9" spans="1:10" ht="15" customHeight="1" x14ac:dyDescent="0.25">
      <c r="A9" s="4"/>
      <c r="B9" s="9" t="s">
        <v>38</v>
      </c>
      <c r="C9" s="51">
        <v>18556</v>
      </c>
      <c r="D9" s="47">
        <v>791.91400000000021</v>
      </c>
      <c r="E9" s="84">
        <f t="shared" si="1"/>
        <v>0.15811403775861793</v>
      </c>
      <c r="F9" s="58" t="s">
        <v>56</v>
      </c>
      <c r="G9" s="59">
        <v>45801</v>
      </c>
      <c r="H9" s="58">
        <v>6194</v>
      </c>
      <c r="I9" s="58">
        <v>6660.5</v>
      </c>
      <c r="J9" s="60">
        <f t="shared" si="0"/>
        <v>1.0753148207943171</v>
      </c>
    </row>
    <row r="10" spans="1:10" ht="15" customHeight="1" x14ac:dyDescent="0.25">
      <c r="A10" s="4"/>
      <c r="B10" s="9" t="s">
        <v>42</v>
      </c>
      <c r="C10" s="51">
        <v>6908</v>
      </c>
      <c r="D10" s="47">
        <v>294.55999999999995</v>
      </c>
      <c r="E10" s="84">
        <f t="shared" si="1"/>
        <v>5.8812031309180633E-2</v>
      </c>
      <c r="F10" s="58" t="s">
        <v>57</v>
      </c>
      <c r="G10" s="59">
        <v>45802</v>
      </c>
      <c r="H10" s="58">
        <v>4327</v>
      </c>
      <c r="I10" s="58">
        <v>5008.4990000000007</v>
      </c>
      <c r="J10" s="60">
        <f t="shared" si="0"/>
        <v>1.1574991911254913</v>
      </c>
    </row>
    <row r="11" spans="1:10" ht="15" customHeight="1" x14ac:dyDescent="0.25">
      <c r="A11" s="4"/>
      <c r="B11" s="9" t="s">
        <v>6</v>
      </c>
      <c r="C11" s="51">
        <v>2410</v>
      </c>
      <c r="D11" s="47">
        <v>102.87999999999998</v>
      </c>
      <c r="E11" s="80">
        <f t="shared" si="1"/>
        <v>2.0541084264966404E-2</v>
      </c>
      <c r="H11" s="58">
        <f>+SUM(H4:H10)</f>
        <v>47874</v>
      </c>
      <c r="I11" s="58">
        <f>+SUM(I4:I10)</f>
        <v>50122.961000000003</v>
      </c>
      <c r="J11" s="60">
        <f t="shared" si="0"/>
        <v>1.0469766679199566</v>
      </c>
    </row>
    <row r="12" spans="1:10" ht="15" customHeight="1" x14ac:dyDescent="0.25">
      <c r="A12" s="4"/>
      <c r="B12" s="9" t="s">
        <v>47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43</v>
      </c>
      <c r="C13" s="51">
        <v>23</v>
      </c>
      <c r="D13" s="47">
        <v>34.57</v>
      </c>
      <c r="E13" s="80">
        <f t="shared" si="1"/>
        <v>6.9022675256598821E-3</v>
      </c>
    </row>
    <row r="14" spans="1:10" ht="15" customHeight="1" x14ac:dyDescent="0.25">
      <c r="A14" s="4"/>
      <c r="B14" s="9" t="s">
        <v>49</v>
      </c>
      <c r="C14" s="51">
        <v>66</v>
      </c>
      <c r="D14" s="47">
        <v>99.250000000000014</v>
      </c>
      <c r="E14" s="80">
        <f t="shared" si="1"/>
        <v>1.981631622567959E-2</v>
      </c>
    </row>
    <row r="15" spans="1:10" ht="15" customHeight="1" x14ac:dyDescent="0.25">
      <c r="A15" s="4"/>
      <c r="B15" s="9" t="s">
        <v>45</v>
      </c>
      <c r="C15" s="51">
        <v>31</v>
      </c>
      <c r="D15" s="47">
        <v>46.545000000000002</v>
      </c>
      <c r="E15" s="80">
        <f t="shared" si="1"/>
        <v>9.293203412838855E-3</v>
      </c>
    </row>
    <row r="16" spans="1:10" ht="15" customHeight="1" x14ac:dyDescent="0.25">
      <c r="A16" s="4"/>
      <c r="B16" s="9" t="s">
        <v>41</v>
      </c>
      <c r="C16" s="51">
        <v>97</v>
      </c>
      <c r="D16" s="47">
        <v>145.94999999999999</v>
      </c>
      <c r="E16" s="80">
        <f t="shared" si="1"/>
        <v>2.9140467034135371E-2</v>
      </c>
    </row>
    <row r="17" spans="1:7" ht="15" customHeight="1" x14ac:dyDescent="0.25">
      <c r="A17" s="4"/>
      <c r="B17" s="9" t="s">
        <v>39</v>
      </c>
      <c r="C17" s="51">
        <v>194</v>
      </c>
      <c r="D17" s="47">
        <v>292.18</v>
      </c>
      <c r="E17" s="80">
        <f t="shared" si="1"/>
        <v>5.8336839040998102E-2</v>
      </c>
    </row>
    <row r="18" spans="1:7" ht="15" customHeight="1" x14ac:dyDescent="0.25">
      <c r="A18" s="4"/>
      <c r="B18" s="9" t="s">
        <v>85</v>
      </c>
      <c r="C18" s="51">
        <v>181</v>
      </c>
      <c r="D18" s="47">
        <v>272.04000000000002</v>
      </c>
      <c r="E18" s="80">
        <f t="shared" si="1"/>
        <v>5.4315674216965995E-2</v>
      </c>
    </row>
    <row r="19" spans="1:7" ht="15" customHeight="1" x14ac:dyDescent="0.25">
      <c r="A19" s="4"/>
      <c r="B19" s="9" t="s">
        <v>49</v>
      </c>
      <c r="C19" s="51"/>
      <c r="D19" s="47"/>
      <c r="E19" s="80">
        <f t="shared" si="1"/>
        <v>0</v>
      </c>
    </row>
    <row r="20" spans="1:7" ht="15" customHeight="1" x14ac:dyDescent="0.25">
      <c r="A20" s="4"/>
      <c r="B20" s="9" t="s">
        <v>88</v>
      </c>
      <c r="C20" s="51"/>
      <c r="D20" s="47"/>
      <c r="E20" s="80">
        <f t="shared" si="1"/>
        <v>0</v>
      </c>
    </row>
    <row r="21" spans="1:7" ht="15" customHeight="1" x14ac:dyDescent="0.25">
      <c r="A21" s="4"/>
      <c r="B21" s="9" t="s">
        <v>85</v>
      </c>
      <c r="C21" s="51"/>
      <c r="D21" s="47"/>
      <c r="E21" s="80">
        <f t="shared" si="1"/>
        <v>0</v>
      </c>
    </row>
    <row r="22" spans="1:7" ht="15" customHeight="1" x14ac:dyDescent="0.25">
      <c r="A22" s="4"/>
      <c r="B22" s="9" t="s">
        <v>9</v>
      </c>
      <c r="C22" s="51"/>
      <c r="D22" s="47">
        <v>277.65000000000003</v>
      </c>
      <c r="E22" s="80">
        <f t="shared" si="1"/>
        <v>5.5435770277681998E-2</v>
      </c>
    </row>
    <row r="23" spans="1:7" ht="15" customHeight="1" x14ac:dyDescent="0.25">
      <c r="A23" s="4"/>
      <c r="B23" s="9" t="s">
        <v>46</v>
      </c>
      <c r="C23" s="51"/>
      <c r="D23" s="47">
        <v>89.14</v>
      </c>
      <c r="E23" s="80">
        <f t="shared" si="1"/>
        <v>1.7797747388988195E-2</v>
      </c>
    </row>
    <row r="24" spans="1:7" ht="15" customHeight="1" thickBot="1" x14ac:dyDescent="0.3">
      <c r="A24" s="4"/>
      <c r="B24" s="10" t="s">
        <v>40</v>
      </c>
      <c r="C24" s="54"/>
      <c r="D24" s="55">
        <v>360.26</v>
      </c>
      <c r="E24" s="80">
        <f t="shared" si="1"/>
        <v>7.1929733838421439E-2</v>
      </c>
    </row>
    <row r="25" spans="1:7" ht="15" customHeight="1" thickBot="1" x14ac:dyDescent="0.3">
      <c r="B25" s="52" t="s">
        <v>0</v>
      </c>
      <c r="C25" s="44"/>
      <c r="D25" s="45">
        <f>SUM(D5:D24)</f>
        <v>5008.4990000000007</v>
      </c>
      <c r="F25" s="3"/>
    </row>
    <row r="26" spans="1:7" ht="15" customHeight="1" x14ac:dyDescent="0.25">
      <c r="B26" s="6" t="s">
        <v>1</v>
      </c>
      <c r="C26" s="7"/>
      <c r="D26" s="48">
        <v>167678.04999999999</v>
      </c>
      <c r="E26" s="63">
        <f>+D26/E2</f>
        <v>0.80774442646010358</v>
      </c>
      <c r="F26" s="3"/>
    </row>
    <row r="27" spans="1:7" ht="15" customHeight="1" x14ac:dyDescent="0.25">
      <c r="D27" s="3">
        <f>+(E2/31)*25</f>
        <v>167409.67741935482</v>
      </c>
      <c r="E27" s="63">
        <f>+D27/E2</f>
        <v>0.80645161290322576</v>
      </c>
    </row>
    <row r="28" spans="1:7" ht="15" customHeight="1" x14ac:dyDescent="0.25">
      <c r="D28" s="64">
        <f>+D26-D27</f>
        <v>268.37258064516936</v>
      </c>
      <c r="E28" s="65">
        <f>E26-E27</f>
        <v>1.2928135568778254E-3</v>
      </c>
    </row>
    <row r="29" spans="1:7" ht="15" customHeight="1" x14ac:dyDescent="0.25">
      <c r="G29" s="3"/>
    </row>
    <row r="30" spans="1:7" ht="15" customHeight="1" x14ac:dyDescent="0.25">
      <c r="B30" s="66" t="s">
        <v>60</v>
      </c>
      <c r="G30" s="3"/>
    </row>
    <row r="31" spans="1:7" ht="15" customHeight="1" x14ac:dyDescent="0.25">
      <c r="B31" s="2" t="s">
        <v>61</v>
      </c>
      <c r="C31" s="2">
        <v>693</v>
      </c>
      <c r="F31" s="2" t="s">
        <v>92</v>
      </c>
    </row>
    <row r="32" spans="1:7" ht="15" customHeight="1" x14ac:dyDescent="0.25">
      <c r="B32" s="2" t="s">
        <v>62</v>
      </c>
      <c r="C32" s="2">
        <v>904</v>
      </c>
      <c r="D32" s="86" t="s">
        <v>86</v>
      </c>
      <c r="E32" s="87">
        <v>15906</v>
      </c>
      <c r="F32" s="88">
        <v>397.65000000000003</v>
      </c>
    </row>
    <row r="33" spans="1:8" ht="15" customHeight="1" x14ac:dyDescent="0.25">
      <c r="B33" s="2" t="s">
        <v>63</v>
      </c>
      <c r="C33" s="67">
        <v>1814</v>
      </c>
      <c r="D33" s="89" t="s">
        <v>87</v>
      </c>
      <c r="E33" s="87">
        <v>162</v>
      </c>
      <c r="F33" s="88">
        <v>243</v>
      </c>
    </row>
    <row r="34" spans="1:8" ht="15" customHeight="1" x14ac:dyDescent="0.25">
      <c r="C34" s="2">
        <f>+SUM(C31:C33)</f>
        <v>3411</v>
      </c>
      <c r="D34" s="89" t="s">
        <v>91</v>
      </c>
      <c r="E34" s="87">
        <v>171</v>
      </c>
      <c r="F34" s="88">
        <v>256.5</v>
      </c>
    </row>
    <row r="35" spans="1:8" ht="15" customHeight="1" x14ac:dyDescent="0.25"/>
    <row r="36" spans="1:8" ht="15" customHeight="1" x14ac:dyDescent="0.25">
      <c r="B36" s="2" t="s">
        <v>66</v>
      </c>
      <c r="D36" s="2"/>
    </row>
    <row r="37" spans="1:8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</row>
    <row r="38" spans="1:8" ht="15" customHeight="1" x14ac:dyDescent="0.25">
      <c r="B38" s="73">
        <v>11</v>
      </c>
      <c r="C38" s="74">
        <v>2</v>
      </c>
      <c r="D38" s="74">
        <v>7</v>
      </c>
      <c r="E38" s="75">
        <f>+SUM(B38:D38)</f>
        <v>20</v>
      </c>
    </row>
    <row r="39" spans="1:8" ht="15" customHeight="1" x14ac:dyDescent="0.25">
      <c r="E39" s="66" t="s">
        <v>76</v>
      </c>
    </row>
    <row r="40" spans="1:8" ht="15" customHeight="1" x14ac:dyDescent="0.25">
      <c r="D40" s="2"/>
      <c r="F40" s="2" t="s">
        <v>90</v>
      </c>
      <c r="G40" s="2" t="s">
        <v>89</v>
      </c>
    </row>
    <row r="41" spans="1:8" ht="15" customHeight="1" x14ac:dyDescent="0.25">
      <c r="A41" s="2" t="s">
        <v>70</v>
      </c>
    </row>
    <row r="42" spans="1:8" ht="15" customHeight="1" x14ac:dyDescent="0.25">
      <c r="A42" s="2" t="s">
        <v>71</v>
      </c>
      <c r="B42" s="2">
        <v>7.91</v>
      </c>
      <c r="C42" s="2">
        <v>2171</v>
      </c>
      <c r="D42" s="68">
        <v>3600</v>
      </c>
      <c r="E42" s="57">
        <f>+C42/D42</f>
        <v>0.60305555555555557</v>
      </c>
      <c r="F42" s="2">
        <v>11</v>
      </c>
      <c r="G42" s="2">
        <v>12</v>
      </c>
      <c r="H42" s="2" t="s">
        <v>94</v>
      </c>
    </row>
    <row r="43" spans="1:8" ht="15" customHeight="1" x14ac:dyDescent="0.25">
      <c r="A43" s="2" t="s">
        <v>72</v>
      </c>
      <c r="B43" s="2">
        <v>9.9600000000000009</v>
      </c>
      <c r="C43" s="2">
        <v>2352</v>
      </c>
      <c r="D43" s="68">
        <v>3600</v>
      </c>
      <c r="E43" s="57">
        <f>+C43/D43</f>
        <v>0.65333333333333332</v>
      </c>
    </row>
    <row r="44" spans="1:8" ht="15" customHeight="1" x14ac:dyDescent="0.25">
      <c r="A44" s="2" t="s">
        <v>73</v>
      </c>
      <c r="B44" s="2">
        <v>8.69</v>
      </c>
      <c r="C44" s="2">
        <v>2577</v>
      </c>
      <c r="D44" s="68">
        <v>3900</v>
      </c>
      <c r="E44" s="57">
        <f>+C44/D44</f>
        <v>0.66076923076923078</v>
      </c>
    </row>
    <row r="45" spans="1:8" ht="15" customHeight="1" x14ac:dyDescent="0.25">
      <c r="A45" s="2" t="s">
        <v>74</v>
      </c>
      <c r="B45" s="2">
        <v>13.47</v>
      </c>
      <c r="C45" s="2">
        <v>2865</v>
      </c>
      <c r="D45" s="68">
        <v>3900</v>
      </c>
      <c r="E45" s="57">
        <f>+C45/D45</f>
        <v>0.73461538461538467</v>
      </c>
      <c r="F45" s="2">
        <v>11</v>
      </c>
    </row>
    <row r="46" spans="1:8" ht="15" customHeight="1" x14ac:dyDescent="0.25">
      <c r="A46" s="2" t="s">
        <v>75</v>
      </c>
      <c r="B46" s="2" t="s">
        <v>77</v>
      </c>
    </row>
    <row r="47" spans="1:8" ht="15" customHeight="1" x14ac:dyDescent="0.25">
      <c r="C47" s="71" t="s">
        <v>83</v>
      </c>
      <c r="D47" s="72" t="s">
        <v>79</v>
      </c>
    </row>
    <row r="48" spans="1:8" ht="15" customHeight="1" x14ac:dyDescent="0.25">
      <c r="B48" s="2" t="s">
        <v>78</v>
      </c>
      <c r="C48" s="71">
        <v>4</v>
      </c>
      <c r="D48" s="72">
        <v>0</v>
      </c>
    </row>
    <row r="49" spans="2:4" ht="15" customHeight="1" x14ac:dyDescent="0.25">
      <c r="C49" s="71">
        <v>6</v>
      </c>
      <c r="D49" s="72">
        <v>13</v>
      </c>
    </row>
    <row r="51" spans="2:4" x14ac:dyDescent="0.25">
      <c r="B51" s="2" t="s">
        <v>93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A12" workbookViewId="0">
      <selection activeCell="A27" sqref="A27:J51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5" width="11.42578125" style="2"/>
    <col min="6" max="6" width="9.7109375" style="2" bestFit="1" customWidth="1"/>
    <col min="7" max="7" width="11.42578125" style="2"/>
    <col min="8" max="8" width="6.28515625" style="2" bestFit="1" customWidth="1"/>
    <col min="9" max="9" width="9" style="2" bestFit="1" customWidth="1"/>
    <col min="10" max="10" width="4.28515625" style="2" bestFit="1" customWidth="1"/>
    <col min="11" max="16384" width="11.42578125" style="2"/>
  </cols>
  <sheetData>
    <row r="1" spans="1:10" ht="15" customHeight="1" x14ac:dyDescent="0.25">
      <c r="A1" s="1"/>
      <c r="B1" s="518">
        <v>45803</v>
      </c>
      <c r="C1" s="518"/>
      <c r="D1" s="518"/>
      <c r="E1" s="61" t="s">
        <v>82</v>
      </c>
    </row>
    <row r="2" spans="1:10" x14ac:dyDescent="0.25">
      <c r="E2" s="62">
        <v>207588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92"/>
      <c r="C4" s="92"/>
      <c r="D4" s="5">
        <f>D25</f>
        <v>6767.6739999999982</v>
      </c>
      <c r="F4" s="58" t="s">
        <v>51</v>
      </c>
      <c r="G4" s="59">
        <v>45803</v>
      </c>
      <c r="H4" s="58">
        <v>6960</v>
      </c>
      <c r="I4" s="58">
        <v>6767.6739999999982</v>
      </c>
      <c r="J4" s="60">
        <f>+I4/H4</f>
        <v>0.97236695402298823</v>
      </c>
    </row>
    <row r="5" spans="1:10" ht="15" customHeight="1" x14ac:dyDescent="0.25">
      <c r="A5" s="4"/>
      <c r="B5" s="8" t="s">
        <v>6</v>
      </c>
      <c r="C5" s="50">
        <v>4774</v>
      </c>
      <c r="D5" s="46">
        <v>203.75199999999998</v>
      </c>
      <c r="E5" s="80">
        <f>+D5/$D$4</f>
        <v>3.0106651118242404E-2</v>
      </c>
      <c r="F5" s="58" t="s">
        <v>52</v>
      </c>
      <c r="G5" s="59">
        <v>45804</v>
      </c>
      <c r="H5" s="58">
        <v>8203</v>
      </c>
      <c r="I5" s="58"/>
      <c r="J5" s="60">
        <f t="shared" ref="J5:J11" si="0">+I5/H5</f>
        <v>0</v>
      </c>
    </row>
    <row r="6" spans="1:10" ht="15" customHeight="1" x14ac:dyDescent="0.25">
      <c r="A6" s="4"/>
      <c r="B6" s="9" t="s">
        <v>10</v>
      </c>
      <c r="C6" s="51">
        <v>8364</v>
      </c>
      <c r="D6" s="47">
        <v>356.82000000000005</v>
      </c>
      <c r="E6" s="80">
        <f t="shared" ref="E6:E24" si="1">+D6/$D$4</f>
        <v>5.2724170815556443E-2</v>
      </c>
      <c r="F6" s="58" t="s">
        <v>53</v>
      </c>
      <c r="G6" s="59">
        <v>45805</v>
      </c>
      <c r="H6" s="58">
        <v>8366</v>
      </c>
      <c r="I6" s="58"/>
      <c r="J6" s="60">
        <f t="shared" si="0"/>
        <v>0</v>
      </c>
    </row>
    <row r="7" spans="1:10" ht="15" customHeight="1" x14ac:dyDescent="0.25">
      <c r="A7" s="4"/>
      <c r="B7" s="9" t="s">
        <v>35</v>
      </c>
      <c r="C7" s="51">
        <v>16082</v>
      </c>
      <c r="D7" s="47">
        <v>685.88</v>
      </c>
      <c r="E7" s="80">
        <f t="shared" si="1"/>
        <v>0.10134648920737024</v>
      </c>
      <c r="F7" s="58" t="s">
        <v>54</v>
      </c>
      <c r="G7" s="59">
        <v>45806</v>
      </c>
      <c r="H7" s="58">
        <v>9206</v>
      </c>
      <c r="I7" s="58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1490</v>
      </c>
      <c r="D8" s="47">
        <v>63.57</v>
      </c>
      <c r="E8" s="80">
        <f t="shared" si="1"/>
        <v>9.3931829458688484E-3</v>
      </c>
      <c r="F8" s="58" t="s">
        <v>55</v>
      </c>
      <c r="G8" s="59">
        <v>45807</v>
      </c>
      <c r="H8" s="58">
        <v>8287</v>
      </c>
      <c r="I8" s="58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v>25524</v>
      </c>
      <c r="D9" s="47">
        <v>1089.5760000000002</v>
      </c>
      <c r="E9" s="84">
        <f t="shared" si="1"/>
        <v>0.1609971165868806</v>
      </c>
      <c r="F9" s="58" t="s">
        <v>56</v>
      </c>
      <c r="G9" s="59">
        <v>45808</v>
      </c>
      <c r="H9" s="58">
        <v>7078</v>
      </c>
      <c r="I9" s="58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47934</v>
      </c>
      <c r="D10" s="47">
        <v>2045.2089999999998</v>
      </c>
      <c r="E10" s="84">
        <f t="shared" si="1"/>
        <v>0.30220264746794845</v>
      </c>
      <c r="F10" s="58" t="s">
        <v>57</v>
      </c>
      <c r="G10" s="59">
        <v>45809</v>
      </c>
      <c r="H10" s="58">
        <v>4155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14165</v>
      </c>
      <c r="D11" s="47">
        <v>605.06200000000001</v>
      </c>
      <c r="E11" s="80">
        <f t="shared" si="1"/>
        <v>8.9404720144616923E-2</v>
      </c>
      <c r="H11" s="58">
        <f>+SUM(H4:H10)</f>
        <v>52255</v>
      </c>
      <c r="I11" s="58">
        <f>+SUM(I4:I10)</f>
        <v>6767.6739999999982</v>
      </c>
      <c r="J11" s="60">
        <f t="shared" si="0"/>
        <v>0.12951246770643954</v>
      </c>
    </row>
    <row r="12" spans="1:10" ht="15" customHeight="1" x14ac:dyDescent="0.25">
      <c r="A12" s="4"/>
      <c r="B12" s="9" t="s">
        <v>95</v>
      </c>
      <c r="C12" s="51">
        <v>1</v>
      </c>
      <c r="D12" s="47">
        <v>2.5000000000000001E-2</v>
      </c>
      <c r="E12" s="80">
        <f t="shared" si="1"/>
        <v>3.6940313614396921E-6</v>
      </c>
    </row>
    <row r="13" spans="1:10" ht="15" customHeight="1" x14ac:dyDescent="0.25">
      <c r="A13" s="4"/>
      <c r="B13" s="9" t="s">
        <v>43</v>
      </c>
      <c r="C13" s="51">
        <v>21</v>
      </c>
      <c r="D13" s="47">
        <v>31.59</v>
      </c>
      <c r="E13" s="80">
        <f t="shared" si="1"/>
        <v>4.6677780283151948E-3</v>
      </c>
    </row>
    <row r="14" spans="1:10" ht="15" customHeight="1" x14ac:dyDescent="0.25">
      <c r="A14" s="4"/>
      <c r="B14" s="9" t="s">
        <v>44</v>
      </c>
      <c r="C14" s="51">
        <v>44</v>
      </c>
      <c r="D14" s="47">
        <v>66.2</v>
      </c>
      <c r="E14" s="80">
        <f t="shared" si="1"/>
        <v>9.7817950450923043E-3</v>
      </c>
    </row>
    <row r="15" spans="1:10" ht="15" customHeight="1" x14ac:dyDescent="0.25">
      <c r="A15" s="4"/>
      <c r="B15" s="9" t="s">
        <v>49</v>
      </c>
      <c r="C15" s="51">
        <v>22</v>
      </c>
      <c r="D15" s="47">
        <v>33.159999999999997</v>
      </c>
      <c r="E15" s="80">
        <f t="shared" si="1"/>
        <v>4.8997631978136072E-3</v>
      </c>
    </row>
    <row r="16" spans="1:10" ht="15" customHeight="1" x14ac:dyDescent="0.25">
      <c r="A16" s="4"/>
      <c r="B16" s="9" t="s">
        <v>41</v>
      </c>
      <c r="C16" s="51">
        <v>211</v>
      </c>
      <c r="D16" s="47">
        <v>317.36</v>
      </c>
      <c r="E16" s="80">
        <f t="shared" si="1"/>
        <v>4.6893511714660031E-2</v>
      </c>
    </row>
    <row r="17" spans="1:7" ht="15" customHeight="1" x14ac:dyDescent="0.25">
      <c r="A17" s="4"/>
      <c r="B17" s="9" t="s">
        <v>39</v>
      </c>
      <c r="C17" s="51">
        <v>278</v>
      </c>
      <c r="D17" s="47">
        <v>418.58</v>
      </c>
      <c r="E17" s="80">
        <f t="shared" si="1"/>
        <v>6.1849905890857051E-2</v>
      </c>
    </row>
    <row r="18" spans="1:7" ht="15" customHeight="1" x14ac:dyDescent="0.25">
      <c r="A18" s="4"/>
      <c r="B18" s="9" t="s">
        <v>85</v>
      </c>
      <c r="C18" s="51">
        <v>43</v>
      </c>
      <c r="D18" s="47">
        <v>64.540000000000006</v>
      </c>
      <c r="E18" s="80">
        <f t="shared" si="1"/>
        <v>9.5365113626927102E-3</v>
      </c>
    </row>
    <row r="19" spans="1:7" ht="15" customHeight="1" x14ac:dyDescent="0.25">
      <c r="A19" s="4"/>
      <c r="B19" s="9" t="s">
        <v>49</v>
      </c>
      <c r="C19" s="51"/>
      <c r="D19" s="47"/>
      <c r="E19" s="80">
        <f t="shared" si="1"/>
        <v>0</v>
      </c>
    </row>
    <row r="20" spans="1:7" ht="15" customHeight="1" x14ac:dyDescent="0.25">
      <c r="A20" s="4"/>
      <c r="B20" s="9" t="s">
        <v>88</v>
      </c>
      <c r="C20" s="51"/>
      <c r="D20" s="47"/>
      <c r="E20" s="80">
        <f t="shared" si="1"/>
        <v>0</v>
      </c>
    </row>
    <row r="21" spans="1:7" ht="15" customHeight="1" x14ac:dyDescent="0.25">
      <c r="A21" s="4"/>
      <c r="B21" s="9" t="s">
        <v>85</v>
      </c>
      <c r="C21" s="51"/>
      <c r="D21" s="47"/>
      <c r="E21" s="80">
        <f t="shared" si="1"/>
        <v>0</v>
      </c>
    </row>
    <row r="22" spans="1:7" ht="15" customHeight="1" x14ac:dyDescent="0.25">
      <c r="A22" s="4"/>
      <c r="B22" s="9" t="s">
        <v>9</v>
      </c>
      <c r="C22" s="51"/>
      <c r="D22" s="47">
        <v>181.15</v>
      </c>
      <c r="E22" s="80">
        <f t="shared" si="1"/>
        <v>2.676695124499201E-2</v>
      </c>
    </row>
    <row r="23" spans="1:7" ht="15" customHeight="1" x14ac:dyDescent="0.25">
      <c r="A23" s="4"/>
      <c r="B23" s="9" t="s">
        <v>46</v>
      </c>
      <c r="C23" s="51"/>
      <c r="D23" s="47">
        <v>62.44</v>
      </c>
      <c r="E23" s="80">
        <f t="shared" si="1"/>
        <v>9.2262127283317744E-3</v>
      </c>
    </row>
    <row r="24" spans="1:7" ht="15" customHeight="1" thickBot="1" x14ac:dyDescent="0.3">
      <c r="A24" s="4"/>
      <c r="B24" s="10" t="s">
        <v>40</v>
      </c>
      <c r="C24" s="54"/>
      <c r="D24" s="55">
        <v>542.76</v>
      </c>
      <c r="E24" s="80">
        <f t="shared" si="1"/>
        <v>8.0198898469400287E-2</v>
      </c>
    </row>
    <row r="25" spans="1:7" ht="15" customHeight="1" thickBot="1" x14ac:dyDescent="0.3">
      <c r="B25" s="52" t="s">
        <v>0</v>
      </c>
      <c r="C25" s="44"/>
      <c r="D25" s="45">
        <f>SUM(D5:D24)</f>
        <v>6767.6739999999982</v>
      </c>
      <c r="F25" s="3"/>
    </row>
    <row r="26" spans="1:7" ht="15" customHeight="1" x14ac:dyDescent="0.25">
      <c r="B26" s="6" t="s">
        <v>1</v>
      </c>
      <c r="C26" s="7"/>
      <c r="D26" s="48">
        <v>174445.72399999999</v>
      </c>
      <c r="E26" s="63">
        <f>+D26/E2</f>
        <v>0.84034589667996218</v>
      </c>
      <c r="F26" s="3"/>
    </row>
    <row r="27" spans="1:7" x14ac:dyDescent="0.25">
      <c r="D27" s="3">
        <f>+(E2/31)*26</f>
        <v>174106.06451612903</v>
      </c>
      <c r="E27" s="63">
        <f>+D27/E2</f>
        <v>0.83870967741935487</v>
      </c>
    </row>
    <row r="28" spans="1:7" x14ac:dyDescent="0.25">
      <c r="D28" s="64">
        <f>+D26-D27</f>
        <v>339.65948387095705</v>
      </c>
      <c r="E28" s="65">
        <f>E26-E27</f>
        <v>1.6362192606073078E-3</v>
      </c>
    </row>
    <row r="29" spans="1:7" x14ac:dyDescent="0.25">
      <c r="G29" s="3"/>
    </row>
    <row r="30" spans="1:7" x14ac:dyDescent="0.25">
      <c r="B30" s="66" t="s">
        <v>60</v>
      </c>
      <c r="G30" s="3"/>
    </row>
    <row r="31" spans="1:7" x14ac:dyDescent="0.25">
      <c r="B31" s="2" t="s">
        <v>61</v>
      </c>
      <c r="C31" s="2">
        <v>874</v>
      </c>
      <c r="F31" s="2" t="s">
        <v>92</v>
      </c>
    </row>
    <row r="32" spans="1:7" x14ac:dyDescent="0.25">
      <c r="B32" s="2" t="s">
        <v>62</v>
      </c>
      <c r="C32" s="2">
        <v>1212</v>
      </c>
      <c r="D32" s="86" t="s">
        <v>86</v>
      </c>
      <c r="E32" s="87">
        <v>15906</v>
      </c>
      <c r="F32" s="88">
        <v>397.65000000000003</v>
      </c>
    </row>
    <row r="33" spans="1:8" x14ac:dyDescent="0.25">
      <c r="B33" s="2" t="s">
        <v>63</v>
      </c>
      <c r="C33" s="67">
        <v>1275</v>
      </c>
      <c r="D33" s="89" t="s">
        <v>87</v>
      </c>
      <c r="E33" s="87">
        <v>162</v>
      </c>
      <c r="F33" s="88">
        <v>243</v>
      </c>
    </row>
    <row r="34" spans="1:8" x14ac:dyDescent="0.25">
      <c r="C34" s="2">
        <f>+SUM(C31:C33)</f>
        <v>3361</v>
      </c>
      <c r="D34" s="89" t="s">
        <v>91</v>
      </c>
      <c r="E34" s="87">
        <v>152</v>
      </c>
      <c r="F34" s="88">
        <v>228</v>
      </c>
    </row>
    <row r="35" spans="1:8" x14ac:dyDescent="0.25">
      <c r="D35" s="89" t="s">
        <v>96</v>
      </c>
      <c r="E35" s="87">
        <v>31</v>
      </c>
      <c r="F35" s="88">
        <v>46.5</v>
      </c>
    </row>
    <row r="36" spans="1:8" x14ac:dyDescent="0.25">
      <c r="B36" s="2" t="s">
        <v>66</v>
      </c>
      <c r="D36" s="2"/>
    </row>
    <row r="37" spans="1:8" x14ac:dyDescent="0.25">
      <c r="B37" s="76" t="s">
        <v>67</v>
      </c>
      <c r="C37" s="77" t="s">
        <v>68</v>
      </c>
      <c r="D37" s="78" t="s">
        <v>69</v>
      </c>
      <c r="E37" s="79" t="s">
        <v>33</v>
      </c>
    </row>
    <row r="38" spans="1:8" x14ac:dyDescent="0.25">
      <c r="B38" s="73">
        <v>21</v>
      </c>
      <c r="C38" s="74">
        <v>1</v>
      </c>
      <c r="D38" s="74">
        <v>31</v>
      </c>
      <c r="E38" s="75">
        <f>+SUM(B38:D38)</f>
        <v>53</v>
      </c>
    </row>
    <row r="39" spans="1:8" x14ac:dyDescent="0.25">
      <c r="E39" s="66" t="s">
        <v>76</v>
      </c>
    </row>
    <row r="40" spans="1:8" x14ac:dyDescent="0.25">
      <c r="D40" s="2"/>
      <c r="F40" s="2" t="s">
        <v>90</v>
      </c>
      <c r="G40" s="2" t="s">
        <v>89</v>
      </c>
    </row>
    <row r="41" spans="1:8" x14ac:dyDescent="0.25">
      <c r="A41" s="2" t="s">
        <v>70</v>
      </c>
    </row>
    <row r="42" spans="1:8" x14ac:dyDescent="0.25">
      <c r="A42" s="2" t="s">
        <v>71</v>
      </c>
      <c r="B42" s="2">
        <v>8.39</v>
      </c>
      <c r="C42" s="2">
        <v>2184</v>
      </c>
      <c r="D42" s="68">
        <v>3600</v>
      </c>
      <c r="E42" s="57">
        <f>+C42/D42</f>
        <v>0.60666666666666669</v>
      </c>
      <c r="F42" s="2">
        <v>11</v>
      </c>
      <c r="G42" s="2">
        <v>12</v>
      </c>
      <c r="H42" s="2" t="s">
        <v>94</v>
      </c>
    </row>
    <row r="43" spans="1:8" x14ac:dyDescent="0.25">
      <c r="A43" s="2" t="s">
        <v>72</v>
      </c>
      <c r="B43" s="2">
        <v>8.35</v>
      </c>
      <c r="C43" s="2">
        <v>2712</v>
      </c>
      <c r="D43" s="68">
        <v>3600</v>
      </c>
      <c r="E43" s="57">
        <f>+C43/D43</f>
        <v>0.7533333333333333</v>
      </c>
    </row>
    <row r="44" spans="1:8" x14ac:dyDescent="0.25">
      <c r="A44" s="2" t="s">
        <v>73</v>
      </c>
      <c r="B44" s="2">
        <v>16.11</v>
      </c>
      <c r="C44" s="2">
        <v>2800</v>
      </c>
      <c r="D44" s="68">
        <v>3900</v>
      </c>
      <c r="E44" s="57">
        <f>+C44/D44</f>
        <v>0.71794871794871795</v>
      </c>
    </row>
    <row r="45" spans="1:8" x14ac:dyDescent="0.25">
      <c r="A45" s="2" t="s">
        <v>74</v>
      </c>
      <c r="B45" s="2">
        <v>17.3</v>
      </c>
      <c r="C45" s="2">
        <v>2601</v>
      </c>
      <c r="D45" s="68">
        <v>3900</v>
      </c>
      <c r="E45" s="57">
        <f>+C45/D45</f>
        <v>0.66692307692307695</v>
      </c>
      <c r="F45" s="2">
        <v>11</v>
      </c>
    </row>
    <row r="46" spans="1:8" x14ac:dyDescent="0.25">
      <c r="A46" s="2" t="s">
        <v>75</v>
      </c>
      <c r="B46" s="2" t="s">
        <v>77</v>
      </c>
    </row>
    <row r="47" spans="1:8" x14ac:dyDescent="0.25">
      <c r="C47" s="71" t="s">
        <v>83</v>
      </c>
      <c r="D47" s="72" t="s">
        <v>79</v>
      </c>
    </row>
    <row r="48" spans="1:8" x14ac:dyDescent="0.25">
      <c r="B48" s="2" t="s">
        <v>78</v>
      </c>
      <c r="C48" s="71">
        <v>4</v>
      </c>
      <c r="D48" s="72">
        <v>1</v>
      </c>
    </row>
    <row r="49" spans="3:4" x14ac:dyDescent="0.25">
      <c r="C49" s="71">
        <v>6</v>
      </c>
      <c r="D49" s="72">
        <v>17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7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opLeftCell="A23" workbookViewId="0">
      <selection activeCell="A27" sqref="A27:I50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7" width="11.42578125" style="2"/>
    <col min="8" max="8" width="10.85546875" style="2" bestFit="1" customWidth="1"/>
    <col min="9" max="9" width="10" style="2" bestFit="1" customWidth="1"/>
    <col min="10" max="10" width="4.28515625" style="2" bestFit="1" customWidth="1"/>
    <col min="11" max="16384" width="11.42578125" style="2"/>
  </cols>
  <sheetData>
    <row r="1" spans="1:10" ht="15" customHeight="1" x14ac:dyDescent="0.25">
      <c r="A1" s="1"/>
      <c r="B1" s="518">
        <v>45804</v>
      </c>
      <c r="C1" s="518"/>
      <c r="D1" s="518"/>
      <c r="E1" s="61" t="s">
        <v>82</v>
      </c>
    </row>
    <row r="2" spans="1:10" x14ac:dyDescent="0.25">
      <c r="E2" s="62">
        <v>207588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92"/>
      <c r="C4" s="92"/>
      <c r="D4" s="5">
        <f>D25</f>
        <v>7584.1600000000008</v>
      </c>
      <c r="F4" s="58" t="s">
        <v>51</v>
      </c>
      <c r="G4" s="59">
        <v>45803</v>
      </c>
      <c r="H4" s="58">
        <v>6960</v>
      </c>
      <c r="I4" s="58">
        <v>6767.6739999999982</v>
      </c>
      <c r="J4" s="60">
        <f>+I4/H4</f>
        <v>0.97236695402298823</v>
      </c>
    </row>
    <row r="5" spans="1:10" ht="15" customHeight="1" x14ac:dyDescent="0.25">
      <c r="A5" s="4"/>
      <c r="B5" s="8" t="s">
        <v>6</v>
      </c>
      <c r="C5" s="50">
        <v>4755</v>
      </c>
      <c r="D5" s="46">
        <v>202.94200000000001</v>
      </c>
      <c r="E5" s="80">
        <f>+D5/$D$4</f>
        <v>2.6758665428999386E-2</v>
      </c>
      <c r="F5" s="58" t="s">
        <v>52</v>
      </c>
      <c r="G5" s="59">
        <v>45804</v>
      </c>
      <c r="H5" s="58">
        <v>8203</v>
      </c>
      <c r="I5" s="58">
        <v>7584.1600000000008</v>
      </c>
      <c r="J5" s="60">
        <f t="shared" ref="J5:J11" si="0">+I5/H5</f>
        <v>0.92455930757040117</v>
      </c>
    </row>
    <row r="6" spans="1:10" ht="15" customHeight="1" x14ac:dyDescent="0.25">
      <c r="A6" s="4"/>
      <c r="B6" s="9" t="s">
        <v>10</v>
      </c>
      <c r="C6" s="51">
        <v>11070</v>
      </c>
      <c r="D6" s="47">
        <v>472.07499999999993</v>
      </c>
      <c r="E6" s="80">
        <f t="shared" ref="E6:E24" si="1">+D6/$D$4</f>
        <v>6.2244862977574297E-2</v>
      </c>
      <c r="F6" s="58" t="s">
        <v>53</v>
      </c>
      <c r="G6" s="59">
        <v>45805</v>
      </c>
      <c r="H6" s="58">
        <v>8366</v>
      </c>
      <c r="I6" s="58"/>
      <c r="J6" s="60">
        <f t="shared" si="0"/>
        <v>0</v>
      </c>
    </row>
    <row r="7" spans="1:10" ht="15" customHeight="1" x14ac:dyDescent="0.25">
      <c r="A7" s="4"/>
      <c r="B7" s="9" t="s">
        <v>35</v>
      </c>
      <c r="C7" s="51">
        <v>14534</v>
      </c>
      <c r="D7" s="47">
        <v>619.35</v>
      </c>
      <c r="E7" s="80">
        <f t="shared" si="1"/>
        <v>8.1663625239973836E-2</v>
      </c>
      <c r="F7" s="58" t="s">
        <v>54</v>
      </c>
      <c r="G7" s="59">
        <v>45806</v>
      </c>
      <c r="H7" s="58">
        <v>9206</v>
      </c>
      <c r="I7" s="58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1545</v>
      </c>
      <c r="D8" s="47">
        <v>65.89</v>
      </c>
      <c r="E8" s="80">
        <f t="shared" si="1"/>
        <v>8.6878441383093172E-3</v>
      </c>
      <c r="F8" s="58" t="s">
        <v>55</v>
      </c>
      <c r="G8" s="59">
        <v>45807</v>
      </c>
      <c r="H8" s="58">
        <v>8287</v>
      </c>
      <c r="I8" s="58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v>35588</v>
      </c>
      <c r="D9" s="47">
        <v>1518.5680000000004</v>
      </c>
      <c r="E9" s="84">
        <f t="shared" si="1"/>
        <v>0.20022889812451217</v>
      </c>
      <c r="F9" s="58" t="s">
        <v>56</v>
      </c>
      <c r="G9" s="59">
        <v>45808</v>
      </c>
      <c r="H9" s="58">
        <v>7078</v>
      </c>
      <c r="I9" s="58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47462</v>
      </c>
      <c r="D10" s="47">
        <v>2024.9060000000004</v>
      </c>
      <c r="E10" s="84">
        <f t="shared" si="1"/>
        <v>0.26699146642475902</v>
      </c>
      <c r="F10" s="58" t="s">
        <v>57</v>
      </c>
      <c r="G10" s="59">
        <v>45809</v>
      </c>
      <c r="H10" s="58">
        <v>4155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11309</v>
      </c>
      <c r="D11" s="47">
        <v>482.75899999999996</v>
      </c>
      <c r="E11" s="80">
        <f t="shared" si="1"/>
        <v>6.3653588531887503E-2</v>
      </c>
      <c r="H11" s="58">
        <f>+SUM(H4:H5)</f>
        <v>15163</v>
      </c>
      <c r="I11" s="58">
        <f>+SUM(I4:I10)</f>
        <v>14351.833999999999</v>
      </c>
      <c r="J11" s="60">
        <f t="shared" si="0"/>
        <v>0.9465035942755391</v>
      </c>
    </row>
    <row r="12" spans="1:10" ht="15" customHeight="1" x14ac:dyDescent="0.25">
      <c r="A12" s="4"/>
      <c r="B12" s="9" t="s">
        <v>95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49</v>
      </c>
      <c r="C13" s="51">
        <v>83</v>
      </c>
      <c r="D13" s="47">
        <v>124.84</v>
      </c>
      <c r="E13" s="80">
        <f t="shared" si="1"/>
        <v>1.6460623193603509E-2</v>
      </c>
    </row>
    <row r="14" spans="1:10" ht="15" customHeight="1" x14ac:dyDescent="0.25">
      <c r="A14" s="4"/>
      <c r="B14" s="9" t="s">
        <v>84</v>
      </c>
      <c r="C14" s="51">
        <v>20</v>
      </c>
      <c r="D14" s="47">
        <v>30.13</v>
      </c>
      <c r="E14" s="80">
        <f t="shared" si="1"/>
        <v>3.9727537393725865E-3</v>
      </c>
    </row>
    <row r="15" spans="1:10" ht="15" customHeight="1" x14ac:dyDescent="0.25">
      <c r="A15" s="4"/>
      <c r="B15" s="9" t="s">
        <v>45</v>
      </c>
      <c r="C15" s="51">
        <v>24</v>
      </c>
      <c r="D15" s="47">
        <v>36.06</v>
      </c>
      <c r="E15" s="80">
        <f t="shared" si="1"/>
        <v>4.7546465264445897E-3</v>
      </c>
    </row>
    <row r="16" spans="1:10" ht="15" customHeight="1" x14ac:dyDescent="0.25">
      <c r="A16" s="4"/>
      <c r="B16" s="9" t="s">
        <v>41</v>
      </c>
      <c r="C16" s="51">
        <v>150</v>
      </c>
      <c r="D16" s="47">
        <v>225.72999999999996</v>
      </c>
      <c r="E16" s="80">
        <f t="shared" si="1"/>
        <v>2.9763348874496311E-2</v>
      </c>
    </row>
    <row r="17" spans="1:7" ht="15" customHeight="1" x14ac:dyDescent="0.25">
      <c r="A17" s="4"/>
      <c r="B17" s="9" t="s">
        <v>39</v>
      </c>
      <c r="C17" s="51">
        <v>634</v>
      </c>
      <c r="D17" s="47">
        <v>954.09000000000015</v>
      </c>
      <c r="E17" s="80">
        <f t="shared" si="1"/>
        <v>0.12580035231324235</v>
      </c>
    </row>
    <row r="18" spans="1:7" ht="15" customHeight="1" x14ac:dyDescent="0.25">
      <c r="A18" s="4"/>
      <c r="B18" s="9" t="s">
        <v>85</v>
      </c>
      <c r="C18" s="51">
        <v>44</v>
      </c>
      <c r="D18" s="47">
        <v>66.19</v>
      </c>
      <c r="E18" s="80">
        <f t="shared" si="1"/>
        <v>8.7274002658171753E-3</v>
      </c>
    </row>
    <row r="19" spans="1:7" ht="15" customHeight="1" x14ac:dyDescent="0.25">
      <c r="A19" s="4"/>
      <c r="B19" s="9" t="s">
        <v>49</v>
      </c>
      <c r="C19" s="51"/>
      <c r="D19" s="47"/>
      <c r="E19" s="80">
        <f t="shared" si="1"/>
        <v>0</v>
      </c>
    </row>
    <row r="20" spans="1:7" ht="15" customHeight="1" x14ac:dyDescent="0.25">
      <c r="A20" s="4"/>
      <c r="B20" s="9" t="s">
        <v>88</v>
      </c>
      <c r="C20" s="51"/>
      <c r="D20" s="47"/>
      <c r="E20" s="80">
        <f t="shared" si="1"/>
        <v>0</v>
      </c>
    </row>
    <row r="21" spans="1:7" ht="15" customHeight="1" x14ac:dyDescent="0.25">
      <c r="A21" s="4"/>
      <c r="B21" s="9" t="s">
        <v>85</v>
      </c>
      <c r="C21" s="51"/>
      <c r="D21" s="47"/>
      <c r="E21" s="80">
        <f t="shared" si="1"/>
        <v>0</v>
      </c>
    </row>
    <row r="22" spans="1:7" ht="15" customHeight="1" x14ac:dyDescent="0.25">
      <c r="A22" s="4"/>
      <c r="B22" s="9" t="s">
        <v>9</v>
      </c>
      <c r="C22" s="51"/>
      <c r="D22" s="47">
        <v>210.89999999999998</v>
      </c>
      <c r="E22" s="80">
        <f t="shared" si="1"/>
        <v>2.7807957638024509E-2</v>
      </c>
    </row>
    <row r="23" spans="1:7" ht="15" customHeight="1" x14ac:dyDescent="0.25">
      <c r="A23" s="4"/>
      <c r="B23" s="9" t="s">
        <v>46</v>
      </c>
      <c r="C23" s="51"/>
      <c r="D23" s="47">
        <v>89.12</v>
      </c>
      <c r="E23" s="80">
        <f t="shared" si="1"/>
        <v>1.175080694500116E-2</v>
      </c>
    </row>
    <row r="24" spans="1:7" ht="15" customHeight="1" thickBot="1" x14ac:dyDescent="0.3">
      <c r="A24" s="4"/>
      <c r="B24" s="10" t="s">
        <v>40</v>
      </c>
      <c r="C24" s="54"/>
      <c r="D24" s="55">
        <v>460.61</v>
      </c>
      <c r="E24" s="80">
        <f t="shared" si="1"/>
        <v>6.0733159637982315E-2</v>
      </c>
    </row>
    <row r="25" spans="1:7" ht="15" customHeight="1" thickBot="1" x14ac:dyDescent="0.3">
      <c r="B25" s="52" t="s">
        <v>0</v>
      </c>
      <c r="C25" s="44"/>
      <c r="D25" s="45">
        <f>SUM(D5:D24)</f>
        <v>7584.1600000000008</v>
      </c>
      <c r="F25" s="3"/>
    </row>
    <row r="26" spans="1:7" ht="15" customHeight="1" x14ac:dyDescent="0.25">
      <c r="B26" s="6" t="s">
        <v>1</v>
      </c>
      <c r="C26" s="7"/>
      <c r="D26" s="48">
        <v>182388.462</v>
      </c>
      <c r="E26" s="63">
        <f>+D26/E2</f>
        <v>0.87860792531360199</v>
      </c>
      <c r="F26" s="3"/>
    </row>
    <row r="27" spans="1:7" x14ac:dyDescent="0.25">
      <c r="D27" s="3">
        <f>+(E2/31)*27</f>
        <v>180802.45161290321</v>
      </c>
      <c r="E27" s="63">
        <f>+D27/E2</f>
        <v>0.87096774193548376</v>
      </c>
    </row>
    <row r="28" spans="1:7" x14ac:dyDescent="0.25">
      <c r="D28" s="64">
        <f>+D26-D27</f>
        <v>1586.0103870967869</v>
      </c>
      <c r="E28" s="65">
        <f>E26-E27</f>
        <v>7.640183378118226E-3</v>
      </c>
    </row>
    <row r="29" spans="1:7" x14ac:dyDescent="0.25">
      <c r="G29" s="3"/>
    </row>
    <row r="30" spans="1:7" x14ac:dyDescent="0.25">
      <c r="B30" s="66" t="s">
        <v>60</v>
      </c>
      <c r="G30" s="3"/>
    </row>
    <row r="31" spans="1:7" x14ac:dyDescent="0.25">
      <c r="B31" s="2" t="s">
        <v>61</v>
      </c>
      <c r="C31" s="2">
        <v>565</v>
      </c>
      <c r="F31" s="2" t="s">
        <v>92</v>
      </c>
    </row>
    <row r="32" spans="1:7" x14ac:dyDescent="0.25">
      <c r="B32" s="2" t="s">
        <v>62</v>
      </c>
      <c r="C32" s="2">
        <v>1169</v>
      </c>
      <c r="D32" s="86" t="s">
        <v>86</v>
      </c>
      <c r="E32" s="87">
        <v>15906</v>
      </c>
      <c r="F32" s="88">
        <v>397.65000000000003</v>
      </c>
    </row>
    <row r="33" spans="1:7" x14ac:dyDescent="0.25">
      <c r="B33" s="2" t="s">
        <v>63</v>
      </c>
      <c r="C33" s="67">
        <v>433</v>
      </c>
      <c r="D33" s="89" t="s">
        <v>87</v>
      </c>
      <c r="E33" s="87">
        <v>162</v>
      </c>
      <c r="F33" s="88">
        <v>243</v>
      </c>
    </row>
    <row r="34" spans="1:7" x14ac:dyDescent="0.25">
      <c r="C34" s="2">
        <f>+SUM(C31:C33)</f>
        <v>2167</v>
      </c>
      <c r="D34" s="89" t="s">
        <v>91</v>
      </c>
      <c r="E34" s="87">
        <v>152</v>
      </c>
      <c r="F34" s="88">
        <v>228</v>
      </c>
    </row>
    <row r="35" spans="1:7" x14ac:dyDescent="0.25">
      <c r="D35" s="89" t="s">
        <v>96</v>
      </c>
      <c r="E35" s="87">
        <v>31</v>
      </c>
      <c r="F35" s="88">
        <v>46.5</v>
      </c>
    </row>
    <row r="36" spans="1:7" x14ac:dyDescent="0.25">
      <c r="B36" s="2" t="s">
        <v>66</v>
      </c>
      <c r="D36" s="2"/>
    </row>
    <row r="37" spans="1:7" x14ac:dyDescent="0.25">
      <c r="B37" s="76" t="s">
        <v>67</v>
      </c>
      <c r="C37" s="77" t="s">
        <v>68</v>
      </c>
      <c r="D37" s="78" t="s">
        <v>69</v>
      </c>
      <c r="E37" s="79" t="s">
        <v>33</v>
      </c>
    </row>
    <row r="38" spans="1:7" x14ac:dyDescent="0.25">
      <c r="B38" s="73">
        <v>30</v>
      </c>
      <c r="C38" s="74">
        <v>0</v>
      </c>
      <c r="D38" s="74">
        <v>15</v>
      </c>
      <c r="E38" s="75">
        <f>+SUM(B38:D38)</f>
        <v>45</v>
      </c>
    </row>
    <row r="39" spans="1:7" x14ac:dyDescent="0.25">
      <c r="E39" s="66" t="s">
        <v>76</v>
      </c>
    </row>
    <row r="40" spans="1:7" x14ac:dyDescent="0.25">
      <c r="D40" s="2"/>
      <c r="F40" s="2" t="s">
        <v>90</v>
      </c>
      <c r="G40" s="2" t="s">
        <v>97</v>
      </c>
    </row>
    <row r="41" spans="1:7" x14ac:dyDescent="0.25">
      <c r="A41" s="2" t="s">
        <v>70</v>
      </c>
    </row>
    <row r="42" spans="1:7" x14ac:dyDescent="0.25">
      <c r="A42" s="2" t="s">
        <v>71</v>
      </c>
      <c r="B42" s="2">
        <v>6.68</v>
      </c>
      <c r="C42" s="2">
        <v>2264</v>
      </c>
      <c r="D42" s="68">
        <v>3600</v>
      </c>
      <c r="E42" s="57">
        <f>+C42/D42</f>
        <v>0.62888888888888894</v>
      </c>
      <c r="F42" s="2">
        <v>12</v>
      </c>
    </row>
    <row r="43" spans="1:7" x14ac:dyDescent="0.25">
      <c r="A43" s="2" t="s">
        <v>72</v>
      </c>
      <c r="B43" s="2">
        <v>10.55</v>
      </c>
      <c r="C43" s="2">
        <v>2889</v>
      </c>
      <c r="D43" s="68">
        <v>3600</v>
      </c>
      <c r="E43" s="57">
        <f>+C43/D43</f>
        <v>0.80249999999999999</v>
      </c>
      <c r="F43" s="2">
        <v>12</v>
      </c>
    </row>
    <row r="44" spans="1:7" x14ac:dyDescent="0.25">
      <c r="A44" s="2" t="s">
        <v>73</v>
      </c>
      <c r="B44" s="2">
        <v>15.73</v>
      </c>
      <c r="C44" s="2">
        <v>2847</v>
      </c>
      <c r="D44" s="68">
        <v>3900</v>
      </c>
      <c r="E44" s="57">
        <f>+C44/D44</f>
        <v>0.73</v>
      </c>
      <c r="F44" s="2">
        <v>11</v>
      </c>
      <c r="G44" s="2">
        <v>1</v>
      </c>
    </row>
    <row r="45" spans="1:7" x14ac:dyDescent="0.25">
      <c r="A45" s="2" t="s">
        <v>74</v>
      </c>
      <c r="B45" s="2">
        <v>16.010000000000002</v>
      </c>
      <c r="C45" s="2">
        <v>2619</v>
      </c>
      <c r="D45" s="68">
        <v>3900</v>
      </c>
      <c r="E45" s="57">
        <f>+C45/D45</f>
        <v>0.67153846153846153</v>
      </c>
      <c r="F45" s="2">
        <v>11</v>
      </c>
      <c r="G45" s="2">
        <v>6</v>
      </c>
    </row>
    <row r="46" spans="1:7" x14ac:dyDescent="0.25">
      <c r="A46" s="2" t="s">
        <v>75</v>
      </c>
      <c r="B46" s="2" t="s">
        <v>77</v>
      </c>
    </row>
    <row r="47" spans="1:7" x14ac:dyDescent="0.25">
      <c r="C47" s="71" t="s">
        <v>83</v>
      </c>
      <c r="D47" s="72" t="s">
        <v>79</v>
      </c>
    </row>
    <row r="48" spans="1:7" x14ac:dyDescent="0.25">
      <c r="B48" s="2" t="s">
        <v>78</v>
      </c>
      <c r="C48" s="71">
        <v>4</v>
      </c>
      <c r="D48" s="72">
        <v>3</v>
      </c>
    </row>
    <row r="49" spans="2:4" x14ac:dyDescent="0.25">
      <c r="C49" s="71">
        <v>5</v>
      </c>
      <c r="D49" s="72">
        <v>3</v>
      </c>
    </row>
    <row r="50" spans="2:4" x14ac:dyDescent="0.25">
      <c r="C50" s="71">
        <v>6</v>
      </c>
      <c r="D50" s="72">
        <v>15</v>
      </c>
    </row>
    <row r="61" spans="2:4" x14ac:dyDescent="0.25">
      <c r="B61" s="2" t="s">
        <v>98</v>
      </c>
      <c r="C61" s="2">
        <f>10*30</f>
        <v>300</v>
      </c>
      <c r="D61" s="3" t="s">
        <v>92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opLeftCell="A12" workbookViewId="0">
      <selection activeCell="E23" sqref="E23:E25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5" width="15" style="2" bestFit="1" customWidth="1"/>
    <col min="6" max="6" width="11.140625" style="2" bestFit="1" customWidth="1"/>
    <col min="7" max="7" width="10.42578125" style="2" bestFit="1" customWidth="1"/>
    <col min="8" max="8" width="6.28515625" style="2" bestFit="1" customWidth="1"/>
    <col min="9" max="9" width="10" style="2" bestFit="1" customWidth="1"/>
    <col min="10" max="10" width="4.28515625" style="2" bestFit="1" customWidth="1"/>
    <col min="11" max="16384" width="11.42578125" style="2"/>
  </cols>
  <sheetData>
    <row r="1" spans="1:10" ht="15" customHeight="1" x14ac:dyDescent="0.25">
      <c r="A1" s="1"/>
      <c r="B1" s="518">
        <v>45805</v>
      </c>
      <c r="C1" s="518"/>
      <c r="D1" s="518"/>
      <c r="E1" s="61" t="s">
        <v>82</v>
      </c>
    </row>
    <row r="2" spans="1:10" x14ac:dyDescent="0.25">
      <c r="E2" s="62">
        <v>207588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94"/>
      <c r="C4" s="94"/>
      <c r="D4" s="5">
        <f>D22</f>
        <v>8183.1520000000028</v>
      </c>
      <c r="F4" s="58" t="s">
        <v>51</v>
      </c>
      <c r="G4" s="59">
        <v>45803</v>
      </c>
      <c r="H4" s="58">
        <v>6960</v>
      </c>
      <c r="I4" s="58">
        <v>6767.6739999999982</v>
      </c>
      <c r="J4" s="60">
        <f>+I4/H4</f>
        <v>0.97236695402298823</v>
      </c>
    </row>
    <row r="5" spans="1:10" ht="15" customHeight="1" x14ac:dyDescent="0.25">
      <c r="A5" s="4"/>
      <c r="B5" s="8" t="s">
        <v>6</v>
      </c>
      <c r="C5" s="50">
        <v>6320</v>
      </c>
      <c r="D5" s="46">
        <v>270.00400000000002</v>
      </c>
      <c r="E5" s="80">
        <f>+D5/$D$4</f>
        <v>3.2995109952741915E-2</v>
      </c>
      <c r="F5" s="58" t="s">
        <v>52</v>
      </c>
      <c r="G5" s="59">
        <v>45804</v>
      </c>
      <c r="H5" s="58">
        <v>8203</v>
      </c>
      <c r="I5" s="58">
        <v>7584.1600000000008</v>
      </c>
      <c r="J5" s="60">
        <f t="shared" ref="J5:J11" si="0">+I5/H5</f>
        <v>0.92455930757040117</v>
      </c>
    </row>
    <row r="6" spans="1:10" ht="15" customHeight="1" x14ac:dyDescent="0.25">
      <c r="A6" s="4"/>
      <c r="B6" s="9" t="s">
        <v>10</v>
      </c>
      <c r="C6" s="51">
        <v>19830</v>
      </c>
      <c r="D6" s="47">
        <v>845.58</v>
      </c>
      <c r="E6" s="80">
        <f t="shared" ref="E6:E21" si="1">+D6/$D$4</f>
        <v>0.10333182128353473</v>
      </c>
      <c r="F6" s="58" t="s">
        <v>53</v>
      </c>
      <c r="G6" s="59">
        <v>45805</v>
      </c>
      <c r="H6" s="58">
        <v>8366</v>
      </c>
      <c r="I6" s="58">
        <v>8183.1520000000028</v>
      </c>
      <c r="J6" s="60">
        <f t="shared" si="0"/>
        <v>0.97814391584986882</v>
      </c>
    </row>
    <row r="7" spans="1:10" ht="15" customHeight="1" x14ac:dyDescent="0.25">
      <c r="A7" s="4"/>
      <c r="B7" s="9" t="s">
        <v>35</v>
      </c>
      <c r="C7" s="51">
        <v>14533</v>
      </c>
      <c r="D7" s="47">
        <v>619.85599999999988</v>
      </c>
      <c r="E7" s="80">
        <f t="shared" si="1"/>
        <v>7.5747829198333311E-2</v>
      </c>
      <c r="F7" s="58" t="s">
        <v>54</v>
      </c>
      <c r="G7" s="59">
        <v>45806</v>
      </c>
      <c r="H7" s="58">
        <v>9206</v>
      </c>
      <c r="I7" s="58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2990</v>
      </c>
      <c r="D8" s="47">
        <v>127.51999999999998</v>
      </c>
      <c r="E8" s="80">
        <f t="shared" si="1"/>
        <v>1.5583237363793308E-2</v>
      </c>
      <c r="F8" s="58" t="s">
        <v>55</v>
      </c>
      <c r="G8" s="59">
        <v>45807</v>
      </c>
      <c r="H8" s="58">
        <v>8287</v>
      </c>
      <c r="I8" s="58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v>36927</v>
      </c>
      <c r="D9" s="47">
        <v>1575.046</v>
      </c>
      <c r="E9" s="84">
        <f t="shared" si="1"/>
        <v>0.19247424464313989</v>
      </c>
      <c r="F9" s="58" t="s">
        <v>56</v>
      </c>
      <c r="G9" s="59">
        <v>45808</v>
      </c>
      <c r="H9" s="58">
        <v>7078</v>
      </c>
      <c r="I9" s="58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51791</v>
      </c>
      <c r="D10" s="47">
        <v>2210.3040000000019</v>
      </c>
      <c r="E10" s="84">
        <f t="shared" si="1"/>
        <v>0.27010423367426162</v>
      </c>
      <c r="F10" s="58" t="s">
        <v>57</v>
      </c>
      <c r="G10" s="59">
        <v>45809</v>
      </c>
      <c r="H10" s="58">
        <v>4155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14170</v>
      </c>
      <c r="D11" s="47">
        <v>604.471</v>
      </c>
      <c r="E11" s="80">
        <f t="shared" si="1"/>
        <v>7.3867746804654216E-2</v>
      </c>
      <c r="H11" s="58">
        <f>+SUM(H4:H6)</f>
        <v>23529</v>
      </c>
      <c r="I11" s="58">
        <f>+SUM(I4:I10)</f>
        <v>22534.986000000001</v>
      </c>
      <c r="J11" s="60">
        <f t="shared" si="0"/>
        <v>0.95775366568914955</v>
      </c>
    </row>
    <row r="12" spans="1:10" ht="15" customHeight="1" x14ac:dyDescent="0.25">
      <c r="A12" s="4"/>
      <c r="B12" s="9" t="s">
        <v>95</v>
      </c>
      <c r="C12" s="51">
        <v>1202</v>
      </c>
      <c r="D12" s="47">
        <v>30.29</v>
      </c>
      <c r="E12" s="80">
        <f t="shared" si="1"/>
        <v>3.7015076831030378E-3</v>
      </c>
    </row>
    <row r="13" spans="1:10" ht="15" customHeight="1" x14ac:dyDescent="0.25">
      <c r="A13" s="4"/>
      <c r="B13" s="9" t="s">
        <v>44</v>
      </c>
      <c r="C13" s="51">
        <v>22</v>
      </c>
      <c r="D13" s="47">
        <v>33.11</v>
      </c>
      <c r="E13" s="80">
        <f t="shared" si="1"/>
        <v>4.0461181706022307E-3</v>
      </c>
    </row>
    <row r="14" spans="1:10" ht="15" customHeight="1" x14ac:dyDescent="0.25">
      <c r="A14" s="4"/>
      <c r="B14" s="9" t="s">
        <v>39</v>
      </c>
      <c r="C14" s="51">
        <v>436</v>
      </c>
      <c r="D14" s="47">
        <v>656.17000000000007</v>
      </c>
      <c r="E14" s="80">
        <f t="shared" si="1"/>
        <v>8.0185483539838912E-2</v>
      </c>
    </row>
    <row r="15" spans="1:10" ht="15" customHeight="1" x14ac:dyDescent="0.25">
      <c r="A15" s="4"/>
      <c r="B15" s="9" t="s">
        <v>49</v>
      </c>
      <c r="C15" s="51">
        <v>21</v>
      </c>
      <c r="D15" s="47">
        <v>31.55</v>
      </c>
      <c r="E15" s="80">
        <f t="shared" si="1"/>
        <v>3.8554825817728902E-3</v>
      </c>
    </row>
    <row r="16" spans="1:10" ht="15" customHeight="1" x14ac:dyDescent="0.25">
      <c r="A16" s="4"/>
      <c r="B16" s="9" t="s">
        <v>84</v>
      </c>
      <c r="C16" s="51">
        <v>100</v>
      </c>
      <c r="D16" s="47">
        <v>150.47</v>
      </c>
      <c r="E16" s="80">
        <f t="shared" si="1"/>
        <v>1.8387780160994193E-2</v>
      </c>
    </row>
    <row r="17" spans="1:7" ht="15" customHeight="1" x14ac:dyDescent="0.25">
      <c r="A17" s="4"/>
      <c r="B17" s="9" t="s">
        <v>41</v>
      </c>
      <c r="C17" s="51">
        <v>229</v>
      </c>
      <c r="D17" s="47">
        <v>344.75</v>
      </c>
      <c r="E17" s="80">
        <f t="shared" si="1"/>
        <v>4.2129243108279042E-2</v>
      </c>
    </row>
    <row r="18" spans="1:7" ht="15" customHeight="1" x14ac:dyDescent="0.25">
      <c r="A18" s="4"/>
      <c r="B18" s="9" t="s">
        <v>99</v>
      </c>
      <c r="C18" s="51">
        <v>10</v>
      </c>
      <c r="D18" s="47">
        <v>15.081</v>
      </c>
      <c r="E18" s="80">
        <f t="shared" si="1"/>
        <v>1.8429328943174947E-3</v>
      </c>
    </row>
    <row r="19" spans="1:7" ht="15" customHeight="1" x14ac:dyDescent="0.25">
      <c r="A19" s="4"/>
      <c r="B19" s="9" t="s">
        <v>40</v>
      </c>
      <c r="C19" s="51"/>
      <c r="D19" s="47">
        <v>457.27</v>
      </c>
      <c r="E19" s="80">
        <f t="shared" si="1"/>
        <v>5.5879445964097919E-2</v>
      </c>
    </row>
    <row r="20" spans="1:7" ht="15" customHeight="1" x14ac:dyDescent="0.25">
      <c r="A20" s="4"/>
      <c r="B20" s="9" t="s">
        <v>9</v>
      </c>
      <c r="C20" s="51"/>
      <c r="D20" s="47">
        <v>151.94999999999999</v>
      </c>
      <c r="E20" s="80">
        <f t="shared" si="1"/>
        <v>1.8568639565781003E-2</v>
      </c>
    </row>
    <row r="21" spans="1:7" ht="15" customHeight="1" thickBot="1" x14ac:dyDescent="0.3">
      <c r="A21" s="4"/>
      <c r="B21" s="9" t="s">
        <v>46</v>
      </c>
      <c r="C21" s="51"/>
      <c r="D21" s="47">
        <v>59.73</v>
      </c>
      <c r="E21" s="80">
        <f t="shared" si="1"/>
        <v>7.2991434107541903E-3</v>
      </c>
    </row>
    <row r="22" spans="1:7" ht="15" customHeight="1" thickBot="1" x14ac:dyDescent="0.3">
      <c r="B22" s="52" t="s">
        <v>0</v>
      </c>
      <c r="C22" s="44"/>
      <c r="D22" s="45">
        <f>SUM(D5:D21)</f>
        <v>8183.1520000000028</v>
      </c>
    </row>
    <row r="23" spans="1:7" ht="15" customHeight="1" x14ac:dyDescent="0.25">
      <c r="B23" s="6" t="s">
        <v>1</v>
      </c>
      <c r="C23" s="7"/>
      <c r="D23" s="48">
        <v>191494.09999999995</v>
      </c>
      <c r="E23" s="57">
        <f>+D23/$E$2</f>
        <v>0.92247191552498198</v>
      </c>
    </row>
    <row r="24" spans="1:7" x14ac:dyDescent="0.25">
      <c r="D24" s="97">
        <f>+(E2/31)*28</f>
        <v>187498.83870967739</v>
      </c>
      <c r="E24" s="98">
        <f>+D24/E2</f>
        <v>0.90322580645161277</v>
      </c>
    </row>
    <row r="25" spans="1:7" x14ac:dyDescent="0.25">
      <c r="D25" s="96">
        <f>+D23-D24</f>
        <v>3995.2612903225527</v>
      </c>
      <c r="E25" s="99">
        <f>+E23-E24</f>
        <v>1.9246109073369211E-2</v>
      </c>
    </row>
    <row r="26" spans="1:7" ht="15" customHeight="1" x14ac:dyDescent="0.25">
      <c r="G26" s="3"/>
    </row>
    <row r="27" spans="1:7" x14ac:dyDescent="0.25">
      <c r="B27" s="66" t="s">
        <v>60</v>
      </c>
      <c r="G27" s="3"/>
    </row>
    <row r="28" spans="1:7" x14ac:dyDescent="0.25">
      <c r="B28" s="2" t="s">
        <v>61</v>
      </c>
      <c r="C28" s="2">
        <v>435</v>
      </c>
      <c r="F28" s="2" t="s">
        <v>92</v>
      </c>
    </row>
    <row r="29" spans="1:7" x14ac:dyDescent="0.25">
      <c r="B29" s="2" t="s">
        <v>62</v>
      </c>
      <c r="C29" s="2">
        <v>1074</v>
      </c>
      <c r="D29" s="86" t="s">
        <v>86</v>
      </c>
      <c r="E29" s="87">
        <v>14668</v>
      </c>
      <c r="F29" s="88">
        <v>366.70000000000005</v>
      </c>
      <c r="G29" s="68"/>
    </row>
    <row r="30" spans="1:7" x14ac:dyDescent="0.25">
      <c r="B30" s="2" t="s">
        <v>63</v>
      </c>
      <c r="C30" s="67">
        <v>773</v>
      </c>
      <c r="D30" s="89" t="s">
        <v>87</v>
      </c>
      <c r="E30" s="87">
        <v>167</v>
      </c>
      <c r="F30" s="88">
        <v>250.5</v>
      </c>
    </row>
    <row r="31" spans="1:7" x14ac:dyDescent="0.25">
      <c r="C31" s="2">
        <f>+SUM(C28:C30)</f>
        <v>2282</v>
      </c>
      <c r="D31" s="89" t="s">
        <v>91</v>
      </c>
      <c r="E31" s="87">
        <v>108</v>
      </c>
      <c r="F31" s="88">
        <v>162</v>
      </c>
    </row>
    <row r="32" spans="1:7" ht="15" customHeight="1" x14ac:dyDescent="0.25">
      <c r="D32" s="89" t="s">
        <v>96</v>
      </c>
      <c r="E32" s="87">
        <v>20</v>
      </c>
      <c r="F32" s="88">
        <v>30</v>
      </c>
    </row>
    <row r="33" spans="1:7" x14ac:dyDescent="0.25">
      <c r="B33" s="2" t="s">
        <v>66</v>
      </c>
      <c r="D33" s="2"/>
    </row>
    <row r="34" spans="1:7" x14ac:dyDescent="0.25">
      <c r="B34" s="76" t="s">
        <v>67</v>
      </c>
      <c r="C34" s="77" t="s">
        <v>68</v>
      </c>
      <c r="D34" s="78" t="s">
        <v>69</v>
      </c>
      <c r="E34" s="79" t="s">
        <v>33</v>
      </c>
    </row>
    <row r="35" spans="1:7" x14ac:dyDescent="0.25">
      <c r="B35" s="73">
        <v>7</v>
      </c>
      <c r="C35" s="74">
        <v>3</v>
      </c>
      <c r="D35" s="74">
        <v>20</v>
      </c>
      <c r="E35" s="75">
        <f>+SUM(B35:D35)</f>
        <v>30</v>
      </c>
    </row>
    <row r="36" spans="1:7" x14ac:dyDescent="0.25">
      <c r="E36" s="66" t="s">
        <v>76</v>
      </c>
    </row>
    <row r="37" spans="1:7" x14ac:dyDescent="0.25">
      <c r="D37" s="2"/>
      <c r="F37" s="2" t="s">
        <v>90</v>
      </c>
      <c r="G37" s="2" t="s">
        <v>97</v>
      </c>
    </row>
    <row r="38" spans="1:7" x14ac:dyDescent="0.25">
      <c r="A38" s="2" t="s">
        <v>70</v>
      </c>
    </row>
    <row r="39" spans="1:7" x14ac:dyDescent="0.25">
      <c r="A39" s="2" t="s">
        <v>71</v>
      </c>
      <c r="B39" s="2">
        <v>9.52</v>
      </c>
      <c r="C39" s="2">
        <v>2283</v>
      </c>
      <c r="D39" s="68">
        <v>3600</v>
      </c>
      <c r="E39" s="57">
        <f>+C39/D39</f>
        <v>0.63416666666666666</v>
      </c>
      <c r="F39" s="2">
        <v>12</v>
      </c>
    </row>
    <row r="40" spans="1:7" x14ac:dyDescent="0.25">
      <c r="A40" s="2" t="s">
        <v>72</v>
      </c>
      <c r="B40" s="2">
        <v>7.47</v>
      </c>
      <c r="C40" s="2">
        <v>3174</v>
      </c>
      <c r="D40" s="68">
        <v>3600</v>
      </c>
      <c r="E40" s="57">
        <f>+C40/D40</f>
        <v>0.88166666666666671</v>
      </c>
      <c r="F40" s="2">
        <v>12</v>
      </c>
    </row>
    <row r="41" spans="1:7" x14ac:dyDescent="0.25">
      <c r="A41" s="2" t="s">
        <v>73</v>
      </c>
      <c r="B41" s="2">
        <v>15.9</v>
      </c>
      <c r="C41" s="2">
        <v>2957</v>
      </c>
      <c r="D41" s="68">
        <v>3900</v>
      </c>
      <c r="E41" s="57">
        <f>+C41/D41</f>
        <v>0.7582051282051282</v>
      </c>
      <c r="F41" s="2">
        <v>11</v>
      </c>
      <c r="G41" s="2">
        <v>1</v>
      </c>
    </row>
    <row r="42" spans="1:7" x14ac:dyDescent="0.25">
      <c r="A42" s="2" t="s">
        <v>74</v>
      </c>
      <c r="B42" s="2">
        <v>17.02</v>
      </c>
      <c r="C42" s="2">
        <v>5.14</v>
      </c>
      <c r="D42" s="68">
        <v>3900</v>
      </c>
      <c r="E42" s="57">
        <f>+C42/D42</f>
        <v>1.3179487179487178E-3</v>
      </c>
      <c r="F42" s="2">
        <v>11</v>
      </c>
      <c r="G42" s="2">
        <v>6</v>
      </c>
    </row>
    <row r="43" spans="1:7" x14ac:dyDescent="0.25">
      <c r="A43" s="2" t="s">
        <v>75</v>
      </c>
      <c r="B43" s="2" t="s">
        <v>77</v>
      </c>
    </row>
    <row r="44" spans="1:7" x14ac:dyDescent="0.25">
      <c r="C44" s="71" t="s">
        <v>83</v>
      </c>
      <c r="D44" s="72" t="s">
        <v>79</v>
      </c>
    </row>
    <row r="45" spans="1:7" x14ac:dyDescent="0.25">
      <c r="B45" s="2" t="s">
        <v>78</v>
      </c>
      <c r="C45" s="71">
        <v>4</v>
      </c>
      <c r="D45" s="72"/>
    </row>
    <row r="46" spans="1:7" x14ac:dyDescent="0.25">
      <c r="C46" s="71">
        <v>5</v>
      </c>
      <c r="D46" s="72">
        <v>4</v>
      </c>
    </row>
    <row r="47" spans="1:7" x14ac:dyDescent="0.25">
      <c r="C47" s="71">
        <v>6</v>
      </c>
      <c r="D47" s="72">
        <v>15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selection activeCell="E2" sqref="E2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5" width="22.85546875" style="2" customWidth="1"/>
    <col min="6" max="6" width="12.85546875" style="2" customWidth="1"/>
    <col min="7" max="7" width="10.42578125" style="2" bestFit="1" customWidth="1"/>
    <col min="8" max="8" width="6.28515625" style="2" bestFit="1" customWidth="1"/>
    <col min="9" max="9" width="10" style="2" bestFit="1" customWidth="1"/>
    <col min="10" max="10" width="4.28515625" style="2" bestFit="1" customWidth="1"/>
    <col min="11" max="16384" width="11.42578125" style="2"/>
  </cols>
  <sheetData>
    <row r="1" spans="1:10" ht="15" customHeight="1" x14ac:dyDescent="0.25">
      <c r="A1" s="1"/>
      <c r="B1" s="518">
        <v>45806</v>
      </c>
      <c r="C1" s="518"/>
      <c r="D1" s="518"/>
      <c r="E1" s="61" t="s">
        <v>82</v>
      </c>
    </row>
    <row r="2" spans="1:10" x14ac:dyDescent="0.25">
      <c r="E2" s="62">
        <v>207588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94"/>
      <c r="C4" s="94"/>
      <c r="D4" s="5">
        <f>D21</f>
        <v>7689.8950000000004</v>
      </c>
      <c r="F4" s="58" t="s">
        <v>51</v>
      </c>
      <c r="G4" s="59">
        <v>45803</v>
      </c>
      <c r="H4" s="58">
        <v>6960</v>
      </c>
      <c r="I4" s="58">
        <v>6767.6739999999982</v>
      </c>
      <c r="J4" s="60">
        <f>+I4/H4</f>
        <v>0.97236695402298823</v>
      </c>
    </row>
    <row r="5" spans="1:10" ht="15" customHeight="1" x14ac:dyDescent="0.25">
      <c r="A5" s="4"/>
      <c r="B5" s="8" t="s">
        <v>6</v>
      </c>
      <c r="C5" s="50">
        <v>3840</v>
      </c>
      <c r="D5" s="46">
        <v>163.87400000000002</v>
      </c>
      <c r="E5" s="80">
        <f>+D5/$D$4</f>
        <v>2.1310303976842339E-2</v>
      </c>
      <c r="F5" s="58" t="s">
        <v>52</v>
      </c>
      <c r="G5" s="59">
        <v>45804</v>
      </c>
      <c r="H5" s="58">
        <v>8203</v>
      </c>
      <c r="I5" s="58">
        <v>7584.1600000000008</v>
      </c>
      <c r="J5" s="60">
        <f t="shared" ref="J5:J11" si="0">+I5/H5</f>
        <v>0.92455930757040117</v>
      </c>
    </row>
    <row r="6" spans="1:10" ht="15" customHeight="1" x14ac:dyDescent="0.25">
      <c r="A6" s="4"/>
      <c r="B6" s="9" t="s">
        <v>10</v>
      </c>
      <c r="C6" s="51">
        <v>12493</v>
      </c>
      <c r="D6" s="47">
        <v>533.11199999999997</v>
      </c>
      <c r="E6" s="80">
        <f t="shared" ref="E6:E20" si="1">+D6/$D$4</f>
        <v>6.9326304195310856E-2</v>
      </c>
      <c r="F6" s="58" t="s">
        <v>53</v>
      </c>
      <c r="G6" s="59">
        <v>45805</v>
      </c>
      <c r="H6" s="58">
        <v>8366</v>
      </c>
      <c r="I6" s="58">
        <v>8183.1520000000028</v>
      </c>
      <c r="J6" s="60">
        <f t="shared" si="0"/>
        <v>0.97814391584986882</v>
      </c>
    </row>
    <row r="7" spans="1:10" ht="15" customHeight="1" x14ac:dyDescent="0.25">
      <c r="A7" s="4"/>
      <c r="B7" s="9" t="s">
        <v>35</v>
      </c>
      <c r="C7" s="51">
        <v>24477</v>
      </c>
      <c r="D7" s="47">
        <v>1043.1100000000001</v>
      </c>
      <c r="E7" s="100">
        <f t="shared" si="1"/>
        <v>0.13564684563313284</v>
      </c>
      <c r="F7" s="58" t="s">
        <v>54</v>
      </c>
      <c r="G7" s="59">
        <v>45806</v>
      </c>
      <c r="H7" s="58">
        <v>9206</v>
      </c>
      <c r="I7" s="58">
        <v>7689.8950000000004</v>
      </c>
      <c r="J7" s="60">
        <f t="shared" si="0"/>
        <v>0.8353133825765805</v>
      </c>
    </row>
    <row r="8" spans="1:10" ht="15" customHeight="1" x14ac:dyDescent="0.25">
      <c r="A8" s="4"/>
      <c r="B8" s="9" t="s">
        <v>4</v>
      </c>
      <c r="C8" s="51">
        <v>2470</v>
      </c>
      <c r="D8" s="47">
        <v>105.11000000000001</v>
      </c>
      <c r="E8" s="80">
        <f t="shared" si="1"/>
        <v>1.3668587152360339E-2</v>
      </c>
      <c r="F8" s="58" t="s">
        <v>55</v>
      </c>
      <c r="G8" s="59">
        <v>45807</v>
      </c>
      <c r="H8" s="58">
        <v>8287</v>
      </c>
      <c r="I8" s="58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v>33460</v>
      </c>
      <c r="D9" s="47">
        <v>1427.556</v>
      </c>
      <c r="E9" s="100">
        <f t="shared" si="1"/>
        <v>0.1856405061447523</v>
      </c>
      <c r="F9" s="58" t="s">
        <v>56</v>
      </c>
      <c r="G9" s="59">
        <v>45808</v>
      </c>
      <c r="H9" s="58">
        <v>7078</v>
      </c>
      <c r="I9" s="58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46452</v>
      </c>
      <c r="D10" s="47">
        <v>1982.6770000000001</v>
      </c>
      <c r="E10" s="100">
        <f t="shared" si="1"/>
        <v>0.25782887802759336</v>
      </c>
      <c r="F10" s="58" t="s">
        <v>57</v>
      </c>
      <c r="G10" s="59">
        <v>45809</v>
      </c>
      <c r="H10" s="58">
        <v>4155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8500</v>
      </c>
      <c r="D11" s="47">
        <v>362.93200000000002</v>
      </c>
      <c r="E11" s="80">
        <f t="shared" si="1"/>
        <v>4.7195963013799275E-2</v>
      </c>
      <c r="H11" s="58">
        <f>+SUM(H4:H7)</f>
        <v>32735</v>
      </c>
      <c r="I11" s="58">
        <f>+SUM(I4:I10)</f>
        <v>30224.881000000001</v>
      </c>
      <c r="J11" s="60">
        <f t="shared" si="0"/>
        <v>0.92332002443867423</v>
      </c>
    </row>
    <row r="12" spans="1:10" ht="15" customHeight="1" x14ac:dyDescent="0.25">
      <c r="A12" s="4"/>
      <c r="B12" s="9" t="s">
        <v>95</v>
      </c>
      <c r="C12" s="51">
        <v>1200</v>
      </c>
      <c r="D12" s="47">
        <v>30.204000000000001</v>
      </c>
      <c r="E12" s="80">
        <f t="shared" si="1"/>
        <v>3.9277519393957913E-3</v>
      </c>
    </row>
    <row r="13" spans="1:10" ht="15" customHeight="1" x14ac:dyDescent="0.25">
      <c r="A13" s="4"/>
      <c r="B13" s="9" t="s">
        <v>44</v>
      </c>
      <c r="C13" s="51">
        <v>22</v>
      </c>
      <c r="D13" s="47">
        <v>33.04</v>
      </c>
      <c r="E13" s="80">
        <f t="shared" si="1"/>
        <v>4.2965476121585534E-3</v>
      </c>
    </row>
    <row r="14" spans="1:10" ht="15" customHeight="1" x14ac:dyDescent="0.25">
      <c r="A14" s="4"/>
      <c r="B14" s="9" t="s">
        <v>39</v>
      </c>
      <c r="C14" s="51">
        <v>582</v>
      </c>
      <c r="D14" s="47">
        <v>875.55000000000007</v>
      </c>
      <c r="E14" s="100">
        <f t="shared" si="1"/>
        <v>0.11385721131432874</v>
      </c>
    </row>
    <row r="15" spans="1:10" ht="15" customHeight="1" x14ac:dyDescent="0.25">
      <c r="A15" s="4"/>
      <c r="B15" s="9" t="s">
        <v>43</v>
      </c>
      <c r="C15" s="51">
        <v>88</v>
      </c>
      <c r="D15" s="47">
        <v>132.24</v>
      </c>
      <c r="E15" s="80">
        <f t="shared" si="1"/>
        <v>1.719659371161765E-2</v>
      </c>
    </row>
    <row r="16" spans="1:10" ht="15" customHeight="1" x14ac:dyDescent="0.25">
      <c r="A16" s="4"/>
      <c r="B16" s="9" t="s">
        <v>49</v>
      </c>
      <c r="C16" s="51">
        <v>20</v>
      </c>
      <c r="D16" s="47">
        <v>30.14</v>
      </c>
      <c r="E16" s="80">
        <f t="shared" si="1"/>
        <v>3.9194293290090434E-3</v>
      </c>
    </row>
    <row r="17" spans="1:7" ht="15" customHeight="1" x14ac:dyDescent="0.25">
      <c r="A17" s="4"/>
      <c r="B17" s="9" t="s">
        <v>41</v>
      </c>
      <c r="C17" s="51">
        <v>184</v>
      </c>
      <c r="D17" s="47">
        <v>277</v>
      </c>
      <c r="E17" s="80">
        <f t="shared" si="1"/>
        <v>3.6021298080142837E-2</v>
      </c>
    </row>
    <row r="18" spans="1:7" ht="15" customHeight="1" x14ac:dyDescent="0.25">
      <c r="A18" s="4"/>
      <c r="B18" s="9" t="s">
        <v>40</v>
      </c>
      <c r="C18" s="51"/>
      <c r="D18" s="47">
        <v>422.94999999999993</v>
      </c>
      <c r="E18" s="80">
        <f t="shared" si="1"/>
        <v>5.5000750985546604E-2</v>
      </c>
    </row>
    <row r="19" spans="1:7" ht="15" customHeight="1" x14ac:dyDescent="0.25">
      <c r="A19" s="4"/>
      <c r="B19" s="9" t="s">
        <v>9</v>
      </c>
      <c r="C19" s="51"/>
      <c r="D19" s="47">
        <v>211.01</v>
      </c>
      <c r="E19" s="80">
        <f t="shared" si="1"/>
        <v>2.743990652668209E-2</v>
      </c>
    </row>
    <row r="20" spans="1:7" ht="15" customHeight="1" thickBot="1" x14ac:dyDescent="0.3">
      <c r="A20" s="4"/>
      <c r="B20" s="9" t="s">
        <v>46</v>
      </c>
      <c r="C20" s="51"/>
      <c r="D20" s="47">
        <v>59.39</v>
      </c>
      <c r="E20" s="80">
        <f t="shared" si="1"/>
        <v>7.723122357327375E-3</v>
      </c>
    </row>
    <row r="21" spans="1:7" ht="15" customHeight="1" thickBot="1" x14ac:dyDescent="0.3">
      <c r="B21" s="52" t="s">
        <v>0</v>
      </c>
      <c r="C21" s="44"/>
      <c r="D21" s="45">
        <f>SUM(D5:D20)</f>
        <v>7689.8950000000004</v>
      </c>
      <c r="E21" s="80">
        <f>+D21/$D$4</f>
        <v>1</v>
      </c>
    </row>
    <row r="22" spans="1:7" ht="15" customHeight="1" x14ac:dyDescent="0.25">
      <c r="B22" s="6" t="s">
        <v>1</v>
      </c>
      <c r="C22" s="7"/>
      <c r="D22" s="48">
        <v>199183.99499999994</v>
      </c>
      <c r="E22" s="57">
        <f>+D22/$E$2</f>
        <v>0.95951594022775855</v>
      </c>
    </row>
    <row r="23" spans="1:7" x14ac:dyDescent="0.25">
      <c r="D23" s="97">
        <f>+(E2/31)*29</f>
        <v>194195.22580645161</v>
      </c>
      <c r="E23" s="98">
        <f>+D23/E2</f>
        <v>0.93548387096774188</v>
      </c>
    </row>
    <row r="24" spans="1:7" x14ac:dyDescent="0.25">
      <c r="D24" s="96">
        <f>+D22-D23</f>
        <v>4988.7691935483308</v>
      </c>
      <c r="E24" s="99">
        <f>+E22-E23</f>
        <v>2.4032069260016664E-2</v>
      </c>
    </row>
    <row r="25" spans="1:7" ht="15" customHeight="1" x14ac:dyDescent="0.25">
      <c r="G25" s="3"/>
    </row>
    <row r="26" spans="1:7" x14ac:dyDescent="0.25">
      <c r="B26" s="66" t="s">
        <v>60</v>
      </c>
      <c r="G26" s="3"/>
    </row>
    <row r="27" spans="1:7" x14ac:dyDescent="0.25">
      <c r="B27" s="2" t="s">
        <v>61</v>
      </c>
      <c r="C27" s="2">
        <v>1093</v>
      </c>
      <c r="F27" s="2" t="s">
        <v>92</v>
      </c>
    </row>
    <row r="28" spans="1:7" x14ac:dyDescent="0.25">
      <c r="B28" s="2" t="s">
        <v>62</v>
      </c>
      <c r="C28" s="2">
        <v>1070</v>
      </c>
      <c r="D28" s="86" t="s">
        <v>86</v>
      </c>
      <c r="E28" s="87">
        <v>13468</v>
      </c>
      <c r="F28" s="88">
        <v>336.70000000000005</v>
      </c>
      <c r="G28" s="68"/>
    </row>
    <row r="29" spans="1:7" x14ac:dyDescent="0.25">
      <c r="B29" s="2" t="s">
        <v>63</v>
      </c>
      <c r="C29" s="67">
        <v>834</v>
      </c>
      <c r="D29" s="89" t="s">
        <v>87</v>
      </c>
      <c r="E29" s="87">
        <v>167</v>
      </c>
      <c r="F29" s="88">
        <v>250.5</v>
      </c>
    </row>
    <row r="30" spans="1:7" x14ac:dyDescent="0.25">
      <c r="C30" s="2">
        <f>+SUM(C27:C29)</f>
        <v>2997</v>
      </c>
      <c r="D30" s="89" t="s">
        <v>91</v>
      </c>
      <c r="E30" s="87">
        <v>108</v>
      </c>
      <c r="F30" s="88">
        <v>162</v>
      </c>
    </row>
    <row r="31" spans="1:7" ht="15" customHeight="1" x14ac:dyDescent="0.25">
      <c r="D31" s="89" t="s">
        <v>96</v>
      </c>
      <c r="E31" s="87">
        <v>20</v>
      </c>
      <c r="F31" s="88">
        <v>30</v>
      </c>
    </row>
    <row r="32" spans="1:7" x14ac:dyDescent="0.25">
      <c r="B32" s="2" t="s">
        <v>66</v>
      </c>
      <c r="D32" s="2"/>
    </row>
    <row r="33" spans="1:7" x14ac:dyDescent="0.25">
      <c r="B33" s="76" t="s">
        <v>67</v>
      </c>
      <c r="C33" s="77" t="s">
        <v>68</v>
      </c>
      <c r="D33" s="78" t="s">
        <v>69</v>
      </c>
      <c r="E33" s="79" t="s">
        <v>33</v>
      </c>
    </row>
    <row r="34" spans="1:7" x14ac:dyDescent="0.25">
      <c r="B34" s="73">
        <v>23</v>
      </c>
      <c r="C34" s="74">
        <v>2</v>
      </c>
      <c r="D34" s="74">
        <v>13</v>
      </c>
      <c r="E34" s="75">
        <f>+SUM(B34:D34)</f>
        <v>38</v>
      </c>
    </row>
    <row r="35" spans="1:7" x14ac:dyDescent="0.25">
      <c r="E35" s="66" t="s">
        <v>76</v>
      </c>
    </row>
    <row r="36" spans="1:7" x14ac:dyDescent="0.25">
      <c r="D36" s="2"/>
      <c r="F36" s="2" t="s">
        <v>90</v>
      </c>
      <c r="G36" s="2" t="s">
        <v>97</v>
      </c>
    </row>
    <row r="37" spans="1:7" x14ac:dyDescent="0.25">
      <c r="A37" s="2" t="s">
        <v>70</v>
      </c>
    </row>
    <row r="38" spans="1:7" x14ac:dyDescent="0.25">
      <c r="A38" s="2" t="s">
        <v>71</v>
      </c>
      <c r="B38" s="2">
        <v>9.27</v>
      </c>
      <c r="C38" s="2">
        <v>1989</v>
      </c>
      <c r="D38" s="68">
        <v>3600</v>
      </c>
      <c r="E38" s="57">
        <f>+C38/D38</f>
        <v>0.55249999999999999</v>
      </c>
      <c r="F38" s="2">
        <v>12</v>
      </c>
    </row>
    <row r="39" spans="1:7" x14ac:dyDescent="0.25">
      <c r="A39" s="2" t="s">
        <v>72</v>
      </c>
      <c r="B39" s="2">
        <v>10.76</v>
      </c>
      <c r="C39" s="2">
        <v>2909</v>
      </c>
      <c r="D39" s="68">
        <v>3600</v>
      </c>
      <c r="E39" s="57">
        <f>+C39/D39</f>
        <v>0.80805555555555553</v>
      </c>
      <c r="F39" s="2">
        <v>12</v>
      </c>
    </row>
    <row r="40" spans="1:7" x14ac:dyDescent="0.25">
      <c r="A40" s="2" t="s">
        <v>73</v>
      </c>
      <c r="B40" s="2">
        <v>15.34</v>
      </c>
      <c r="C40" s="2">
        <v>2943</v>
      </c>
      <c r="D40" s="68">
        <v>3900</v>
      </c>
      <c r="E40" s="57">
        <f>+C40/D40</f>
        <v>0.75461538461538458</v>
      </c>
      <c r="F40" s="2">
        <v>11</v>
      </c>
      <c r="G40" s="2">
        <v>1</v>
      </c>
    </row>
    <row r="41" spans="1:7" x14ac:dyDescent="0.25">
      <c r="A41" s="2" t="s">
        <v>74</v>
      </c>
      <c r="B41" s="2">
        <v>16.84</v>
      </c>
      <c r="C41" s="2">
        <v>2680</v>
      </c>
      <c r="D41" s="68">
        <v>3900</v>
      </c>
      <c r="E41" s="57">
        <f>+C41/D41</f>
        <v>0.68717948717948718</v>
      </c>
      <c r="F41" s="2">
        <v>11</v>
      </c>
      <c r="G41" s="2">
        <v>6</v>
      </c>
    </row>
    <row r="42" spans="1:7" x14ac:dyDescent="0.25">
      <c r="A42" s="2" t="s">
        <v>75</v>
      </c>
      <c r="B42" s="2" t="s">
        <v>77</v>
      </c>
    </row>
    <row r="43" spans="1:7" x14ac:dyDescent="0.25">
      <c r="C43" s="71" t="s">
        <v>83</v>
      </c>
      <c r="D43" s="72" t="s">
        <v>79</v>
      </c>
    </row>
    <row r="44" spans="1:7" x14ac:dyDescent="0.25">
      <c r="B44" s="2" t="s">
        <v>78</v>
      </c>
      <c r="C44" s="71">
        <v>4</v>
      </c>
      <c r="D44" s="72"/>
    </row>
    <row r="45" spans="1:7" x14ac:dyDescent="0.25">
      <c r="C45" s="71">
        <v>5</v>
      </c>
      <c r="D45" s="72">
        <v>6</v>
      </c>
    </row>
    <row r="46" spans="1:7" x14ac:dyDescent="0.25">
      <c r="C46" s="71">
        <v>6</v>
      </c>
      <c r="D46" s="72">
        <v>12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activeCell="A27" sqref="A27:XFD51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5" width="22.85546875" style="2" customWidth="1"/>
    <col min="6" max="6" width="12.85546875" style="2" customWidth="1"/>
    <col min="7" max="7" width="10.42578125" style="2" bestFit="1" customWidth="1"/>
    <col min="8" max="8" width="6.28515625" style="2" bestFit="1" customWidth="1"/>
    <col min="9" max="9" width="10" style="2" bestFit="1" customWidth="1"/>
    <col min="10" max="10" width="5.28515625" style="2" bestFit="1" customWidth="1"/>
    <col min="11" max="16384" width="11.42578125" style="2"/>
  </cols>
  <sheetData>
    <row r="1" spans="1:10" ht="15" customHeight="1" x14ac:dyDescent="0.25">
      <c r="A1" s="1"/>
      <c r="B1" s="518">
        <v>45809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95"/>
      <c r="C4" s="95"/>
      <c r="D4" s="5">
        <f>D25</f>
        <v>5160.6890000000003</v>
      </c>
      <c r="F4" s="58" t="s">
        <v>51</v>
      </c>
      <c r="G4" s="59">
        <v>45803</v>
      </c>
      <c r="H4" s="58">
        <v>6960</v>
      </c>
      <c r="I4" s="58">
        <v>6767.6739999999982</v>
      </c>
      <c r="J4" s="60">
        <f>+I4/H4</f>
        <v>0.97236695402298823</v>
      </c>
    </row>
    <row r="5" spans="1:10" ht="15" customHeight="1" x14ac:dyDescent="0.25">
      <c r="A5" s="4"/>
      <c r="B5" s="8" t="s">
        <v>6</v>
      </c>
      <c r="C5" s="50"/>
      <c r="D5" s="46"/>
      <c r="E5" s="80">
        <f>+D5/$D$4</f>
        <v>0</v>
      </c>
      <c r="F5" s="58" t="s">
        <v>52</v>
      </c>
      <c r="G5" s="59">
        <v>45804</v>
      </c>
      <c r="H5" s="58">
        <v>8203</v>
      </c>
      <c r="I5" s="58">
        <v>7584.1600000000008</v>
      </c>
      <c r="J5" s="60">
        <f t="shared" ref="J5:J11" si="0">+I5/H5</f>
        <v>0.92455930757040117</v>
      </c>
    </row>
    <row r="6" spans="1:10" ht="15" customHeight="1" x14ac:dyDescent="0.25">
      <c r="A6" s="4"/>
      <c r="B6" s="9" t="s">
        <v>10</v>
      </c>
      <c r="C6" s="51">
        <v>6830</v>
      </c>
      <c r="D6" s="47">
        <v>291.79000000000002</v>
      </c>
      <c r="E6" s="80">
        <f t="shared" ref="E6:E24" si="1">+D6/$D$4</f>
        <v>5.6540899868215269E-2</v>
      </c>
      <c r="F6" s="58" t="s">
        <v>53</v>
      </c>
      <c r="G6" s="59">
        <v>45805</v>
      </c>
      <c r="H6" s="58">
        <v>8366</v>
      </c>
      <c r="I6" s="58">
        <v>8183.1520000000028</v>
      </c>
      <c r="J6" s="60">
        <f t="shared" si="0"/>
        <v>0.97814391584986882</v>
      </c>
    </row>
    <row r="7" spans="1:10" ht="15" customHeight="1" x14ac:dyDescent="0.25">
      <c r="A7" s="4"/>
      <c r="B7" s="102" t="s">
        <v>35</v>
      </c>
      <c r="C7" s="103">
        <v>20199</v>
      </c>
      <c r="D7" s="104">
        <v>862.49</v>
      </c>
      <c r="E7" s="105">
        <f t="shared" si="1"/>
        <v>0.1671269088294218</v>
      </c>
      <c r="F7" s="58" t="s">
        <v>54</v>
      </c>
      <c r="G7" s="59">
        <v>45806</v>
      </c>
      <c r="H7" s="58">
        <v>9206</v>
      </c>
      <c r="I7" s="58">
        <v>7689.8950000000004</v>
      </c>
      <c r="J7" s="60">
        <f t="shared" si="0"/>
        <v>0.8353133825765805</v>
      </c>
    </row>
    <row r="8" spans="1:10" ht="15" customHeight="1" x14ac:dyDescent="0.25">
      <c r="A8" s="4"/>
      <c r="B8" s="9" t="s">
        <v>4</v>
      </c>
      <c r="C8" s="51">
        <v>1885</v>
      </c>
      <c r="D8" s="47">
        <v>80.346000000000004</v>
      </c>
      <c r="E8" s="80">
        <f t="shared" si="1"/>
        <v>1.5568851368489751E-2</v>
      </c>
      <c r="F8" s="58" t="s">
        <v>55</v>
      </c>
      <c r="G8" s="59">
        <v>45807</v>
      </c>
      <c r="H8" s="58">
        <v>8287</v>
      </c>
      <c r="I8" s="58">
        <v>7006.09</v>
      </c>
      <c r="J8" s="60">
        <f t="shared" si="0"/>
        <v>0.84543139857608307</v>
      </c>
    </row>
    <row r="9" spans="1:10" ht="15" customHeight="1" x14ac:dyDescent="0.25">
      <c r="A9" s="4"/>
      <c r="B9" s="102" t="s">
        <v>37</v>
      </c>
      <c r="C9" s="103">
        <v>12149</v>
      </c>
      <c r="D9" s="104">
        <v>518.44399999999996</v>
      </c>
      <c r="E9" s="105">
        <f t="shared" si="1"/>
        <v>0.10046022924458341</v>
      </c>
      <c r="F9" s="106" t="s">
        <v>56</v>
      </c>
      <c r="G9" s="59">
        <v>45808</v>
      </c>
      <c r="H9" s="58">
        <v>7078</v>
      </c>
      <c r="I9" s="106">
        <v>6039.93</v>
      </c>
      <c r="J9" s="60">
        <f t="shared" si="0"/>
        <v>0.85333851370443636</v>
      </c>
    </row>
    <row r="10" spans="1:10" ht="15" customHeight="1" x14ac:dyDescent="0.25">
      <c r="A10" s="4"/>
      <c r="B10" s="102" t="s">
        <v>38</v>
      </c>
      <c r="C10" s="103">
        <v>34819</v>
      </c>
      <c r="D10" s="104">
        <v>1487.0730000000001</v>
      </c>
      <c r="E10" s="105">
        <f t="shared" si="1"/>
        <v>0.28815396548794164</v>
      </c>
      <c r="F10" s="106" t="s">
        <v>57</v>
      </c>
      <c r="G10" s="59">
        <v>45809</v>
      </c>
      <c r="H10" s="58">
        <v>4155</v>
      </c>
      <c r="I10" s="106">
        <v>5160.6890000000003</v>
      </c>
      <c r="J10" s="60">
        <f t="shared" si="0"/>
        <v>1.2420430806257521</v>
      </c>
    </row>
    <row r="11" spans="1:10" ht="15" customHeight="1" x14ac:dyDescent="0.25">
      <c r="A11" s="4"/>
      <c r="B11" s="9" t="s">
        <v>42</v>
      </c>
      <c r="C11" s="51">
        <v>8555</v>
      </c>
      <c r="D11" s="47">
        <v>364.87400000000002</v>
      </c>
      <c r="E11" s="80">
        <f t="shared" si="1"/>
        <v>7.070257479185435E-2</v>
      </c>
      <c r="H11" s="58">
        <f>+SUM(H4:H10)</f>
        <v>52255</v>
      </c>
      <c r="I11" s="58">
        <f>+SUM(I4:I10)</f>
        <v>48431.590000000004</v>
      </c>
      <c r="J11" s="60">
        <f t="shared" si="0"/>
        <v>0.92683169074729699</v>
      </c>
    </row>
    <row r="12" spans="1:10" ht="15" customHeight="1" x14ac:dyDescent="0.25">
      <c r="A12" s="4"/>
      <c r="B12" s="9" t="s">
        <v>47</v>
      </c>
      <c r="C12" s="51">
        <v>13743</v>
      </c>
      <c r="D12" s="47">
        <v>348.37599999999998</v>
      </c>
      <c r="E12" s="80">
        <f t="shared" si="1"/>
        <v>6.7505714837689301E-2</v>
      </c>
    </row>
    <row r="13" spans="1:10" ht="15" customHeight="1" x14ac:dyDescent="0.25">
      <c r="A13" s="4"/>
      <c r="B13" s="9" t="s">
        <v>100</v>
      </c>
      <c r="C13" s="51">
        <v>1224</v>
      </c>
      <c r="D13" s="47">
        <v>30.905999999999999</v>
      </c>
      <c r="E13" s="80">
        <f t="shared" si="1"/>
        <v>5.9887352250833168E-3</v>
      </c>
    </row>
    <row r="14" spans="1:10" ht="15" customHeight="1" x14ac:dyDescent="0.25">
      <c r="A14" s="4"/>
      <c r="B14" s="9" t="s">
        <v>44</v>
      </c>
      <c r="C14" s="51">
        <v>20</v>
      </c>
      <c r="D14" s="47">
        <v>30.21</v>
      </c>
      <c r="E14" s="80">
        <f t="shared" si="1"/>
        <v>5.853869512384877E-3</v>
      </c>
      <c r="F14" s="66" t="s">
        <v>102</v>
      </c>
    </row>
    <row r="15" spans="1:10" ht="15" customHeight="1" x14ac:dyDescent="0.25">
      <c r="A15" s="4"/>
      <c r="B15" s="9" t="s">
        <v>39</v>
      </c>
      <c r="C15" s="51">
        <v>130</v>
      </c>
      <c r="D15" s="47">
        <v>196</v>
      </c>
      <c r="E15" s="80">
        <f t="shared" si="1"/>
        <v>3.7979424840365303E-2</v>
      </c>
      <c r="F15" s="2" t="s">
        <v>59</v>
      </c>
      <c r="G15" s="2">
        <v>212393.17300000001</v>
      </c>
      <c r="H15" s="2" t="s">
        <v>92</v>
      </c>
    </row>
    <row r="16" spans="1:10" ht="15" customHeight="1" x14ac:dyDescent="0.25">
      <c r="A16" s="4"/>
      <c r="B16" s="9" t="s">
        <v>43</v>
      </c>
      <c r="C16" s="51"/>
      <c r="D16" s="47"/>
      <c r="E16" s="80">
        <f t="shared" si="1"/>
        <v>0</v>
      </c>
      <c r="F16" s="2" t="s">
        <v>103</v>
      </c>
      <c r="G16" s="107">
        <v>207588</v>
      </c>
      <c r="H16" s="2" t="s">
        <v>92</v>
      </c>
    </row>
    <row r="17" spans="1:9" ht="15" customHeight="1" x14ac:dyDescent="0.25">
      <c r="A17" s="4"/>
      <c r="B17" s="9" t="s">
        <v>84</v>
      </c>
      <c r="C17" s="51">
        <v>40</v>
      </c>
      <c r="D17" s="47">
        <v>60.32</v>
      </c>
      <c r="E17" s="80">
        <f t="shared" si="1"/>
        <v>1.168836176719814E-2</v>
      </c>
      <c r="G17" s="63">
        <f>+G15/G16</f>
        <v>1.0231476434090603</v>
      </c>
    </row>
    <row r="18" spans="1:9" ht="15" customHeight="1" x14ac:dyDescent="0.25">
      <c r="A18" s="4"/>
      <c r="B18" s="9" t="s">
        <v>49</v>
      </c>
      <c r="C18" s="51">
        <v>44</v>
      </c>
      <c r="D18" s="47">
        <v>66.2</v>
      </c>
      <c r="E18" s="80">
        <f t="shared" si="1"/>
        <v>1.2827744512409098E-2</v>
      </c>
      <c r="G18" s="2">
        <f>+G15-G16</f>
        <v>4805.1730000000098</v>
      </c>
      <c r="H18" s="2" t="s">
        <v>92</v>
      </c>
    </row>
    <row r="19" spans="1:9" ht="15" customHeight="1" x14ac:dyDescent="0.25">
      <c r="A19" s="4"/>
      <c r="B19" s="9" t="s">
        <v>41</v>
      </c>
      <c r="C19" s="51">
        <v>121</v>
      </c>
      <c r="D19" s="47">
        <v>182.38</v>
      </c>
      <c r="E19" s="80">
        <f t="shared" si="1"/>
        <v>3.5340242359111346E-2</v>
      </c>
    </row>
    <row r="20" spans="1:9" ht="15" customHeight="1" x14ac:dyDescent="0.25">
      <c r="A20" s="4"/>
      <c r="B20" s="9" t="s">
        <v>45</v>
      </c>
      <c r="C20" s="51"/>
      <c r="D20" s="47"/>
      <c r="E20" s="80">
        <f t="shared" si="1"/>
        <v>0</v>
      </c>
    </row>
    <row r="21" spans="1:9" ht="15" customHeight="1" x14ac:dyDescent="0.25">
      <c r="A21" s="4"/>
      <c r="B21" s="9" t="s">
        <v>85</v>
      </c>
      <c r="C21" s="51">
        <v>244</v>
      </c>
      <c r="D21" s="47">
        <v>367.83</v>
      </c>
      <c r="E21" s="80">
        <f t="shared" si="1"/>
        <v>7.1275366525671277E-2</v>
      </c>
    </row>
    <row r="22" spans="1:9" ht="15" customHeight="1" x14ac:dyDescent="0.25">
      <c r="A22" s="4"/>
      <c r="B22" s="9" t="s">
        <v>40</v>
      </c>
      <c r="C22" s="51"/>
      <c r="D22" s="47">
        <v>181.52</v>
      </c>
      <c r="E22" s="80">
        <f t="shared" si="1"/>
        <v>3.5173597943995459E-2</v>
      </c>
    </row>
    <row r="23" spans="1:9" ht="15" customHeight="1" x14ac:dyDescent="0.25">
      <c r="A23" s="4"/>
      <c r="B23" s="9" t="s">
        <v>9</v>
      </c>
      <c r="C23" s="51"/>
      <c r="D23" s="47">
        <v>91.93</v>
      </c>
      <c r="E23" s="80">
        <f t="shared" si="1"/>
        <v>1.7813512885585626E-2</v>
      </c>
    </row>
    <row r="24" spans="1:9" ht="15" customHeight="1" thickBot="1" x14ac:dyDescent="0.3">
      <c r="A24" s="4"/>
      <c r="B24" s="9" t="s">
        <v>46</v>
      </c>
      <c r="C24" s="51"/>
      <c r="D24" s="47"/>
      <c r="E24" s="80">
        <f t="shared" si="1"/>
        <v>0</v>
      </c>
    </row>
    <row r="25" spans="1:9" ht="15" customHeight="1" thickBot="1" x14ac:dyDescent="0.3">
      <c r="B25" s="52" t="s">
        <v>0</v>
      </c>
      <c r="C25" s="44"/>
      <c r="D25" s="45">
        <f>SUM(D5:D24)</f>
        <v>5160.6890000000003</v>
      </c>
      <c r="G25" s="3"/>
    </row>
    <row r="26" spans="1:9" ht="15" customHeight="1" x14ac:dyDescent="0.25">
      <c r="B26" s="6" t="s">
        <v>1</v>
      </c>
      <c r="C26" s="7"/>
      <c r="D26" s="48">
        <v>5160.6890000000003</v>
      </c>
      <c r="E26" s="98">
        <f>+D26/E2</f>
        <v>2.5224541766459749E-2</v>
      </c>
      <c r="G26" s="3"/>
    </row>
    <row r="27" spans="1:9" x14ac:dyDescent="0.25">
      <c r="D27" s="97">
        <f>+(E2/30)*1</f>
        <v>6819.666666666667</v>
      </c>
      <c r="E27" s="98">
        <f>+D27/E2</f>
        <v>3.3333333333333333E-2</v>
      </c>
    </row>
    <row r="28" spans="1:9" x14ac:dyDescent="0.25">
      <c r="D28" s="96">
        <f>+D26-D27</f>
        <v>-1658.9776666666667</v>
      </c>
      <c r="E28" s="99">
        <f>+E26-E27</f>
        <v>-8.1087915668735834E-3</v>
      </c>
    </row>
    <row r="29" spans="1:9" ht="15" customHeight="1" x14ac:dyDescent="0.25">
      <c r="G29" s="3"/>
    </row>
    <row r="30" spans="1:9" x14ac:dyDescent="0.25">
      <c r="B30" s="66" t="s">
        <v>60</v>
      </c>
      <c r="D30" s="109" t="s">
        <v>105</v>
      </c>
      <c r="E30" s="109" t="s">
        <v>80</v>
      </c>
      <c r="G30" s="3"/>
      <c r="I30" s="2" t="s">
        <v>92</v>
      </c>
    </row>
    <row r="31" spans="1:9" x14ac:dyDescent="0.25">
      <c r="B31" s="2" t="s">
        <v>61</v>
      </c>
      <c r="C31" s="2">
        <v>1548</v>
      </c>
      <c r="D31" s="108">
        <v>2142</v>
      </c>
      <c r="E31" s="57">
        <f>+C31/D31</f>
        <v>0.72268907563025209</v>
      </c>
      <c r="G31" s="86" t="s">
        <v>86</v>
      </c>
      <c r="H31" s="87">
        <v>14233</v>
      </c>
      <c r="I31" s="88">
        <v>355.82500000000005</v>
      </c>
    </row>
    <row r="32" spans="1:9" x14ac:dyDescent="0.25">
      <c r="B32" s="2" t="s">
        <v>62</v>
      </c>
      <c r="C32" s="2">
        <v>1727</v>
      </c>
      <c r="D32" s="108">
        <v>1890</v>
      </c>
      <c r="E32" s="57">
        <f>+C32/D32</f>
        <v>0.91375661375661377</v>
      </c>
      <c r="G32" s="86" t="s">
        <v>104</v>
      </c>
      <c r="H32" s="87">
        <v>1086</v>
      </c>
      <c r="I32" s="88">
        <v>27.150000000000002</v>
      </c>
    </row>
    <row r="33" spans="1:9" x14ac:dyDescent="0.25">
      <c r="B33" s="2" t="s">
        <v>63</v>
      </c>
      <c r="C33" s="67">
        <v>1105</v>
      </c>
      <c r="D33" s="108">
        <v>3006</v>
      </c>
      <c r="E33" s="57">
        <f>+C33/D33</f>
        <v>0.3675981370592149</v>
      </c>
      <c r="G33" s="89" t="s">
        <v>87</v>
      </c>
      <c r="H33" s="87">
        <v>205</v>
      </c>
      <c r="I33" s="88">
        <v>307.5</v>
      </c>
    </row>
    <row r="34" spans="1:9" x14ac:dyDescent="0.25">
      <c r="C34" s="2">
        <f>+SUM(C31:C33)</f>
        <v>4380</v>
      </c>
      <c r="D34" s="110">
        <f>+SUM(D31:D33)</f>
        <v>7038</v>
      </c>
      <c r="G34" s="89" t="s">
        <v>91</v>
      </c>
      <c r="H34" s="87">
        <v>30</v>
      </c>
      <c r="I34" s="88">
        <v>45</v>
      </c>
    </row>
    <row r="35" spans="1:9" ht="15" customHeight="1" x14ac:dyDescent="0.25">
      <c r="G35" s="89" t="s">
        <v>96</v>
      </c>
      <c r="H35" s="87">
        <v>20</v>
      </c>
      <c r="I35" s="88">
        <v>34.5</v>
      </c>
    </row>
    <row r="36" spans="1:9" x14ac:dyDescent="0.25">
      <c r="B36" s="2" t="s">
        <v>66</v>
      </c>
      <c r="D36" s="2"/>
    </row>
    <row r="37" spans="1:9" x14ac:dyDescent="0.25">
      <c r="B37" s="76" t="s">
        <v>67</v>
      </c>
      <c r="C37" s="77" t="s">
        <v>68</v>
      </c>
      <c r="D37" s="78" t="s">
        <v>69</v>
      </c>
      <c r="E37" s="79" t="s">
        <v>33</v>
      </c>
    </row>
    <row r="38" spans="1:9" x14ac:dyDescent="0.25">
      <c r="B38" s="73">
        <v>5</v>
      </c>
      <c r="C38" s="74">
        <v>0</v>
      </c>
      <c r="D38" s="74">
        <v>1</v>
      </c>
      <c r="E38" s="75">
        <f>+SUM(B38:D38)</f>
        <v>6</v>
      </c>
    </row>
    <row r="39" spans="1:9" x14ac:dyDescent="0.25">
      <c r="E39" s="66" t="s">
        <v>76</v>
      </c>
    </row>
    <row r="40" spans="1:9" x14ac:dyDescent="0.25">
      <c r="D40" s="2"/>
      <c r="F40" s="2" t="s">
        <v>90</v>
      </c>
      <c r="G40" s="2" t="s">
        <v>97</v>
      </c>
    </row>
    <row r="41" spans="1:9" x14ac:dyDescent="0.25">
      <c r="A41" s="2" t="s">
        <v>70</v>
      </c>
      <c r="B41" s="2">
        <v>0.7</v>
      </c>
      <c r="C41" s="2">
        <v>2243</v>
      </c>
      <c r="D41" s="3">
        <v>2400</v>
      </c>
      <c r="E41" s="57">
        <f t="shared" ref="E41:E46" si="2">+C41/D41</f>
        <v>0.93458333333333332</v>
      </c>
      <c r="F41" s="2">
        <v>7</v>
      </c>
    </row>
    <row r="42" spans="1:9" x14ac:dyDescent="0.25">
      <c r="A42" s="2" t="s">
        <v>71</v>
      </c>
      <c r="B42" s="2">
        <v>3.59</v>
      </c>
      <c r="C42" s="2">
        <v>2062</v>
      </c>
      <c r="D42" s="68">
        <v>3600</v>
      </c>
      <c r="E42" s="57">
        <f t="shared" si="2"/>
        <v>0.57277777777777783</v>
      </c>
      <c r="F42" s="2">
        <v>12</v>
      </c>
    </row>
    <row r="43" spans="1:9" x14ac:dyDescent="0.25">
      <c r="A43" s="2" t="s">
        <v>72</v>
      </c>
      <c r="B43" s="2">
        <v>11.67</v>
      </c>
      <c r="C43" s="2">
        <v>2802</v>
      </c>
      <c r="D43" s="68">
        <v>3600</v>
      </c>
      <c r="E43" s="57">
        <f t="shared" si="2"/>
        <v>0.77833333333333332</v>
      </c>
      <c r="F43" s="2">
        <v>12</v>
      </c>
    </row>
    <row r="44" spans="1:9" x14ac:dyDescent="0.25">
      <c r="A44" s="2" t="s">
        <v>73</v>
      </c>
      <c r="B44" s="2">
        <v>2.17</v>
      </c>
      <c r="C44" s="2">
        <v>2325</v>
      </c>
      <c r="D44" s="68">
        <v>3900</v>
      </c>
      <c r="E44" s="57">
        <f t="shared" si="2"/>
        <v>0.59615384615384615</v>
      </c>
      <c r="F44" s="2">
        <v>11</v>
      </c>
      <c r="G44" s="2">
        <v>1</v>
      </c>
    </row>
    <row r="45" spans="1:9" x14ac:dyDescent="0.25">
      <c r="A45" s="2" t="s">
        <v>74</v>
      </c>
      <c r="B45" s="2">
        <v>5.88</v>
      </c>
      <c r="C45" s="2">
        <v>2638</v>
      </c>
      <c r="D45" s="68">
        <v>3900</v>
      </c>
      <c r="E45" s="57">
        <f t="shared" si="2"/>
        <v>0.67641025641025643</v>
      </c>
      <c r="F45" s="2">
        <v>11</v>
      </c>
      <c r="G45" s="2">
        <v>6</v>
      </c>
    </row>
    <row r="46" spans="1:9" x14ac:dyDescent="0.25">
      <c r="A46" s="2" t="s">
        <v>75</v>
      </c>
      <c r="B46" s="2">
        <v>8.6999999999999993</v>
      </c>
      <c r="C46" s="2">
        <v>2065</v>
      </c>
      <c r="D46" s="3">
        <v>4300</v>
      </c>
      <c r="E46" s="57">
        <f t="shared" si="2"/>
        <v>0.48023255813953486</v>
      </c>
    </row>
    <row r="47" spans="1:9" x14ac:dyDescent="0.25">
      <c r="C47" s="71" t="s">
        <v>83</v>
      </c>
      <c r="D47" s="72" t="s">
        <v>79</v>
      </c>
    </row>
    <row r="48" spans="1:9" x14ac:dyDescent="0.25">
      <c r="B48" s="2" t="s">
        <v>78</v>
      </c>
      <c r="C48" s="71">
        <v>4</v>
      </c>
      <c r="D48" s="72"/>
    </row>
    <row r="49" spans="3:4" x14ac:dyDescent="0.25">
      <c r="C49" s="71">
        <v>5</v>
      </c>
      <c r="D49" s="72">
        <v>2</v>
      </c>
    </row>
    <row r="50" spans="3:4" x14ac:dyDescent="0.25">
      <c r="C50" s="71">
        <v>6</v>
      </c>
      <c r="D50" s="72">
        <v>6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opLeftCell="A20" workbookViewId="0">
      <selection activeCell="A27" sqref="A27:XFD50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5" width="15.42578125" style="2" customWidth="1"/>
    <col min="6" max="6" width="12.85546875" style="2" customWidth="1"/>
    <col min="7" max="7" width="19.140625" style="2" customWidth="1"/>
    <col min="8" max="8" width="9.140625" style="2" customWidth="1"/>
    <col min="9" max="9" width="9" style="2" bestFit="1" customWidth="1"/>
    <col min="10" max="10" width="6" style="2" bestFit="1" customWidth="1"/>
    <col min="11" max="12" width="11.42578125" style="2"/>
    <col min="13" max="14" width="5.5703125" style="2" bestFit="1" customWidth="1"/>
    <col min="15" max="16384" width="11.42578125" style="2"/>
  </cols>
  <sheetData>
    <row r="1" spans="1:10" ht="15" customHeight="1" x14ac:dyDescent="0.25">
      <c r="A1" s="1"/>
      <c r="B1" s="518">
        <f ca="1">TODAY()-1</f>
        <v>46171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101"/>
      <c r="C4" s="101"/>
      <c r="D4" s="5">
        <f>D25</f>
        <v>6545.7789999999986</v>
      </c>
      <c r="F4" s="58" t="s">
        <v>51</v>
      </c>
      <c r="G4" s="59">
        <v>45810</v>
      </c>
      <c r="H4" s="58">
        <v>7474</v>
      </c>
      <c r="I4" s="58">
        <v>6545.7789999999986</v>
      </c>
      <c r="J4" s="60">
        <f>+I4/H4</f>
        <v>0.87580666309874211</v>
      </c>
    </row>
    <row r="5" spans="1:10" ht="15" customHeight="1" x14ac:dyDescent="0.25">
      <c r="A5" s="4"/>
      <c r="B5" s="8" t="s">
        <v>6</v>
      </c>
      <c r="C5" s="50">
        <v>1540</v>
      </c>
      <c r="D5" s="46">
        <v>65.900000000000006</v>
      </c>
      <c r="E5" s="80">
        <f>+D5/$D$4</f>
        <v>1.0067556512372327E-2</v>
      </c>
      <c r="F5" s="58" t="s">
        <v>52</v>
      </c>
      <c r="G5" s="59">
        <v>45811</v>
      </c>
      <c r="H5" s="58">
        <v>8291</v>
      </c>
      <c r="I5" s="58"/>
      <c r="J5" s="60">
        <f t="shared" ref="J5:J11" si="0">+I5/H5</f>
        <v>0</v>
      </c>
    </row>
    <row r="6" spans="1:10" ht="15" customHeight="1" x14ac:dyDescent="0.25">
      <c r="A6" s="4"/>
      <c r="B6" s="9" t="s">
        <v>10</v>
      </c>
      <c r="C6" s="51">
        <v>10255</v>
      </c>
      <c r="D6" s="47">
        <v>438.15</v>
      </c>
      <c r="E6" s="80">
        <f t="shared" ref="E6:E24" si="1">+D6/$D$4</f>
        <v>6.6936265339847256E-2</v>
      </c>
      <c r="F6" s="58" t="s">
        <v>53</v>
      </c>
      <c r="G6" s="59">
        <v>45812</v>
      </c>
      <c r="H6" s="58">
        <v>7668</v>
      </c>
      <c r="I6" s="58"/>
      <c r="J6" s="60">
        <f t="shared" si="0"/>
        <v>0</v>
      </c>
    </row>
    <row r="7" spans="1:10" ht="15" customHeight="1" x14ac:dyDescent="0.25">
      <c r="A7" s="4"/>
      <c r="B7" s="9" t="s">
        <v>35</v>
      </c>
      <c r="C7" s="51">
        <v>15271</v>
      </c>
      <c r="D7" s="47">
        <v>651.57000000000005</v>
      </c>
      <c r="E7" s="105">
        <f t="shared" si="1"/>
        <v>9.9540482500249425E-2</v>
      </c>
      <c r="F7" s="58" t="s">
        <v>54</v>
      </c>
      <c r="G7" s="59">
        <v>45813</v>
      </c>
      <c r="H7" s="58">
        <v>8120</v>
      </c>
      <c r="I7" s="58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1520</v>
      </c>
      <c r="D8" s="47">
        <v>64.88</v>
      </c>
      <c r="E8" s="80">
        <f t="shared" si="1"/>
        <v>9.911730903227868E-3</v>
      </c>
      <c r="F8" s="58" t="s">
        <v>55</v>
      </c>
      <c r="G8" s="59">
        <v>45814</v>
      </c>
      <c r="H8" s="58">
        <v>7820</v>
      </c>
      <c r="I8" s="58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v>27217</v>
      </c>
      <c r="D9" s="47">
        <v>1161.2550000000001</v>
      </c>
      <c r="E9" s="105">
        <f t="shared" si="1"/>
        <v>0.17740516445788965</v>
      </c>
      <c r="F9" s="58" t="s">
        <v>56</v>
      </c>
      <c r="G9" s="59">
        <v>45815</v>
      </c>
      <c r="H9" s="58">
        <v>6286</v>
      </c>
      <c r="I9" s="58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35287</v>
      </c>
      <c r="D10" s="47">
        <v>1507.1279999999999</v>
      </c>
      <c r="E10" s="105">
        <f t="shared" si="1"/>
        <v>0.23024425358692988</v>
      </c>
      <c r="F10" s="58" t="s">
        <v>57</v>
      </c>
      <c r="G10" s="59">
        <v>45816</v>
      </c>
      <c r="H10" s="58">
        <v>3782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13238</v>
      </c>
      <c r="D11" s="47">
        <v>564.94399999999996</v>
      </c>
      <c r="E11" s="80">
        <f t="shared" si="1"/>
        <v>8.6306610718143717E-2</v>
      </c>
      <c r="H11" s="58">
        <f>+SUM(H4:H10)</f>
        <v>49441</v>
      </c>
      <c r="I11" s="58">
        <f>+SUM(I4:I10)</f>
        <v>6545.7789999999986</v>
      </c>
      <c r="J11" s="60">
        <f t="shared" si="0"/>
        <v>0.13239576464877326</v>
      </c>
    </row>
    <row r="12" spans="1:10" ht="15" customHeight="1" x14ac:dyDescent="0.25">
      <c r="A12" s="4"/>
      <c r="B12" s="9" t="s">
        <v>47</v>
      </c>
      <c r="C12" s="51">
        <v>5426</v>
      </c>
      <c r="D12" s="47">
        <v>137.07400000000001</v>
      </c>
      <c r="E12" s="80">
        <f t="shared" si="1"/>
        <v>2.0940823086144526E-2</v>
      </c>
    </row>
    <row r="13" spans="1:10" ht="15" customHeight="1" x14ac:dyDescent="0.25">
      <c r="A13" s="4"/>
      <c r="B13" s="9" t="s">
        <v>95</v>
      </c>
      <c r="C13" s="51">
        <v>250</v>
      </c>
      <c r="D13" s="47">
        <v>6.298</v>
      </c>
      <c r="E13" s="80">
        <f t="shared" si="1"/>
        <v>9.6214675136450554E-4</v>
      </c>
    </row>
    <row r="14" spans="1:10" ht="15" customHeight="1" x14ac:dyDescent="0.25">
      <c r="A14" s="4"/>
      <c r="B14" s="9" t="s">
        <v>44</v>
      </c>
      <c r="C14" s="51">
        <v>44</v>
      </c>
      <c r="D14" s="47">
        <v>66.56</v>
      </c>
      <c r="E14" s="80">
        <f t="shared" si="1"/>
        <v>1.0168384847701094E-2</v>
      </c>
      <c r="F14" s="66" t="s">
        <v>102</v>
      </c>
    </row>
    <row r="15" spans="1:10" ht="15" customHeight="1" x14ac:dyDescent="0.25">
      <c r="A15" s="4"/>
      <c r="B15" s="9" t="s">
        <v>39</v>
      </c>
      <c r="C15" s="51">
        <v>417</v>
      </c>
      <c r="D15" s="47">
        <v>628.96</v>
      </c>
      <c r="E15" s="80">
        <f t="shared" si="1"/>
        <v>9.6086348164213936E-2</v>
      </c>
      <c r="F15" s="2" t="s">
        <v>59</v>
      </c>
      <c r="G15" s="2">
        <v>212393.17300000001</v>
      </c>
      <c r="H15" s="2" t="s">
        <v>92</v>
      </c>
    </row>
    <row r="16" spans="1:10" ht="15" customHeight="1" x14ac:dyDescent="0.25">
      <c r="A16" s="4"/>
      <c r="B16" s="9" t="s">
        <v>43</v>
      </c>
      <c r="C16" s="51">
        <v>224</v>
      </c>
      <c r="D16" s="47">
        <v>338.09</v>
      </c>
      <c r="E16" s="80">
        <f t="shared" si="1"/>
        <v>5.1650078623186033E-2</v>
      </c>
      <c r="F16" s="2" t="s">
        <v>103</v>
      </c>
      <c r="G16" s="107">
        <v>207588</v>
      </c>
      <c r="H16" s="2" t="s">
        <v>92</v>
      </c>
    </row>
    <row r="17" spans="1:10" ht="15" customHeight="1" x14ac:dyDescent="0.25">
      <c r="A17" s="4"/>
      <c r="B17" s="9" t="s">
        <v>84</v>
      </c>
      <c r="C17" s="51"/>
      <c r="D17" s="47"/>
      <c r="E17" s="80">
        <f t="shared" si="1"/>
        <v>0</v>
      </c>
      <c r="G17" s="63">
        <f>+G15/G16</f>
        <v>1.0231476434090603</v>
      </c>
    </row>
    <row r="18" spans="1:10" ht="15" customHeight="1" x14ac:dyDescent="0.25">
      <c r="A18" s="4"/>
      <c r="B18" s="9" t="s">
        <v>49</v>
      </c>
      <c r="C18" s="51">
        <v>21</v>
      </c>
      <c r="D18" s="47">
        <v>31.56</v>
      </c>
      <c r="E18" s="80">
        <f t="shared" si="1"/>
        <v>4.8214276711755783E-3</v>
      </c>
      <c r="G18" s="2">
        <f>+G15-G16</f>
        <v>4805.1730000000098</v>
      </c>
      <c r="H18" s="2" t="s">
        <v>92</v>
      </c>
    </row>
    <row r="19" spans="1:10" ht="15" customHeight="1" x14ac:dyDescent="0.25">
      <c r="A19" s="4"/>
      <c r="B19" s="9" t="s">
        <v>41</v>
      </c>
      <c r="C19" s="51">
        <v>146</v>
      </c>
      <c r="D19" s="47">
        <v>219.44</v>
      </c>
      <c r="E19" s="80">
        <f t="shared" si="1"/>
        <v>3.3523893794764538E-2</v>
      </c>
      <c r="G19" s="112"/>
      <c r="H19" s="113">
        <v>2024</v>
      </c>
      <c r="I19" s="113">
        <v>2025</v>
      </c>
    </row>
    <row r="20" spans="1:10" ht="15" customHeight="1" x14ac:dyDescent="0.25">
      <c r="A20" s="4"/>
      <c r="B20" s="9" t="s">
        <v>45</v>
      </c>
      <c r="C20" s="51"/>
      <c r="D20" s="47"/>
      <c r="E20" s="80">
        <f t="shared" si="1"/>
        <v>0</v>
      </c>
      <c r="G20" s="112" t="s">
        <v>108</v>
      </c>
      <c r="H20" s="112">
        <v>204007.80300000001</v>
      </c>
      <c r="I20" s="112">
        <v>190629.128</v>
      </c>
      <c r="J20" s="93">
        <f t="shared" ref="J20:J25" si="2">+I20/H20</f>
        <v>0.93442076820953746</v>
      </c>
    </row>
    <row r="21" spans="1:10" ht="15" customHeight="1" x14ac:dyDescent="0.25">
      <c r="A21" s="4"/>
      <c r="B21" s="9" t="s">
        <v>106</v>
      </c>
      <c r="C21" s="51">
        <v>20</v>
      </c>
      <c r="D21" s="47">
        <v>30.03</v>
      </c>
      <c r="E21" s="80">
        <f t="shared" si="1"/>
        <v>4.5876892574588917E-3</v>
      </c>
      <c r="G21" s="112" t="s">
        <v>109</v>
      </c>
      <c r="H21" s="112">
        <v>186305.94399999996</v>
      </c>
      <c r="I21" s="112">
        <v>182874.285</v>
      </c>
      <c r="J21" s="93">
        <f t="shared" si="2"/>
        <v>0.9815805179033904</v>
      </c>
    </row>
    <row r="22" spans="1:10" ht="15" customHeight="1" x14ac:dyDescent="0.25">
      <c r="A22" s="4"/>
      <c r="B22" s="9" t="s">
        <v>40</v>
      </c>
      <c r="C22" s="51"/>
      <c r="D22" s="47">
        <v>329.33</v>
      </c>
      <c r="E22" s="80">
        <f t="shared" si="1"/>
        <v>5.0311811627004217E-2</v>
      </c>
      <c r="G22" s="112" t="s">
        <v>110</v>
      </c>
      <c r="H22" s="112">
        <v>199570.19199999989</v>
      </c>
      <c r="I22" s="112">
        <v>197224.22099999999</v>
      </c>
      <c r="J22" s="93">
        <f t="shared" si="2"/>
        <v>0.98824488278289624</v>
      </c>
    </row>
    <row r="23" spans="1:10" ht="15" customHeight="1" x14ac:dyDescent="0.25">
      <c r="A23" s="4"/>
      <c r="B23" s="9" t="s">
        <v>9</v>
      </c>
      <c r="C23" s="51"/>
      <c r="D23" s="47">
        <v>214.79</v>
      </c>
      <c r="E23" s="80">
        <f t="shared" si="1"/>
        <v>3.2813512341311864E-2</v>
      </c>
      <c r="G23" s="112" t="s">
        <v>111</v>
      </c>
      <c r="H23" s="112">
        <v>205343.72800000012</v>
      </c>
      <c r="I23" s="112">
        <v>198970.75799999986</v>
      </c>
      <c r="J23" s="93">
        <f t="shared" si="2"/>
        <v>0.96896437956945902</v>
      </c>
    </row>
    <row r="24" spans="1:10" ht="15" customHeight="1" thickBot="1" x14ac:dyDescent="0.3">
      <c r="A24" s="4"/>
      <c r="B24" s="9" t="s">
        <v>46</v>
      </c>
      <c r="C24" s="51"/>
      <c r="D24" s="47">
        <v>89.82</v>
      </c>
      <c r="E24" s="80">
        <f t="shared" si="1"/>
        <v>1.3721819817014905E-2</v>
      </c>
      <c r="G24" s="112" t="s">
        <v>102</v>
      </c>
      <c r="H24" s="112">
        <v>209473.77399999995</v>
      </c>
      <c r="I24" s="112">
        <v>212393.17300000001</v>
      </c>
      <c r="J24" s="93">
        <f t="shared" si="2"/>
        <v>1.0139368234230604</v>
      </c>
    </row>
    <row r="25" spans="1:10" ht="15" customHeight="1" thickBot="1" x14ac:dyDescent="0.3">
      <c r="B25" s="52" t="s">
        <v>0</v>
      </c>
      <c r="C25" s="44"/>
      <c r="D25" s="45">
        <f>SUM(D5:D24)</f>
        <v>6545.7789999999986</v>
      </c>
      <c r="G25" s="3"/>
      <c r="H25" s="2">
        <f>+SUM(H20:H24)</f>
        <v>1004701.441</v>
      </c>
      <c r="I25" s="2">
        <f>+SUM(I20:I24)</f>
        <v>982091.56499999971</v>
      </c>
      <c r="J25" s="93">
        <f t="shared" si="2"/>
        <v>0.97749592557815368</v>
      </c>
    </row>
    <row r="26" spans="1:10" ht="15" customHeight="1" x14ac:dyDescent="0.25">
      <c r="B26" s="6" t="s">
        <v>1</v>
      </c>
      <c r="C26" s="7"/>
      <c r="D26" s="48">
        <v>11706.468000000001</v>
      </c>
      <c r="E26" s="98">
        <f>+D26/E2</f>
        <v>5.7219160271763041E-2</v>
      </c>
      <c r="G26" s="3"/>
    </row>
    <row r="27" spans="1:10" x14ac:dyDescent="0.25">
      <c r="D27" s="97">
        <f>+(E2/30)*2</f>
        <v>13639.333333333334</v>
      </c>
      <c r="E27" s="98">
        <f>+D27/E2</f>
        <v>6.6666666666666666E-2</v>
      </c>
    </row>
    <row r="28" spans="1:10" x14ac:dyDescent="0.25">
      <c r="D28" s="96">
        <f>+D26-D27</f>
        <v>-1932.8653333333332</v>
      </c>
      <c r="E28" s="99">
        <f>+E26-E27</f>
        <v>-9.447506394903625E-3</v>
      </c>
    </row>
    <row r="29" spans="1:10" ht="15" customHeight="1" x14ac:dyDescent="0.25">
      <c r="G29" s="3"/>
    </row>
    <row r="30" spans="1:10" x14ac:dyDescent="0.25">
      <c r="B30" s="66" t="s">
        <v>60</v>
      </c>
      <c r="D30" s="109" t="s">
        <v>105</v>
      </c>
      <c r="E30" s="109" t="s">
        <v>80</v>
      </c>
      <c r="G30" s="3"/>
      <c r="I30" s="2" t="s">
        <v>92</v>
      </c>
    </row>
    <row r="31" spans="1:10" x14ac:dyDescent="0.25">
      <c r="B31" s="2" t="s">
        <v>61</v>
      </c>
      <c r="C31" s="2">
        <v>439</v>
      </c>
      <c r="D31" s="108">
        <v>2142</v>
      </c>
      <c r="E31" s="57">
        <f>+C31/D31</f>
        <v>0.20494864612511671</v>
      </c>
      <c r="G31" s="86" t="s">
        <v>86</v>
      </c>
      <c r="H31" s="87">
        <v>14233</v>
      </c>
      <c r="I31" s="88">
        <v>355.82500000000005</v>
      </c>
    </row>
    <row r="32" spans="1:10" x14ac:dyDescent="0.25">
      <c r="B32" s="2" t="s">
        <v>62</v>
      </c>
      <c r="C32" s="2">
        <v>1384</v>
      </c>
      <c r="D32" s="108">
        <v>1890</v>
      </c>
      <c r="E32" s="57">
        <f>+C32/D32</f>
        <v>0.7322751322751323</v>
      </c>
      <c r="G32" s="86" t="s">
        <v>104</v>
      </c>
      <c r="H32" s="87">
        <v>1086</v>
      </c>
      <c r="I32" s="88">
        <v>27.150000000000002</v>
      </c>
    </row>
    <row r="33" spans="1:9" x14ac:dyDescent="0.25">
      <c r="B33" s="2" t="s">
        <v>63</v>
      </c>
      <c r="C33" s="67">
        <v>539</v>
      </c>
      <c r="D33" s="108">
        <v>3006</v>
      </c>
      <c r="E33" s="57">
        <f>+C33/D33</f>
        <v>0.17930805056553559</v>
      </c>
      <c r="G33" s="89" t="s">
        <v>87</v>
      </c>
      <c r="H33" s="87">
        <v>185</v>
      </c>
      <c r="I33" s="88">
        <v>277.5</v>
      </c>
    </row>
    <row r="34" spans="1:9" x14ac:dyDescent="0.25">
      <c r="C34" s="2">
        <f>+SUM(C31:C33)</f>
        <v>2362</v>
      </c>
      <c r="D34" s="110">
        <f>+SUM(D31:D33)</f>
        <v>7038</v>
      </c>
      <c r="G34" s="89" t="s">
        <v>91</v>
      </c>
      <c r="H34" s="87">
        <v>30</v>
      </c>
      <c r="I34" s="88">
        <v>45</v>
      </c>
    </row>
    <row r="35" spans="1:9" ht="15" customHeight="1" x14ac:dyDescent="0.25">
      <c r="G35" s="89" t="s">
        <v>96</v>
      </c>
      <c r="H35" s="87">
        <v>23</v>
      </c>
      <c r="I35" s="88">
        <v>34.5</v>
      </c>
    </row>
    <row r="36" spans="1:9" x14ac:dyDescent="0.25">
      <c r="B36" s="2" t="s">
        <v>66</v>
      </c>
      <c r="D36" s="2"/>
      <c r="G36" s="89" t="s">
        <v>107</v>
      </c>
      <c r="H36" s="87">
        <v>56</v>
      </c>
      <c r="I36" s="88">
        <v>84</v>
      </c>
    </row>
    <row r="37" spans="1:9" x14ac:dyDescent="0.25">
      <c r="B37" s="76" t="s">
        <v>67</v>
      </c>
      <c r="C37" s="77" t="s">
        <v>68</v>
      </c>
      <c r="D37" s="78" t="s">
        <v>69</v>
      </c>
      <c r="E37" s="79" t="s">
        <v>33</v>
      </c>
    </row>
    <row r="38" spans="1:9" x14ac:dyDescent="0.25">
      <c r="B38" s="73">
        <v>15</v>
      </c>
      <c r="C38" s="74">
        <v>0</v>
      </c>
      <c r="D38" s="74">
        <v>27</v>
      </c>
      <c r="E38" s="75">
        <f>+SUM(B38:D38)</f>
        <v>42</v>
      </c>
    </row>
    <row r="39" spans="1:9" x14ac:dyDescent="0.25">
      <c r="E39" s="66" t="s">
        <v>76</v>
      </c>
    </row>
    <row r="40" spans="1:9" x14ac:dyDescent="0.25">
      <c r="D40" s="2"/>
      <c r="F40" s="2" t="s">
        <v>90</v>
      </c>
      <c r="G40" s="2" t="s">
        <v>97</v>
      </c>
    </row>
    <row r="41" spans="1:9" x14ac:dyDescent="0.25">
      <c r="A41" s="2" t="s">
        <v>70</v>
      </c>
      <c r="B41" s="2">
        <v>0</v>
      </c>
      <c r="C41" s="2">
        <v>2243</v>
      </c>
      <c r="D41" s="3">
        <v>2400</v>
      </c>
      <c r="E41" s="57">
        <f>+C41/D41</f>
        <v>0.93458333333333332</v>
      </c>
      <c r="F41" s="2">
        <v>7</v>
      </c>
    </row>
    <row r="42" spans="1:9" x14ac:dyDescent="0.25">
      <c r="A42" s="2" t="s">
        <v>71</v>
      </c>
      <c r="B42" s="2">
        <v>6.76</v>
      </c>
      <c r="C42" s="2">
        <v>2215</v>
      </c>
      <c r="D42" s="68">
        <v>3600</v>
      </c>
      <c r="E42" s="57">
        <f>+C42/D42</f>
        <v>0.61527777777777781</v>
      </c>
      <c r="F42" s="2">
        <v>11</v>
      </c>
      <c r="G42" s="2">
        <v>2</v>
      </c>
    </row>
    <row r="43" spans="1:9" x14ac:dyDescent="0.25">
      <c r="A43" s="2" t="s">
        <v>72</v>
      </c>
      <c r="B43" s="2">
        <v>6.78</v>
      </c>
      <c r="C43" s="2">
        <v>3219</v>
      </c>
      <c r="D43" s="68">
        <v>3600</v>
      </c>
      <c r="E43" s="57">
        <f>+C43/D43</f>
        <v>0.89416666666666667</v>
      </c>
      <c r="F43" s="2">
        <v>12</v>
      </c>
    </row>
    <row r="44" spans="1:9" x14ac:dyDescent="0.25">
      <c r="A44" s="2" t="s">
        <v>73</v>
      </c>
      <c r="B44" s="2">
        <v>3.93</v>
      </c>
      <c r="C44" s="2">
        <v>2932</v>
      </c>
      <c r="D44" s="68">
        <v>3900</v>
      </c>
      <c r="E44" s="57">
        <f>+C44/D44</f>
        <v>0.75179487179487181</v>
      </c>
      <c r="F44" s="2">
        <v>11</v>
      </c>
      <c r="G44" s="2">
        <v>1</v>
      </c>
    </row>
    <row r="45" spans="1:9" x14ac:dyDescent="0.25">
      <c r="A45" s="2" t="s">
        <v>74</v>
      </c>
      <c r="B45" s="2">
        <v>12.3</v>
      </c>
      <c r="C45" s="2">
        <v>2957</v>
      </c>
      <c r="D45" s="68">
        <v>3900</v>
      </c>
      <c r="E45" s="57">
        <f>+C45/D45</f>
        <v>0.7582051282051282</v>
      </c>
      <c r="F45" s="2">
        <v>11</v>
      </c>
      <c r="G45" s="2">
        <v>7</v>
      </c>
    </row>
    <row r="46" spans="1:9" x14ac:dyDescent="0.25">
      <c r="A46" s="2" t="s">
        <v>75</v>
      </c>
      <c r="B46" s="2">
        <v>2</v>
      </c>
      <c r="D46" s="3">
        <v>4300</v>
      </c>
      <c r="E46" s="57"/>
    </row>
    <row r="47" spans="1:9" x14ac:dyDescent="0.25">
      <c r="C47" s="71" t="s">
        <v>83</v>
      </c>
      <c r="D47" s="72" t="s">
        <v>79</v>
      </c>
    </row>
    <row r="48" spans="1:9" x14ac:dyDescent="0.25">
      <c r="B48" s="2" t="s">
        <v>78</v>
      </c>
      <c r="C48" s="71">
        <v>4</v>
      </c>
      <c r="D48" s="72"/>
    </row>
    <row r="49" spans="3:4" x14ac:dyDescent="0.25">
      <c r="C49" s="71">
        <v>5</v>
      </c>
      <c r="D49" s="72"/>
    </row>
    <row r="50" spans="3:4" x14ac:dyDescent="0.25">
      <c r="C50" s="71">
        <v>6</v>
      </c>
      <c r="D50" s="72">
        <v>15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15" workbookViewId="0">
      <selection activeCell="A27" sqref="A27:K55"/>
    </sheetView>
  </sheetViews>
  <sheetFormatPr baseColWidth="10" defaultColWidth="11.42578125" defaultRowHeight="15.75" x14ac:dyDescent="0.25"/>
  <cols>
    <col min="1" max="1" width="2.42578125" style="2" customWidth="1"/>
    <col min="2" max="2" width="38.7109375" style="2" customWidth="1"/>
    <col min="3" max="3" width="15.28515625" style="2" customWidth="1"/>
    <col min="4" max="4" width="15.28515625" style="3" customWidth="1"/>
    <col min="5" max="5" width="22.85546875" style="2" customWidth="1"/>
    <col min="6" max="6" width="8.140625" style="2" customWidth="1"/>
    <col min="7" max="7" width="19.140625" style="2" bestFit="1" customWidth="1"/>
    <col min="8" max="8" width="9" style="2" bestFit="1" customWidth="1"/>
    <col min="9" max="9" width="10" style="2" bestFit="1" customWidth="1"/>
    <col min="10" max="10" width="10.140625" style="2" customWidth="1"/>
    <col min="11" max="16384" width="11.42578125" style="2"/>
  </cols>
  <sheetData>
    <row r="1" spans="1:10" ht="15" customHeight="1" x14ac:dyDescent="0.25">
      <c r="A1" s="1"/>
      <c r="B1" s="518">
        <v>45811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111"/>
      <c r="C4" s="111"/>
      <c r="D4" s="5">
        <f>D25</f>
        <v>8122.2530000000006</v>
      </c>
      <c r="F4" s="58" t="s">
        <v>51</v>
      </c>
      <c r="G4" s="59">
        <v>45810</v>
      </c>
      <c r="H4" s="58">
        <v>7474</v>
      </c>
      <c r="I4" s="58">
        <v>6545.7789999999986</v>
      </c>
      <c r="J4" s="60">
        <f>+I4/H4</f>
        <v>0.87580666309874211</v>
      </c>
    </row>
    <row r="5" spans="1:10" ht="15" customHeight="1" x14ac:dyDescent="0.25">
      <c r="A5" s="4"/>
      <c r="B5" s="8" t="s">
        <v>6</v>
      </c>
      <c r="C5" s="50">
        <v>6162</v>
      </c>
      <c r="D5" s="46">
        <v>263.25</v>
      </c>
      <c r="E5" s="80">
        <f>+D5/$D$4</f>
        <v>3.2410957895549423E-2</v>
      </c>
      <c r="F5" s="58" t="s">
        <v>52</v>
      </c>
      <c r="G5" s="59">
        <v>45811</v>
      </c>
      <c r="H5" s="58">
        <v>8291</v>
      </c>
      <c r="I5" s="58">
        <v>8122.2530000000006</v>
      </c>
      <c r="J5" s="60">
        <f t="shared" ref="J5:J11" si="0">+I5/H5</f>
        <v>0.97964696659027872</v>
      </c>
    </row>
    <row r="6" spans="1:10" ht="15" customHeight="1" x14ac:dyDescent="0.25">
      <c r="A6" s="4"/>
      <c r="B6" s="9" t="s">
        <v>10</v>
      </c>
      <c r="C6" s="51">
        <v>6320</v>
      </c>
      <c r="D6" s="47">
        <v>270.05</v>
      </c>
      <c r="E6" s="80">
        <f t="shared" ref="E6:E24" si="1">+D6/$D$4</f>
        <v>3.3248164025424964E-2</v>
      </c>
      <c r="F6" s="58" t="s">
        <v>53</v>
      </c>
      <c r="G6" s="59">
        <v>45812</v>
      </c>
      <c r="H6" s="58">
        <v>7668</v>
      </c>
      <c r="I6" s="58"/>
      <c r="J6" s="60">
        <f t="shared" si="0"/>
        <v>0</v>
      </c>
    </row>
    <row r="7" spans="1:10" ht="15" customHeight="1" x14ac:dyDescent="0.25">
      <c r="A7" s="4"/>
      <c r="B7" s="9" t="s">
        <v>35</v>
      </c>
      <c r="C7" s="51">
        <v>19749</v>
      </c>
      <c r="D7" s="47">
        <v>843.48400000000004</v>
      </c>
      <c r="E7" s="115">
        <f t="shared" si="1"/>
        <v>0.1038485257723442</v>
      </c>
      <c r="F7" s="58" t="s">
        <v>54</v>
      </c>
      <c r="G7" s="59">
        <v>45813</v>
      </c>
      <c r="H7" s="58">
        <v>8120</v>
      </c>
      <c r="I7" s="58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4070</v>
      </c>
      <c r="D8" s="47">
        <v>173.48</v>
      </c>
      <c r="E8" s="80">
        <f t="shared" si="1"/>
        <v>2.1358605795707173E-2</v>
      </c>
      <c r="F8" s="58" t="s">
        <v>55</v>
      </c>
      <c r="G8" s="59">
        <v>45814</v>
      </c>
      <c r="H8" s="58">
        <v>7820</v>
      </c>
      <c r="I8" s="58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v>40610</v>
      </c>
      <c r="D9" s="47">
        <v>1732.434</v>
      </c>
      <c r="E9" s="115">
        <f t="shared" si="1"/>
        <v>0.21329475947129445</v>
      </c>
      <c r="F9" s="58" t="s">
        <v>56</v>
      </c>
      <c r="G9" s="59">
        <v>45815</v>
      </c>
      <c r="H9" s="58">
        <v>6286</v>
      </c>
      <c r="I9" s="58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44850</v>
      </c>
      <c r="D10" s="47">
        <v>1916.306</v>
      </c>
      <c r="E10" s="115">
        <f t="shared" si="1"/>
        <v>0.23593281322312909</v>
      </c>
      <c r="F10" s="58" t="s">
        <v>57</v>
      </c>
      <c r="G10" s="59">
        <v>45816</v>
      </c>
      <c r="H10" s="58">
        <v>3782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11570</v>
      </c>
      <c r="D11" s="47">
        <v>494.21899999999999</v>
      </c>
      <c r="E11" s="80">
        <f t="shared" si="1"/>
        <v>6.0847525926611738E-2</v>
      </c>
      <c r="H11" s="58">
        <f>+SUM(H4:H10)</f>
        <v>49441</v>
      </c>
      <c r="I11" s="58">
        <f>+SUM(I4:I10)</f>
        <v>14668.031999999999</v>
      </c>
      <c r="J11" s="60">
        <f t="shared" si="0"/>
        <v>0.29667749438724944</v>
      </c>
    </row>
    <row r="12" spans="1:10" ht="15" customHeight="1" x14ac:dyDescent="0.25">
      <c r="A12" s="4"/>
      <c r="B12" s="9" t="s">
        <v>47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95</v>
      </c>
      <c r="C13" s="51"/>
      <c r="D13" s="47"/>
      <c r="E13" s="80">
        <f t="shared" si="1"/>
        <v>0</v>
      </c>
    </row>
    <row r="14" spans="1:10" ht="15" customHeight="1" x14ac:dyDescent="0.25">
      <c r="A14" s="4"/>
      <c r="B14" s="9" t="s">
        <v>44</v>
      </c>
      <c r="C14" s="51">
        <v>69</v>
      </c>
      <c r="D14" s="47">
        <v>104.33</v>
      </c>
      <c r="E14" s="80">
        <f t="shared" si="1"/>
        <v>1.2844958166163992E-2</v>
      </c>
      <c r="F14" s="66" t="s">
        <v>102</v>
      </c>
    </row>
    <row r="15" spans="1:10" ht="15" customHeight="1" x14ac:dyDescent="0.25">
      <c r="A15" s="4"/>
      <c r="B15" s="9" t="s">
        <v>39</v>
      </c>
      <c r="C15" s="51">
        <v>387</v>
      </c>
      <c r="D15" s="47">
        <v>584.02</v>
      </c>
      <c r="E15" s="80">
        <f t="shared" si="1"/>
        <v>7.1903694701457826E-2</v>
      </c>
      <c r="F15" s="2" t="s">
        <v>59</v>
      </c>
      <c r="G15" s="2">
        <v>212393.17300000001</v>
      </c>
      <c r="H15" s="2" t="s">
        <v>92</v>
      </c>
    </row>
    <row r="16" spans="1:10" ht="15" customHeight="1" x14ac:dyDescent="0.25">
      <c r="A16" s="4"/>
      <c r="B16" s="9" t="s">
        <v>43</v>
      </c>
      <c r="C16" s="51">
        <v>273</v>
      </c>
      <c r="D16" s="47">
        <v>412.37</v>
      </c>
      <c r="E16" s="80">
        <f t="shared" si="1"/>
        <v>5.0770395849525987E-2</v>
      </c>
      <c r="F16" s="2" t="s">
        <v>103</v>
      </c>
      <c r="G16" s="107">
        <v>207588</v>
      </c>
      <c r="H16" s="2" t="s">
        <v>92</v>
      </c>
    </row>
    <row r="17" spans="1:10" ht="15" customHeight="1" x14ac:dyDescent="0.25">
      <c r="A17" s="4"/>
      <c r="B17" s="9" t="s">
        <v>84</v>
      </c>
      <c r="C17" s="51"/>
      <c r="D17" s="47"/>
      <c r="E17" s="80">
        <f t="shared" si="1"/>
        <v>0</v>
      </c>
      <c r="G17" s="63">
        <f>+G15/G16</f>
        <v>1.0231476434090603</v>
      </c>
    </row>
    <row r="18" spans="1:10" ht="15" customHeight="1" x14ac:dyDescent="0.25">
      <c r="A18" s="4"/>
      <c r="B18" s="9" t="s">
        <v>49</v>
      </c>
      <c r="C18" s="51">
        <v>106</v>
      </c>
      <c r="D18" s="47">
        <v>159.38</v>
      </c>
      <c r="E18" s="80">
        <f t="shared" si="1"/>
        <v>1.962263426170054E-2</v>
      </c>
      <c r="G18" s="2">
        <f>+G15-G16</f>
        <v>4805.1730000000098</v>
      </c>
      <c r="H18" s="2" t="s">
        <v>92</v>
      </c>
    </row>
    <row r="19" spans="1:10" ht="15" customHeight="1" x14ac:dyDescent="0.25">
      <c r="A19" s="4"/>
      <c r="B19" s="9" t="s">
        <v>41</v>
      </c>
      <c r="C19" s="51">
        <v>189</v>
      </c>
      <c r="D19" s="47">
        <v>284.25</v>
      </c>
      <c r="E19" s="80">
        <f t="shared" si="1"/>
        <v>3.4996447414282712E-2</v>
      </c>
      <c r="G19" s="112"/>
      <c r="H19" s="113">
        <v>2024</v>
      </c>
      <c r="I19" s="113">
        <v>2025</v>
      </c>
    </row>
    <row r="20" spans="1:10" ht="15" customHeight="1" x14ac:dyDescent="0.25">
      <c r="A20" s="4"/>
      <c r="B20" s="9" t="s">
        <v>45</v>
      </c>
      <c r="C20" s="51">
        <v>22</v>
      </c>
      <c r="D20" s="47">
        <v>33</v>
      </c>
      <c r="E20" s="80">
        <f t="shared" si="1"/>
        <v>4.0629121008665938E-3</v>
      </c>
      <c r="G20" s="112" t="s">
        <v>108</v>
      </c>
      <c r="H20" s="119">
        <v>204007.80300000001</v>
      </c>
      <c r="I20" s="119">
        <v>190629.128</v>
      </c>
      <c r="J20" s="93">
        <f t="shared" ref="J20:J25" si="2">+I20/H20</f>
        <v>0.93442076820953746</v>
      </c>
    </row>
    <row r="21" spans="1:10" ht="15" customHeight="1" x14ac:dyDescent="0.25">
      <c r="A21" s="4"/>
      <c r="B21" s="9" t="s">
        <v>106</v>
      </c>
      <c r="C21" s="51"/>
      <c r="D21" s="47">
        <v>29.53</v>
      </c>
      <c r="E21" s="80">
        <f t="shared" si="1"/>
        <v>3.6356907375330464E-3</v>
      </c>
      <c r="G21" s="112" t="s">
        <v>109</v>
      </c>
      <c r="H21" s="119">
        <v>186305.94399999996</v>
      </c>
      <c r="I21" s="119">
        <v>182874.285</v>
      </c>
      <c r="J21" s="93">
        <f t="shared" si="2"/>
        <v>0.9815805179033904</v>
      </c>
    </row>
    <row r="22" spans="1:10" ht="15" customHeight="1" x14ac:dyDescent="0.25">
      <c r="A22" s="4"/>
      <c r="B22" s="9" t="s">
        <v>40</v>
      </c>
      <c r="C22" s="51"/>
      <c r="D22" s="47">
        <v>545.47</v>
      </c>
      <c r="E22" s="80">
        <f t="shared" si="1"/>
        <v>6.715747465635459E-2</v>
      </c>
      <c r="G22" s="112" t="s">
        <v>110</v>
      </c>
      <c r="H22" s="119">
        <v>199570.19199999989</v>
      </c>
      <c r="I22" s="119">
        <v>197224.22099999999</v>
      </c>
      <c r="J22" s="93">
        <f t="shared" si="2"/>
        <v>0.98824488278289624</v>
      </c>
    </row>
    <row r="23" spans="1:10" ht="15" customHeight="1" x14ac:dyDescent="0.25">
      <c r="A23" s="4"/>
      <c r="B23" s="9" t="s">
        <v>9</v>
      </c>
      <c r="C23" s="51"/>
      <c r="D23" s="47">
        <v>215.84</v>
      </c>
      <c r="E23" s="80">
        <f t="shared" si="1"/>
        <v>2.6573907510637748E-2</v>
      </c>
      <c r="G23" s="112" t="s">
        <v>111</v>
      </c>
      <c r="H23" s="119">
        <v>205343.72800000012</v>
      </c>
      <c r="I23" s="119">
        <v>198970.75799999986</v>
      </c>
      <c r="J23" s="93">
        <f t="shared" si="2"/>
        <v>0.96896437956945902</v>
      </c>
    </row>
    <row r="24" spans="1:10" ht="15" customHeight="1" thickBot="1" x14ac:dyDescent="0.3">
      <c r="A24" s="4"/>
      <c r="B24" s="9" t="s">
        <v>46</v>
      </c>
      <c r="C24" s="51"/>
      <c r="D24" s="47">
        <v>60.84</v>
      </c>
      <c r="E24" s="80">
        <f t="shared" si="1"/>
        <v>7.4905324914158666E-3</v>
      </c>
      <c r="G24" s="112" t="s">
        <v>102</v>
      </c>
      <c r="H24" s="119">
        <v>209473.77399999995</v>
      </c>
      <c r="I24" s="119">
        <v>212393.17300000001</v>
      </c>
      <c r="J24" s="93">
        <f t="shared" si="2"/>
        <v>1.0139368234230604</v>
      </c>
    </row>
    <row r="25" spans="1:10" ht="15" customHeight="1" thickBot="1" x14ac:dyDescent="0.3">
      <c r="B25" s="52" t="s">
        <v>0</v>
      </c>
      <c r="C25" s="44"/>
      <c r="D25" s="45">
        <f>SUM(D5:D24)</f>
        <v>8122.2530000000006</v>
      </c>
      <c r="G25" s="3"/>
      <c r="H25" s="68">
        <f>+SUM(H20:H24)</f>
        <v>1004701.441</v>
      </c>
      <c r="I25" s="68">
        <f>+SUM(I20:I24)</f>
        <v>982091.56499999971</v>
      </c>
      <c r="J25" s="93">
        <f t="shared" si="2"/>
        <v>0.97749592557815368</v>
      </c>
    </row>
    <row r="26" spans="1:10" ht="15" customHeight="1" x14ac:dyDescent="0.25">
      <c r="B26" s="6" t="s">
        <v>1</v>
      </c>
      <c r="C26" s="7"/>
      <c r="D26" s="48">
        <v>19828.721000000001</v>
      </c>
      <c r="E26" s="98">
        <f>+D26/E2</f>
        <v>9.6919306906495931E-2</v>
      </c>
      <c r="G26" s="3"/>
    </row>
    <row r="27" spans="1:10" x14ac:dyDescent="0.25">
      <c r="D27" s="97">
        <f>+(E2/30)*3</f>
        <v>20459</v>
      </c>
      <c r="E27" s="98">
        <f>+D27/E2</f>
        <v>0.1</v>
      </c>
      <c r="I27" s="2" t="s">
        <v>92</v>
      </c>
    </row>
    <row r="28" spans="1:10" x14ac:dyDescent="0.25">
      <c r="D28" s="96">
        <f>+D26-D27</f>
        <v>-630.27899999999863</v>
      </c>
      <c r="E28" s="99">
        <f>+E26-E27</f>
        <v>-3.0806930935040749E-3</v>
      </c>
      <c r="G28" s="116" t="s">
        <v>114</v>
      </c>
      <c r="H28" s="117">
        <v>112</v>
      </c>
      <c r="I28" s="118">
        <v>168</v>
      </c>
    </row>
    <row r="29" spans="1:10" ht="15" customHeight="1" x14ac:dyDescent="0.25">
      <c r="G29" s="3"/>
    </row>
    <row r="30" spans="1:10" x14ac:dyDescent="0.25">
      <c r="B30" s="66" t="s">
        <v>60</v>
      </c>
      <c r="D30" s="109" t="s">
        <v>105</v>
      </c>
      <c r="E30" s="109" t="s">
        <v>80</v>
      </c>
      <c r="G30" s="3"/>
      <c r="I30" s="2" t="s">
        <v>92</v>
      </c>
    </row>
    <row r="31" spans="1:10" x14ac:dyDescent="0.25">
      <c r="B31" s="2" t="s">
        <v>61</v>
      </c>
      <c r="C31" s="2">
        <v>247</v>
      </c>
      <c r="D31" s="108">
        <v>2142</v>
      </c>
      <c r="E31" s="57">
        <f>+C31/D31</f>
        <v>0.11531279178338003</v>
      </c>
      <c r="G31" s="86" t="s">
        <v>86</v>
      </c>
      <c r="H31" s="87">
        <v>13420</v>
      </c>
      <c r="I31" s="88">
        <v>335.5</v>
      </c>
    </row>
    <row r="32" spans="1:10" x14ac:dyDescent="0.25">
      <c r="B32" s="2" t="s">
        <v>62</v>
      </c>
      <c r="C32" s="2">
        <v>1248</v>
      </c>
      <c r="D32" s="108">
        <v>1890</v>
      </c>
      <c r="E32" s="57">
        <f>+C32/D32</f>
        <v>0.6603174603174603</v>
      </c>
      <c r="G32" s="86" t="s">
        <v>104</v>
      </c>
      <c r="H32" s="87">
        <v>1086</v>
      </c>
      <c r="I32" s="88">
        <v>27.150000000000002</v>
      </c>
    </row>
    <row r="33" spans="1:10" x14ac:dyDescent="0.25">
      <c r="B33" s="2" t="s">
        <v>63</v>
      </c>
      <c r="C33" s="67">
        <v>679</v>
      </c>
      <c r="D33" s="108">
        <v>3006</v>
      </c>
      <c r="E33" s="57">
        <f>+C33/D33</f>
        <v>0.22588157019294744</v>
      </c>
      <c r="G33" s="89" t="s">
        <v>87</v>
      </c>
      <c r="H33" s="87">
        <v>165</v>
      </c>
      <c r="I33" s="88">
        <v>247.5</v>
      </c>
    </row>
    <row r="34" spans="1:10" x14ac:dyDescent="0.25">
      <c r="C34" s="2">
        <f>+SUM(C31:C33)</f>
        <v>2174</v>
      </c>
      <c r="D34" s="110">
        <f>+SUM(D31:D33)</f>
        <v>7038</v>
      </c>
      <c r="E34" s="57">
        <f>+C34/D34</f>
        <v>0.30889457232168227</v>
      </c>
      <c r="G34" s="89" t="s">
        <v>91</v>
      </c>
      <c r="H34" s="87">
        <v>30</v>
      </c>
      <c r="I34" s="88">
        <v>45</v>
      </c>
    </row>
    <row r="35" spans="1:10" ht="15" customHeight="1" x14ac:dyDescent="0.25">
      <c r="G35" s="89" t="s">
        <v>112</v>
      </c>
      <c r="H35" s="87">
        <v>131</v>
      </c>
      <c r="I35" s="88">
        <v>196.5</v>
      </c>
    </row>
    <row r="36" spans="1:10" x14ac:dyDescent="0.25">
      <c r="B36" s="2" t="s">
        <v>66</v>
      </c>
      <c r="D36" s="2"/>
      <c r="G36" s="89" t="s">
        <v>96</v>
      </c>
      <c r="H36" s="87">
        <v>21</v>
      </c>
      <c r="I36" s="88">
        <v>31.5</v>
      </c>
    </row>
    <row r="37" spans="1:10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36</v>
      </c>
      <c r="I37" s="88">
        <f>+H37*1.5</f>
        <v>54</v>
      </c>
      <c r="J37" s="2" t="s">
        <v>113</v>
      </c>
    </row>
    <row r="38" spans="1:10" x14ac:dyDescent="0.25">
      <c r="B38" s="73">
        <v>9</v>
      </c>
      <c r="C38" s="74">
        <v>1</v>
      </c>
      <c r="D38" s="74">
        <v>15</v>
      </c>
      <c r="E38" s="75">
        <f>+SUM(B38:D38)</f>
        <v>25</v>
      </c>
    </row>
    <row r="39" spans="1:10" x14ac:dyDescent="0.25">
      <c r="E39" s="66" t="s">
        <v>76</v>
      </c>
    </row>
    <row r="40" spans="1:10" x14ac:dyDescent="0.25">
      <c r="D40" s="2"/>
      <c r="F40" s="71" t="s">
        <v>90</v>
      </c>
      <c r="G40" s="71" t="s">
        <v>97</v>
      </c>
    </row>
    <row r="41" spans="1:10" x14ac:dyDescent="0.25">
      <c r="A41" s="2" t="s">
        <v>70</v>
      </c>
      <c r="B41" s="2">
        <v>0</v>
      </c>
      <c r="C41" s="2">
        <v>2243</v>
      </c>
      <c r="D41" s="3">
        <v>2400</v>
      </c>
      <c r="E41" s="57">
        <f>+C41/D41</f>
        <v>0.93458333333333332</v>
      </c>
      <c r="F41" s="71">
        <v>7</v>
      </c>
      <c r="G41" s="71"/>
    </row>
    <row r="42" spans="1:10" x14ac:dyDescent="0.25">
      <c r="A42" s="2" t="s">
        <v>71</v>
      </c>
      <c r="B42" s="2">
        <v>7.22</v>
      </c>
      <c r="C42" s="2">
        <v>2173</v>
      </c>
      <c r="D42" s="68">
        <v>3600</v>
      </c>
      <c r="E42" s="57">
        <f>+C42/D42</f>
        <v>0.6036111111111111</v>
      </c>
      <c r="F42" s="71">
        <v>12</v>
      </c>
      <c r="G42" s="71"/>
    </row>
    <row r="43" spans="1:10" x14ac:dyDescent="0.25">
      <c r="A43" s="2" t="s">
        <v>72</v>
      </c>
      <c r="B43" s="2">
        <v>10.65</v>
      </c>
      <c r="C43" s="2">
        <v>2901</v>
      </c>
      <c r="D43" s="68">
        <v>3600</v>
      </c>
      <c r="E43" s="57">
        <f>+C43/D43</f>
        <v>0.80583333333333329</v>
      </c>
      <c r="F43" s="71">
        <v>11</v>
      </c>
      <c r="G43" s="71"/>
    </row>
    <row r="44" spans="1:10" x14ac:dyDescent="0.25">
      <c r="A44" s="2" t="s">
        <v>73</v>
      </c>
      <c r="B44" s="2">
        <v>13.59</v>
      </c>
      <c r="C44" s="2">
        <v>2934</v>
      </c>
      <c r="D44" s="68">
        <v>3900</v>
      </c>
      <c r="E44" s="57">
        <f>+C44/D44</f>
        <v>0.75230769230769234</v>
      </c>
      <c r="F44" s="71">
        <v>11</v>
      </c>
      <c r="G44" s="71">
        <v>1</v>
      </c>
    </row>
    <row r="45" spans="1:10" x14ac:dyDescent="0.25">
      <c r="A45" s="2" t="s">
        <v>74</v>
      </c>
      <c r="B45" s="2">
        <v>12.77</v>
      </c>
      <c r="C45" s="2">
        <v>2814</v>
      </c>
      <c r="D45" s="68">
        <v>3900</v>
      </c>
      <c r="E45" s="57">
        <f>+C45/D45</f>
        <v>0.72153846153846157</v>
      </c>
      <c r="F45" s="71">
        <v>11</v>
      </c>
      <c r="G45" s="71">
        <v>7</v>
      </c>
    </row>
    <row r="46" spans="1:10" x14ac:dyDescent="0.25">
      <c r="A46" s="2" t="s">
        <v>75</v>
      </c>
      <c r="B46" s="2">
        <v>2</v>
      </c>
      <c r="D46" s="3">
        <v>4300</v>
      </c>
      <c r="E46" s="57"/>
    </row>
    <row r="47" spans="1:10" x14ac:dyDescent="0.25">
      <c r="C47" s="71" t="s">
        <v>83</v>
      </c>
      <c r="D47" s="72" t="s">
        <v>79</v>
      </c>
    </row>
    <row r="48" spans="1:10" x14ac:dyDescent="0.25">
      <c r="B48" s="2" t="s">
        <v>78</v>
      </c>
      <c r="C48" s="71">
        <v>4</v>
      </c>
      <c r="D48" s="72"/>
    </row>
    <row r="49" spans="3:6" x14ac:dyDescent="0.25">
      <c r="C49" s="71">
        <v>5</v>
      </c>
      <c r="D49" s="72"/>
    </row>
    <row r="50" spans="3:6" x14ac:dyDescent="0.25">
      <c r="C50" s="71">
        <v>6</v>
      </c>
      <c r="D50" s="72">
        <v>6</v>
      </c>
    </row>
    <row r="52" spans="3:6" x14ac:dyDescent="0.25">
      <c r="C52" s="2" t="s">
        <v>115</v>
      </c>
      <c r="D52" s="3">
        <v>351</v>
      </c>
      <c r="E52" s="2">
        <v>1660</v>
      </c>
      <c r="F52" s="93">
        <f>+D52/E52</f>
        <v>0.21144578313253012</v>
      </c>
    </row>
    <row r="53" spans="3:6" x14ac:dyDescent="0.25">
      <c r="C53" s="2" t="s">
        <v>116</v>
      </c>
      <c r="D53" s="3">
        <v>1256</v>
      </c>
      <c r="E53" s="2">
        <v>2700</v>
      </c>
      <c r="F53" s="93">
        <f>+D53/E53</f>
        <v>0.4651851851851852</v>
      </c>
    </row>
    <row r="54" spans="3:6" x14ac:dyDescent="0.25">
      <c r="C54" s="2" t="s">
        <v>117</v>
      </c>
      <c r="D54" s="3">
        <v>3238</v>
      </c>
      <c r="E54" s="2">
        <v>5700</v>
      </c>
      <c r="F54" s="93">
        <f>+D54/E54</f>
        <v>0.5680701754385965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16" workbookViewId="0">
      <selection activeCell="A27" sqref="A27:K52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16384" width="11.42578125" style="2"/>
  </cols>
  <sheetData>
    <row r="1" spans="1:10" ht="15" customHeight="1" x14ac:dyDescent="0.25">
      <c r="A1" s="1"/>
      <c r="B1" s="518">
        <v>45816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114"/>
      <c r="C4" s="114"/>
      <c r="D4" s="5">
        <f>D25</f>
        <v>3274.306</v>
      </c>
      <c r="F4" s="58" t="s">
        <v>51</v>
      </c>
      <c r="G4" s="59">
        <v>45810</v>
      </c>
      <c r="H4" s="58">
        <v>7474</v>
      </c>
      <c r="I4" s="58">
        <v>6545.7789999999986</v>
      </c>
      <c r="J4" s="60">
        <f>+I4/H4</f>
        <v>0.87580666309874211</v>
      </c>
    </row>
    <row r="5" spans="1:10" ht="15" customHeight="1" x14ac:dyDescent="0.25">
      <c r="A5" s="4"/>
      <c r="B5" s="8" t="s">
        <v>6</v>
      </c>
      <c r="C5" s="50">
        <v>720</v>
      </c>
      <c r="D5" s="46">
        <v>30.652000000000001</v>
      </c>
      <c r="E5" s="80">
        <f>+D5/$D$4</f>
        <v>9.3613730665368482E-3</v>
      </c>
      <c r="F5" s="58" t="s">
        <v>52</v>
      </c>
      <c r="G5" s="59">
        <v>45811</v>
      </c>
      <c r="H5" s="58">
        <v>8291</v>
      </c>
      <c r="I5" s="58">
        <v>8122.2530000000006</v>
      </c>
      <c r="J5" s="60">
        <f t="shared" ref="J5:J11" si="0">+I5/H5</f>
        <v>0.97964696659027872</v>
      </c>
    </row>
    <row r="6" spans="1:10" ht="15" customHeight="1" x14ac:dyDescent="0.25">
      <c r="A6" s="4"/>
      <c r="B6" s="9" t="s">
        <v>10</v>
      </c>
      <c r="C6" s="51">
        <v>6180</v>
      </c>
      <c r="D6" s="47">
        <v>263.91399999999999</v>
      </c>
      <c r="E6" s="80">
        <f t="shared" ref="E6:E24" si="1">+D6/$D$4</f>
        <v>8.0601507617186666E-2</v>
      </c>
      <c r="F6" s="58" t="s">
        <v>53</v>
      </c>
      <c r="G6" s="59">
        <v>45812</v>
      </c>
      <c r="H6" s="58">
        <v>7668</v>
      </c>
      <c r="I6" s="58">
        <v>7050.14</v>
      </c>
      <c r="J6" s="60">
        <f t="shared" si="0"/>
        <v>0.91942357850808565</v>
      </c>
    </row>
    <row r="7" spans="1:10" ht="15" customHeight="1" x14ac:dyDescent="0.25">
      <c r="A7" s="4"/>
      <c r="B7" s="9" t="s">
        <v>35</v>
      </c>
      <c r="C7" s="51">
        <v>4550</v>
      </c>
      <c r="D7" s="47">
        <v>193.79000000000002</v>
      </c>
      <c r="E7" s="115">
        <f t="shared" si="1"/>
        <v>5.9185060895346989E-2</v>
      </c>
      <c r="F7" s="58" t="s">
        <v>54</v>
      </c>
      <c r="G7" s="59">
        <v>45813</v>
      </c>
      <c r="H7" s="58">
        <v>8120</v>
      </c>
      <c r="I7" s="58">
        <v>7708.56</v>
      </c>
      <c r="J7" s="60">
        <f t="shared" si="0"/>
        <v>0.94933004926108377</v>
      </c>
    </row>
    <row r="8" spans="1:10" ht="15" customHeight="1" x14ac:dyDescent="0.25">
      <c r="A8" s="4"/>
      <c r="B8" s="9" t="s">
        <v>4</v>
      </c>
      <c r="C8" s="51">
        <v>3092</v>
      </c>
      <c r="D8" s="47">
        <v>131.76999999999998</v>
      </c>
      <c r="E8" s="80">
        <f t="shared" si="1"/>
        <v>4.0243642469579809E-2</v>
      </c>
      <c r="F8" s="58" t="s">
        <v>55</v>
      </c>
      <c r="G8" s="59">
        <v>45814</v>
      </c>
      <c r="H8" s="58">
        <v>7820</v>
      </c>
      <c r="I8" s="58">
        <v>6745.45</v>
      </c>
      <c r="J8" s="60">
        <f t="shared" si="0"/>
        <v>0.86258951406649609</v>
      </c>
    </row>
    <row r="9" spans="1:10" ht="15" customHeight="1" x14ac:dyDescent="0.25">
      <c r="A9" s="4"/>
      <c r="B9" s="9" t="s">
        <v>37</v>
      </c>
      <c r="C9" s="51">
        <v>10265</v>
      </c>
      <c r="D9" s="47">
        <v>438.04400000000004</v>
      </c>
      <c r="E9" s="115">
        <f t="shared" si="1"/>
        <v>0.13378224271036368</v>
      </c>
      <c r="F9" s="58" t="s">
        <v>56</v>
      </c>
      <c r="G9" s="59">
        <v>45815</v>
      </c>
      <c r="H9" s="58">
        <v>6286</v>
      </c>
      <c r="I9" s="58">
        <v>6600.55</v>
      </c>
      <c r="J9" s="60">
        <f t="shared" si="0"/>
        <v>1.0500397709195037</v>
      </c>
    </row>
    <row r="10" spans="1:10" ht="15" customHeight="1" x14ac:dyDescent="0.25">
      <c r="A10" s="4"/>
      <c r="B10" s="9" t="s">
        <v>38</v>
      </c>
      <c r="C10" s="51">
        <v>19497</v>
      </c>
      <c r="D10" s="47">
        <v>831.7919999999998</v>
      </c>
      <c r="E10" s="115">
        <f t="shared" si="1"/>
        <v>0.25403612246381363</v>
      </c>
      <c r="F10" s="58" t="s">
        <v>57</v>
      </c>
      <c r="G10" s="59">
        <v>45816</v>
      </c>
      <c r="H10" s="58">
        <v>3782</v>
      </c>
      <c r="I10" s="58">
        <v>3274.306</v>
      </c>
      <c r="J10" s="60">
        <f t="shared" si="0"/>
        <v>0.865760444209413</v>
      </c>
    </row>
    <row r="11" spans="1:10" ht="15" customHeight="1" x14ac:dyDescent="0.25">
      <c r="A11" s="4"/>
      <c r="B11" s="9" t="s">
        <v>42</v>
      </c>
      <c r="C11" s="51">
        <v>2375</v>
      </c>
      <c r="D11" s="47">
        <v>101.434</v>
      </c>
      <c r="E11" s="80">
        <f t="shared" si="1"/>
        <v>3.097877840372891E-2</v>
      </c>
      <c r="H11" s="58">
        <f>+SUM(H4:H10)</f>
        <v>49441</v>
      </c>
      <c r="I11" s="58">
        <f>+SUM(I4:I10)</f>
        <v>46047.038</v>
      </c>
      <c r="J11" s="60">
        <f t="shared" si="0"/>
        <v>0.93135328977973753</v>
      </c>
    </row>
    <row r="12" spans="1:10" ht="15" customHeight="1" x14ac:dyDescent="0.25">
      <c r="A12" s="4"/>
      <c r="B12" s="9" t="s">
        <v>47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95</v>
      </c>
      <c r="C13" s="51"/>
      <c r="D13" s="47"/>
      <c r="E13" s="80">
        <f t="shared" si="1"/>
        <v>0</v>
      </c>
    </row>
    <row r="14" spans="1:10" ht="15" customHeight="1" x14ac:dyDescent="0.25">
      <c r="A14" s="4"/>
      <c r="B14" s="9" t="s">
        <v>41</v>
      </c>
      <c r="C14" s="51">
        <v>40</v>
      </c>
      <c r="D14" s="47">
        <v>60.099999999999994</v>
      </c>
      <c r="E14" s="80">
        <f t="shared" si="1"/>
        <v>1.8355034624131034E-2</v>
      </c>
      <c r="F14" s="66"/>
    </row>
    <row r="15" spans="1:10" ht="15" customHeight="1" x14ac:dyDescent="0.25">
      <c r="A15" s="4"/>
      <c r="B15" s="9" t="s">
        <v>39</v>
      </c>
      <c r="C15" s="51">
        <v>215</v>
      </c>
      <c r="D15" s="47">
        <v>324.15000000000003</v>
      </c>
      <c r="E15" s="80">
        <f t="shared" si="1"/>
        <v>9.8998077760600267E-2</v>
      </c>
    </row>
    <row r="16" spans="1:10" ht="15" customHeight="1" x14ac:dyDescent="0.25">
      <c r="A16" s="4"/>
      <c r="B16" s="9" t="s">
        <v>49</v>
      </c>
      <c r="C16" s="51">
        <v>64</v>
      </c>
      <c r="D16" s="47">
        <v>96.22</v>
      </c>
      <c r="E16" s="80">
        <f t="shared" si="1"/>
        <v>2.9386379892410788E-2</v>
      </c>
      <c r="G16" s="107"/>
    </row>
    <row r="17" spans="1:10" ht="15" customHeight="1" x14ac:dyDescent="0.25">
      <c r="A17" s="4"/>
      <c r="B17" s="9" t="s">
        <v>43</v>
      </c>
      <c r="C17" s="51">
        <v>158</v>
      </c>
      <c r="D17" s="47">
        <v>238.25000000000003</v>
      </c>
      <c r="E17" s="80">
        <f t="shared" si="1"/>
        <v>7.2763510801983691E-2</v>
      </c>
      <c r="G17" s="63"/>
    </row>
    <row r="18" spans="1:10" ht="15" customHeight="1" x14ac:dyDescent="0.25">
      <c r="A18" s="4"/>
      <c r="B18" s="9" t="s">
        <v>85</v>
      </c>
      <c r="C18" s="51">
        <v>68</v>
      </c>
      <c r="D18" s="47">
        <v>102.46000000000001</v>
      </c>
      <c r="E18" s="80">
        <f t="shared" si="1"/>
        <v>3.1292127247728223E-2</v>
      </c>
    </row>
    <row r="19" spans="1:10" ht="15" customHeight="1" x14ac:dyDescent="0.25">
      <c r="A19" s="4"/>
      <c r="B19" s="9" t="s">
        <v>85</v>
      </c>
      <c r="C19" s="51"/>
      <c r="D19" s="47"/>
      <c r="E19" s="80">
        <f t="shared" si="1"/>
        <v>0</v>
      </c>
      <c r="G19" s="112"/>
      <c r="H19" s="113">
        <v>2024</v>
      </c>
      <c r="I19" s="113">
        <v>2025</v>
      </c>
    </row>
    <row r="20" spans="1:10" ht="15" customHeight="1" x14ac:dyDescent="0.25">
      <c r="A20" s="4"/>
      <c r="B20" s="9" t="s">
        <v>118</v>
      </c>
      <c r="C20" s="51"/>
      <c r="D20" s="47"/>
      <c r="E20" s="80">
        <f t="shared" si="1"/>
        <v>0</v>
      </c>
      <c r="G20" s="112" t="s">
        <v>108</v>
      </c>
      <c r="H20" s="119">
        <v>204007.80300000001</v>
      </c>
      <c r="I20" s="119">
        <v>190629.128</v>
      </c>
      <c r="J20" s="93">
        <f t="shared" ref="J20:J25" si="2">+I20/H20</f>
        <v>0.93442076820953746</v>
      </c>
    </row>
    <row r="21" spans="1:10" ht="15" customHeight="1" x14ac:dyDescent="0.25">
      <c r="A21" s="4"/>
      <c r="B21" s="9"/>
      <c r="C21" s="51"/>
      <c r="D21" s="47"/>
      <c r="E21" s="80">
        <f t="shared" si="1"/>
        <v>0</v>
      </c>
      <c r="G21" s="112" t="s">
        <v>109</v>
      </c>
      <c r="H21" s="119">
        <v>186305.94399999996</v>
      </c>
      <c r="I21" s="119">
        <v>182874.285</v>
      </c>
      <c r="J21" s="93">
        <f t="shared" si="2"/>
        <v>0.9815805179033904</v>
      </c>
    </row>
    <row r="22" spans="1:10" ht="15" customHeight="1" x14ac:dyDescent="0.25">
      <c r="A22" s="4"/>
      <c r="B22" s="9" t="s">
        <v>40</v>
      </c>
      <c r="C22" s="51"/>
      <c r="D22" s="47">
        <v>181.75</v>
      </c>
      <c r="E22" s="80">
        <f t="shared" si="1"/>
        <v>5.5507945805920396E-2</v>
      </c>
      <c r="G22" s="112" t="s">
        <v>110</v>
      </c>
      <c r="H22" s="119">
        <v>199570.19199999989</v>
      </c>
      <c r="I22" s="119">
        <v>197224.22099999999</v>
      </c>
      <c r="J22" s="93">
        <f t="shared" si="2"/>
        <v>0.98824488278289624</v>
      </c>
    </row>
    <row r="23" spans="1:10" ht="15" customHeight="1" x14ac:dyDescent="0.25">
      <c r="A23" s="4"/>
      <c r="B23" s="9" t="s">
        <v>46</v>
      </c>
      <c r="C23" s="51"/>
      <c r="D23" s="47">
        <v>64.64</v>
      </c>
      <c r="E23" s="80">
        <f t="shared" si="1"/>
        <v>1.9741587988416475E-2</v>
      </c>
      <c r="G23" s="112" t="s">
        <v>111</v>
      </c>
      <c r="H23" s="119">
        <v>205343.72800000012</v>
      </c>
      <c r="I23" s="119">
        <v>198970.75799999986</v>
      </c>
      <c r="J23" s="93">
        <f t="shared" si="2"/>
        <v>0.96896437956945902</v>
      </c>
    </row>
    <row r="24" spans="1:10" ht="15" customHeight="1" thickBot="1" x14ac:dyDescent="0.3">
      <c r="A24" s="4"/>
      <c r="B24" s="9" t="s">
        <v>9</v>
      </c>
      <c r="C24" s="51"/>
      <c r="D24" s="47">
        <v>215.34000000000003</v>
      </c>
      <c r="E24" s="80">
        <f t="shared" si="1"/>
        <v>6.5766608252252542E-2</v>
      </c>
      <c r="G24" s="112" t="s">
        <v>102</v>
      </c>
      <c r="H24" s="119">
        <v>209473.77399999995</v>
      </c>
      <c r="I24" s="119">
        <v>212393.17300000001</v>
      </c>
      <c r="J24" s="93">
        <f t="shared" si="2"/>
        <v>1.0139368234230604</v>
      </c>
    </row>
    <row r="25" spans="1:10" ht="15" customHeight="1" thickBot="1" x14ac:dyDescent="0.3">
      <c r="B25" s="52" t="s">
        <v>0</v>
      </c>
      <c r="C25" s="44"/>
      <c r="D25" s="45">
        <f>SUM(D5:D24)</f>
        <v>3274.306</v>
      </c>
      <c r="G25" s="3"/>
      <c r="H25" s="68">
        <f>+SUM(H20:H24)</f>
        <v>1004701.441</v>
      </c>
      <c r="I25" s="68">
        <f>+SUM(I20:I24)</f>
        <v>982091.56499999971</v>
      </c>
      <c r="J25" s="93">
        <f t="shared" si="2"/>
        <v>0.97749592557815368</v>
      </c>
    </row>
    <row r="26" spans="1:10" ht="15" customHeight="1" x14ac:dyDescent="0.25">
      <c r="B26" s="6" t="s">
        <v>1</v>
      </c>
      <c r="C26" s="7"/>
      <c r="D26" s="48">
        <v>51538.98</v>
      </c>
      <c r="E26" s="98">
        <f>+D26/E2</f>
        <v>0.25191348550760057</v>
      </c>
      <c r="G26" s="3"/>
    </row>
    <row r="27" spans="1:10" x14ac:dyDescent="0.25">
      <c r="D27" s="97">
        <f>+(E2/30)*8</f>
        <v>54557.333333333336</v>
      </c>
      <c r="E27" s="98">
        <f>+D27/E2</f>
        <v>0.26666666666666666</v>
      </c>
      <c r="I27" s="2" t="s">
        <v>92</v>
      </c>
    </row>
    <row r="28" spans="1:10" x14ac:dyDescent="0.25">
      <c r="D28" s="96">
        <f>+D26-D27</f>
        <v>-3018.3533333333326</v>
      </c>
      <c r="E28" s="99">
        <f>+E26-E27</f>
        <v>-1.4753181159066098E-2</v>
      </c>
      <c r="G28" s="116" t="s">
        <v>114</v>
      </c>
      <c r="H28" s="117">
        <v>112</v>
      </c>
      <c r="I28" s="118">
        <v>168</v>
      </c>
    </row>
    <row r="29" spans="1:10" x14ac:dyDescent="0.25">
      <c r="G29" s="3"/>
    </row>
    <row r="30" spans="1:10" x14ac:dyDescent="0.25">
      <c r="B30" s="66" t="s">
        <v>60</v>
      </c>
      <c r="D30" s="109" t="s">
        <v>105</v>
      </c>
      <c r="E30" s="109" t="s">
        <v>80</v>
      </c>
      <c r="G30" s="3"/>
      <c r="I30" s="2" t="s">
        <v>92</v>
      </c>
    </row>
    <row r="31" spans="1:10" x14ac:dyDescent="0.25">
      <c r="B31" s="2" t="s">
        <v>61</v>
      </c>
      <c r="C31" s="2">
        <v>1031</v>
      </c>
      <c r="D31" s="108">
        <v>2142</v>
      </c>
      <c r="E31" s="57">
        <f>+C31/D31</f>
        <v>0.48132586367880487</v>
      </c>
      <c r="G31" s="86" t="s">
        <v>86</v>
      </c>
      <c r="H31" s="87">
        <v>12214</v>
      </c>
      <c r="I31" s="88">
        <v>305.35000000000002</v>
      </c>
    </row>
    <row r="32" spans="1:10" x14ac:dyDescent="0.25">
      <c r="B32" s="2" t="s">
        <v>62</v>
      </c>
      <c r="C32" s="2">
        <v>1201</v>
      </c>
      <c r="D32" s="108">
        <v>1890</v>
      </c>
      <c r="E32" s="57">
        <f>+C32/D32</f>
        <v>0.63544973544973549</v>
      </c>
      <c r="G32" s="86" t="s">
        <v>104</v>
      </c>
      <c r="H32" s="87">
        <v>1086</v>
      </c>
      <c r="I32" s="88">
        <v>27.150000000000002</v>
      </c>
    </row>
    <row r="33" spans="1:10" x14ac:dyDescent="0.25">
      <c r="B33" s="2" t="s">
        <v>63</v>
      </c>
      <c r="C33" s="67">
        <v>2305</v>
      </c>
      <c r="D33" s="108">
        <v>3006</v>
      </c>
      <c r="E33" s="57">
        <f>+C33/D33</f>
        <v>0.76679973386560218</v>
      </c>
      <c r="G33" s="89" t="s">
        <v>87</v>
      </c>
      <c r="H33" s="87">
        <v>146</v>
      </c>
      <c r="I33" s="88">
        <v>219</v>
      </c>
    </row>
    <row r="34" spans="1:10" x14ac:dyDescent="0.25">
      <c r="C34" s="2">
        <f>+SUM(C31:C33)</f>
        <v>4537</v>
      </c>
      <c r="D34" s="110">
        <f>+SUM(D31:D33)</f>
        <v>7038</v>
      </c>
      <c r="E34" s="57">
        <f>+C34/D34</f>
        <v>0.64464336459221372</v>
      </c>
      <c r="G34" s="89" t="s">
        <v>91</v>
      </c>
      <c r="H34" s="87">
        <v>4</v>
      </c>
      <c r="I34" s="88">
        <v>6</v>
      </c>
    </row>
    <row r="35" spans="1:10" x14ac:dyDescent="0.25">
      <c r="G35" s="89" t="s">
        <v>112</v>
      </c>
      <c r="H35" s="87">
        <v>116</v>
      </c>
      <c r="I35" s="88">
        <v>174</v>
      </c>
    </row>
    <row r="36" spans="1:10" x14ac:dyDescent="0.25">
      <c r="B36" s="2" t="s">
        <v>66</v>
      </c>
      <c r="D36" s="2"/>
      <c r="G36" s="89" t="s">
        <v>96</v>
      </c>
      <c r="H36" s="87">
        <v>23</v>
      </c>
      <c r="I36" s="88">
        <v>34.5</v>
      </c>
    </row>
    <row r="37" spans="1:10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73</v>
      </c>
      <c r="I37" s="88">
        <v>193.5</v>
      </c>
      <c r="J37" s="2" t="s">
        <v>113</v>
      </c>
    </row>
    <row r="38" spans="1:10" x14ac:dyDescent="0.25">
      <c r="B38" s="73">
        <v>5</v>
      </c>
      <c r="C38" s="74">
        <v>1</v>
      </c>
      <c r="D38" s="74">
        <v>5</v>
      </c>
      <c r="E38" s="75">
        <f>+SUM(B38:D38)</f>
        <v>11</v>
      </c>
    </row>
    <row r="39" spans="1:10" x14ac:dyDescent="0.25">
      <c r="E39" s="66" t="s">
        <v>76</v>
      </c>
    </row>
    <row r="40" spans="1:10" x14ac:dyDescent="0.25">
      <c r="D40" s="2"/>
      <c r="F40" s="71" t="s">
        <v>90</v>
      </c>
      <c r="G40" s="71" t="s">
        <v>97</v>
      </c>
    </row>
    <row r="41" spans="1:10" x14ac:dyDescent="0.25">
      <c r="A41" s="2" t="s">
        <v>70</v>
      </c>
      <c r="B41" s="2">
        <v>0</v>
      </c>
      <c r="C41" s="2">
        <v>2243</v>
      </c>
      <c r="D41" s="3">
        <v>2400</v>
      </c>
      <c r="E41" s="57">
        <f t="shared" ref="E41:E46" si="3">+C41/D41</f>
        <v>0.93458333333333332</v>
      </c>
      <c r="F41" s="71">
        <v>7</v>
      </c>
      <c r="G41" s="71"/>
    </row>
    <row r="42" spans="1:10" x14ac:dyDescent="0.25">
      <c r="A42" s="2" t="s">
        <v>71</v>
      </c>
      <c r="B42" s="2">
        <v>2.2400000000000002</v>
      </c>
      <c r="C42" s="2">
        <v>2468</v>
      </c>
      <c r="D42" s="68">
        <v>3600</v>
      </c>
      <c r="E42" s="57">
        <f t="shared" si="3"/>
        <v>0.68555555555555558</v>
      </c>
      <c r="F42" s="71">
        <v>12</v>
      </c>
      <c r="G42" s="71"/>
    </row>
    <row r="43" spans="1:10" x14ac:dyDescent="0.25">
      <c r="A43" s="2" t="s">
        <v>72</v>
      </c>
      <c r="B43" s="2">
        <v>7.85</v>
      </c>
      <c r="C43" s="2">
        <v>2532</v>
      </c>
      <c r="D43" s="68">
        <v>3600</v>
      </c>
      <c r="E43" s="57">
        <f t="shared" si="3"/>
        <v>0.70333333333333337</v>
      </c>
      <c r="F43" s="71">
        <v>11</v>
      </c>
      <c r="G43" s="71"/>
    </row>
    <row r="44" spans="1:10" x14ac:dyDescent="0.25">
      <c r="A44" s="2" t="s">
        <v>73</v>
      </c>
      <c r="B44" s="2">
        <v>4.2</v>
      </c>
      <c r="C44" s="2">
        <v>2565</v>
      </c>
      <c r="D44" s="68">
        <v>3900</v>
      </c>
      <c r="E44" s="57">
        <f t="shared" si="3"/>
        <v>0.65769230769230769</v>
      </c>
      <c r="F44" s="71">
        <v>11</v>
      </c>
      <c r="G44" s="71">
        <v>2</v>
      </c>
    </row>
    <row r="45" spans="1:10" x14ac:dyDescent="0.25">
      <c r="A45" s="2" t="s">
        <v>74</v>
      </c>
      <c r="B45" s="2">
        <v>14.63</v>
      </c>
      <c r="C45" s="2">
        <v>2559</v>
      </c>
      <c r="D45" s="68">
        <v>3900</v>
      </c>
      <c r="E45" s="57">
        <f t="shared" si="3"/>
        <v>0.6561538461538462</v>
      </c>
      <c r="F45" s="71">
        <v>11</v>
      </c>
      <c r="G45" s="71">
        <v>7</v>
      </c>
    </row>
    <row r="46" spans="1:10" x14ac:dyDescent="0.25">
      <c r="A46" s="2" t="s">
        <v>75</v>
      </c>
      <c r="B46" s="2">
        <v>1.44</v>
      </c>
      <c r="C46" s="121">
        <f>4857/B46</f>
        <v>3372.916666666667</v>
      </c>
      <c r="D46" s="3">
        <v>4300</v>
      </c>
      <c r="E46" s="57">
        <f t="shared" si="3"/>
        <v>0.78439922480620161</v>
      </c>
    </row>
    <row r="47" spans="1:10" x14ac:dyDescent="0.25">
      <c r="C47" s="71" t="s">
        <v>83</v>
      </c>
      <c r="D47" s="72" t="s">
        <v>79</v>
      </c>
    </row>
    <row r="48" spans="1:10" x14ac:dyDescent="0.25">
      <c r="B48" s="2" t="s">
        <v>78</v>
      </c>
      <c r="C48" s="71">
        <v>4</v>
      </c>
      <c r="D48" s="72"/>
    </row>
    <row r="49" spans="3:6" x14ac:dyDescent="0.25">
      <c r="C49" s="71">
        <v>5</v>
      </c>
      <c r="D49" s="72">
        <v>7</v>
      </c>
    </row>
    <row r="50" spans="3:6" x14ac:dyDescent="0.25">
      <c r="C50" s="71">
        <v>6</v>
      </c>
      <c r="D50" s="72">
        <v>8</v>
      </c>
    </row>
    <row r="51" spans="3:6" x14ac:dyDescent="0.25">
      <c r="C51" s="71">
        <v>8</v>
      </c>
      <c r="D51" s="3">
        <v>2</v>
      </c>
    </row>
    <row r="52" spans="3:6" x14ac:dyDescent="0.25">
      <c r="F52" s="93"/>
    </row>
    <row r="53" spans="3:6" x14ac:dyDescent="0.25">
      <c r="F53" s="93"/>
    </row>
    <row r="54" spans="3:6" x14ac:dyDescent="0.25">
      <c r="F54" s="93"/>
    </row>
  </sheetData>
  <mergeCells count="2">
    <mergeCell ref="B1:D1"/>
    <mergeCell ref="B3:D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selection activeCell="D22" sqref="D22:D24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16384" width="11.42578125" style="2"/>
  </cols>
  <sheetData>
    <row r="1" spans="1:10" ht="15" customHeight="1" x14ac:dyDescent="0.25">
      <c r="A1" s="1"/>
      <c r="B1" s="518">
        <f ca="1">TODAY()-1</f>
        <v>46171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120"/>
      <c r="C4" s="120"/>
      <c r="D4" s="5">
        <f>D25</f>
        <v>6429.3810000000012</v>
      </c>
      <c r="F4" s="58" t="s">
        <v>51</v>
      </c>
      <c r="G4" s="59">
        <v>45810</v>
      </c>
      <c r="H4" s="58">
        <v>7565</v>
      </c>
      <c r="I4" s="58">
        <v>6429.3810000000012</v>
      </c>
      <c r="J4" s="60">
        <f>+I4/H4</f>
        <v>0.84988512888301404</v>
      </c>
    </row>
    <row r="5" spans="1:10" ht="15" customHeight="1" x14ac:dyDescent="0.25">
      <c r="A5" s="4"/>
      <c r="B5" s="8" t="s">
        <v>6</v>
      </c>
      <c r="C5" s="50">
        <v>2270</v>
      </c>
      <c r="D5" s="46">
        <v>96.802000000000007</v>
      </c>
      <c r="E5" s="80">
        <f>+D5/$D$4</f>
        <v>1.505619281234072E-2</v>
      </c>
      <c r="F5" s="58" t="s">
        <v>52</v>
      </c>
      <c r="G5" s="59">
        <v>45811</v>
      </c>
      <c r="H5" s="58">
        <v>8240</v>
      </c>
      <c r="I5" s="58"/>
      <c r="J5" s="60">
        <f t="shared" ref="J5:J11" si="0">+I5/H5</f>
        <v>0</v>
      </c>
    </row>
    <row r="6" spans="1:10" ht="15" customHeight="1" x14ac:dyDescent="0.25">
      <c r="A6" s="4"/>
      <c r="B6" s="9" t="s">
        <v>10</v>
      </c>
      <c r="C6" s="51">
        <v>11265</v>
      </c>
      <c r="D6" s="47">
        <v>480.46199999999999</v>
      </c>
      <c r="E6" s="80">
        <f t="shared" ref="E6:E24" si="1">+D6/$D$4</f>
        <v>7.4729122445846632E-2</v>
      </c>
      <c r="F6" s="58" t="s">
        <v>53</v>
      </c>
      <c r="G6" s="59">
        <v>45812</v>
      </c>
      <c r="H6" s="58">
        <v>7539</v>
      </c>
      <c r="I6" s="58"/>
      <c r="J6" s="60">
        <f t="shared" si="0"/>
        <v>0</v>
      </c>
    </row>
    <row r="7" spans="1:10" ht="15" customHeight="1" x14ac:dyDescent="0.25">
      <c r="A7" s="4"/>
      <c r="B7" s="9" t="s">
        <v>35</v>
      </c>
      <c r="C7" s="51">
        <v>15473</v>
      </c>
      <c r="D7" s="47">
        <v>659.78399999999988</v>
      </c>
      <c r="E7" s="115">
        <f t="shared" si="1"/>
        <v>0.10262014336994491</v>
      </c>
      <c r="F7" s="58" t="s">
        <v>54</v>
      </c>
      <c r="G7" s="59">
        <v>45813</v>
      </c>
      <c r="H7" s="58">
        <v>8593</v>
      </c>
      <c r="I7" s="58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1620</v>
      </c>
      <c r="D8" s="47">
        <v>68.990000000000009</v>
      </c>
      <c r="E8" s="80">
        <f t="shared" si="1"/>
        <v>1.0730426459405655E-2</v>
      </c>
      <c r="F8" s="58" t="s">
        <v>55</v>
      </c>
      <c r="G8" s="59">
        <v>45814</v>
      </c>
      <c r="H8" s="58">
        <v>7777</v>
      </c>
      <c r="I8" s="58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v>23147</v>
      </c>
      <c r="D9" s="47">
        <v>987.72399999999993</v>
      </c>
      <c r="E9" s="115">
        <f t="shared" si="1"/>
        <v>0.15362660884461501</v>
      </c>
      <c r="F9" s="58" t="s">
        <v>56</v>
      </c>
      <c r="G9" s="59">
        <v>45815</v>
      </c>
      <c r="H9" s="58">
        <v>6874</v>
      </c>
      <c r="I9" s="58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44963</v>
      </c>
      <c r="D10" s="47">
        <v>1918.7250000000006</v>
      </c>
      <c r="E10" s="115">
        <f t="shared" si="1"/>
        <v>0.29843075095409655</v>
      </c>
      <c r="F10" s="58" t="s">
        <v>57</v>
      </c>
      <c r="G10" s="59">
        <v>45816</v>
      </c>
      <c r="H10" s="58">
        <v>3829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9087</v>
      </c>
      <c r="D11" s="47">
        <v>388.084</v>
      </c>
      <c r="E11" s="80">
        <f t="shared" si="1"/>
        <v>6.0361020757674792E-2</v>
      </c>
      <c r="H11" s="58">
        <f>+SUM(H4:H10)</f>
        <v>50417</v>
      </c>
      <c r="I11" s="58">
        <f>+SUM(I4:I10)</f>
        <v>6429.3810000000012</v>
      </c>
      <c r="J11" s="60">
        <f t="shared" si="0"/>
        <v>0.12752406926235202</v>
      </c>
    </row>
    <row r="12" spans="1:10" ht="15" customHeight="1" x14ac:dyDescent="0.25">
      <c r="A12" s="4"/>
      <c r="B12" s="9" t="s">
        <v>47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95</v>
      </c>
      <c r="C13" s="51"/>
      <c r="D13" s="47"/>
      <c r="E13" s="80">
        <f t="shared" si="1"/>
        <v>0</v>
      </c>
    </row>
    <row r="14" spans="1:10" ht="15" customHeight="1" x14ac:dyDescent="0.25">
      <c r="A14" s="4"/>
      <c r="B14" s="9" t="s">
        <v>43</v>
      </c>
      <c r="C14" s="51">
        <v>291</v>
      </c>
      <c r="D14" s="47">
        <v>439.58999999999992</v>
      </c>
      <c r="E14" s="80">
        <f t="shared" si="1"/>
        <v>6.8372056345704174E-2</v>
      </c>
      <c r="F14" s="66"/>
    </row>
    <row r="15" spans="1:10" ht="15" customHeight="1" x14ac:dyDescent="0.25">
      <c r="A15" s="4"/>
      <c r="B15" s="9" t="s">
        <v>44</v>
      </c>
      <c r="C15" s="51">
        <v>66</v>
      </c>
      <c r="D15" s="47">
        <v>99.5</v>
      </c>
      <c r="E15" s="80">
        <f t="shared" si="1"/>
        <v>1.5475828855063961E-2</v>
      </c>
    </row>
    <row r="16" spans="1:10" ht="15" customHeight="1" x14ac:dyDescent="0.25">
      <c r="A16" s="4"/>
      <c r="B16" s="9" t="s">
        <v>49</v>
      </c>
      <c r="C16" s="51">
        <v>87</v>
      </c>
      <c r="D16" s="47">
        <v>130.63999999999999</v>
      </c>
      <c r="E16" s="80">
        <f t="shared" si="1"/>
        <v>2.0319218910809605E-2</v>
      </c>
      <c r="G16" s="107"/>
    </row>
    <row r="17" spans="1:10" ht="15" customHeight="1" x14ac:dyDescent="0.25">
      <c r="A17" s="4"/>
      <c r="B17" s="9" t="s">
        <v>84</v>
      </c>
      <c r="C17" s="51">
        <v>20</v>
      </c>
      <c r="D17" s="47">
        <v>30.22</v>
      </c>
      <c r="E17" s="80">
        <f t="shared" si="1"/>
        <v>4.7002969648244509E-3</v>
      </c>
      <c r="G17" s="63"/>
    </row>
    <row r="18" spans="1:10" ht="15" customHeight="1" x14ac:dyDescent="0.25">
      <c r="A18" s="4"/>
      <c r="B18" s="9" t="s">
        <v>41</v>
      </c>
      <c r="C18" s="51">
        <v>127</v>
      </c>
      <c r="D18" s="47">
        <v>190.85000000000002</v>
      </c>
      <c r="E18" s="80">
        <f t="shared" si="1"/>
        <v>2.9684039567728214E-2</v>
      </c>
    </row>
    <row r="19" spans="1:10" ht="15" customHeight="1" x14ac:dyDescent="0.25">
      <c r="A19" s="4"/>
      <c r="B19" s="9" t="s">
        <v>39</v>
      </c>
      <c r="C19" s="51">
        <v>261</v>
      </c>
      <c r="D19" s="47">
        <v>394.58</v>
      </c>
      <c r="E19" s="80">
        <f t="shared" si="1"/>
        <v>6.1371382408353138E-2</v>
      </c>
      <c r="G19" s="112"/>
      <c r="H19" s="113">
        <v>2024</v>
      </c>
      <c r="I19" s="113">
        <v>2025</v>
      </c>
    </row>
    <row r="20" spans="1:10" ht="15" customHeight="1" x14ac:dyDescent="0.25">
      <c r="A20" s="4"/>
      <c r="B20" s="9" t="s">
        <v>88</v>
      </c>
      <c r="C20" s="51">
        <v>20</v>
      </c>
      <c r="D20" s="47">
        <v>30.01</v>
      </c>
      <c r="E20" s="80">
        <f t="shared" si="1"/>
        <v>4.6676344114620046E-3</v>
      </c>
      <c r="G20" s="112" t="s">
        <v>108</v>
      </c>
      <c r="H20" s="119">
        <v>204007.80300000001</v>
      </c>
      <c r="I20" s="119">
        <v>190629.128</v>
      </c>
      <c r="J20" s="93">
        <f t="shared" ref="J20:J25" si="2">+I20/H20</f>
        <v>0.93442076820953746</v>
      </c>
    </row>
    <row r="21" spans="1:10" ht="15" customHeight="1" x14ac:dyDescent="0.25">
      <c r="A21" s="4"/>
      <c r="B21" s="9"/>
      <c r="C21" s="51"/>
      <c r="D21" s="47"/>
      <c r="E21" s="80">
        <f t="shared" si="1"/>
        <v>0</v>
      </c>
      <c r="G21" s="112" t="s">
        <v>109</v>
      </c>
      <c r="H21" s="119">
        <v>186305.94399999996</v>
      </c>
      <c r="I21" s="119">
        <v>182874.285</v>
      </c>
      <c r="J21" s="93">
        <f t="shared" si="2"/>
        <v>0.9815805179033904</v>
      </c>
    </row>
    <row r="22" spans="1:10" ht="15" customHeight="1" x14ac:dyDescent="0.25">
      <c r="A22" s="4"/>
      <c r="B22" s="9" t="s">
        <v>9</v>
      </c>
      <c r="C22" s="51"/>
      <c r="D22" s="47">
        <v>124.24</v>
      </c>
      <c r="E22" s="80">
        <f t="shared" si="1"/>
        <v>1.9323788713096948E-2</v>
      </c>
      <c r="G22" s="112" t="s">
        <v>110</v>
      </c>
      <c r="H22" s="119">
        <v>199570.19199999989</v>
      </c>
      <c r="I22" s="119">
        <v>197224.22099999999</v>
      </c>
      <c r="J22" s="93">
        <f t="shared" si="2"/>
        <v>0.98824488278289624</v>
      </c>
    </row>
    <row r="23" spans="1:10" ht="15" customHeight="1" x14ac:dyDescent="0.25">
      <c r="A23" s="4"/>
      <c r="B23" s="9" t="s">
        <v>46</v>
      </c>
      <c r="C23" s="51"/>
      <c r="D23" s="47">
        <v>88.97</v>
      </c>
      <c r="E23" s="80">
        <f t="shared" si="1"/>
        <v>1.3838035107889855E-2</v>
      </c>
      <c r="G23" s="112" t="s">
        <v>111</v>
      </c>
      <c r="H23" s="119">
        <v>205343.72800000012</v>
      </c>
      <c r="I23" s="119">
        <v>198970.75799999986</v>
      </c>
      <c r="J23" s="93">
        <f t="shared" si="2"/>
        <v>0.96896437956945902</v>
      </c>
    </row>
    <row r="24" spans="1:10" ht="15" customHeight="1" thickBot="1" x14ac:dyDescent="0.3">
      <c r="A24" s="4"/>
      <c r="B24" s="9" t="s">
        <v>40</v>
      </c>
      <c r="C24" s="51"/>
      <c r="D24" s="47">
        <v>300.21000000000004</v>
      </c>
      <c r="E24" s="80">
        <f t="shared" si="1"/>
        <v>4.669345307114324E-2</v>
      </c>
      <c r="G24" s="112" t="s">
        <v>102</v>
      </c>
      <c r="H24" s="119">
        <v>209473.77399999995</v>
      </c>
      <c r="I24" s="119">
        <v>212393.17300000001</v>
      </c>
      <c r="J24" s="93">
        <f t="shared" si="2"/>
        <v>1.0139368234230604</v>
      </c>
    </row>
    <row r="25" spans="1:10" ht="15" customHeight="1" thickBot="1" x14ac:dyDescent="0.3">
      <c r="B25" s="52" t="s">
        <v>0</v>
      </c>
      <c r="C25" s="44"/>
      <c r="D25" s="45">
        <f>SUM(D5:D24)</f>
        <v>6429.3810000000012</v>
      </c>
      <c r="G25" s="3"/>
      <c r="H25" s="68">
        <f>+SUM(H20:H24)</f>
        <v>1004701.441</v>
      </c>
      <c r="I25" s="68">
        <f>+SUM(I20:I24)</f>
        <v>982091.56499999971</v>
      </c>
      <c r="J25" s="93">
        <f t="shared" si="2"/>
        <v>0.97749592557815368</v>
      </c>
    </row>
    <row r="26" spans="1:10" ht="15" customHeight="1" x14ac:dyDescent="0.25">
      <c r="B26" s="6" t="s">
        <v>1</v>
      </c>
      <c r="C26" s="7"/>
      <c r="D26" s="48">
        <v>57968.360999999997</v>
      </c>
      <c r="E26" s="98">
        <f>+D26/E2</f>
        <v>0.28333917102497674</v>
      </c>
      <c r="G26" s="3"/>
      <c r="I26" s="68">
        <f>+H25-I25</f>
        <v>22609.87600000028</v>
      </c>
    </row>
    <row r="27" spans="1:10" x14ac:dyDescent="0.25">
      <c r="D27" s="97">
        <f>+(E2/30)*9</f>
        <v>61377</v>
      </c>
      <c r="E27" s="98">
        <f>+D27/E2</f>
        <v>0.3</v>
      </c>
    </row>
    <row r="28" spans="1:10" x14ac:dyDescent="0.25">
      <c r="D28" s="96">
        <f>+D26-D27</f>
        <v>-3408.6390000000029</v>
      </c>
      <c r="E28" s="99">
        <f>+E26-E27</f>
        <v>-1.6660828975023245E-2</v>
      </c>
      <c r="G28" s="116"/>
      <c r="H28" s="117"/>
      <c r="I28" s="118"/>
    </row>
    <row r="29" spans="1:10" x14ac:dyDescent="0.25">
      <c r="G29" s="3"/>
    </row>
    <row r="30" spans="1:10" x14ac:dyDescent="0.25">
      <c r="B30" s="66" t="s">
        <v>60</v>
      </c>
      <c r="D30" s="109" t="s">
        <v>105</v>
      </c>
      <c r="E30" s="109" t="s">
        <v>80</v>
      </c>
      <c r="G30" s="3"/>
      <c r="I30" s="2" t="s">
        <v>92</v>
      </c>
    </row>
    <row r="31" spans="1:10" x14ac:dyDescent="0.25">
      <c r="B31" s="2" t="s">
        <v>61</v>
      </c>
      <c r="C31" s="2">
        <v>488</v>
      </c>
      <c r="D31" s="108">
        <v>2142</v>
      </c>
      <c r="E31" s="57">
        <f>+C31/D31</f>
        <v>0.22782446311858076</v>
      </c>
      <c r="G31" s="86" t="s">
        <v>86</v>
      </c>
      <c r="H31" s="87">
        <v>12214</v>
      </c>
      <c r="I31" s="88">
        <v>305.35000000000002</v>
      </c>
    </row>
    <row r="32" spans="1:10" x14ac:dyDescent="0.25">
      <c r="B32" s="2" t="s">
        <v>62</v>
      </c>
      <c r="C32" s="2">
        <v>1083</v>
      </c>
      <c r="D32" s="108">
        <v>1890</v>
      </c>
      <c r="E32" s="57">
        <f>+C32/D32</f>
        <v>0.57301587301587298</v>
      </c>
      <c r="G32" s="86" t="s">
        <v>104</v>
      </c>
      <c r="H32" s="87">
        <v>1086</v>
      </c>
      <c r="I32" s="88">
        <v>27.150000000000002</v>
      </c>
    </row>
    <row r="33" spans="1:10" x14ac:dyDescent="0.25">
      <c r="B33" s="2" t="s">
        <v>63</v>
      </c>
      <c r="C33" s="67">
        <v>1529</v>
      </c>
      <c r="D33" s="108">
        <v>3006</v>
      </c>
      <c r="E33" s="57">
        <f>+C33/D33</f>
        <v>0.50864936793080506</v>
      </c>
      <c r="G33" s="89" t="s">
        <v>87</v>
      </c>
      <c r="H33" s="87">
        <v>126</v>
      </c>
      <c r="I33" s="88">
        <v>189</v>
      </c>
    </row>
    <row r="34" spans="1:10" x14ac:dyDescent="0.25">
      <c r="C34" s="2">
        <f>+SUM(C31:C33)</f>
        <v>3100</v>
      </c>
      <c r="D34" s="110">
        <f>+SUM(D31:D33)</f>
        <v>7038</v>
      </c>
      <c r="E34" s="57">
        <f>+C34/D34</f>
        <v>0.44046604148905938</v>
      </c>
      <c r="G34" s="89" t="s">
        <v>91</v>
      </c>
      <c r="H34" s="87">
        <v>4</v>
      </c>
      <c r="I34" s="88">
        <v>6</v>
      </c>
    </row>
    <row r="35" spans="1:10" x14ac:dyDescent="0.25">
      <c r="G35" s="89" t="s">
        <v>112</v>
      </c>
      <c r="H35" s="87">
        <v>116</v>
      </c>
      <c r="I35" s="88">
        <v>174</v>
      </c>
    </row>
    <row r="36" spans="1:10" x14ac:dyDescent="0.25">
      <c r="B36" s="2" t="s">
        <v>66</v>
      </c>
      <c r="D36" s="2"/>
      <c r="G36" s="89" t="s">
        <v>96</v>
      </c>
      <c r="H36" s="87">
        <v>23</v>
      </c>
      <c r="I36" s="88">
        <v>34.5</v>
      </c>
    </row>
    <row r="37" spans="1:10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73</v>
      </c>
      <c r="I37" s="88">
        <v>193.5</v>
      </c>
      <c r="J37" s="2" t="s">
        <v>113</v>
      </c>
    </row>
    <row r="38" spans="1:10" x14ac:dyDescent="0.25">
      <c r="B38" s="73">
        <v>17</v>
      </c>
      <c r="C38" s="74">
        <v>9</v>
      </c>
      <c r="D38" s="74">
        <v>26</v>
      </c>
      <c r="E38" s="75">
        <f>+SUM(B38:D38)</f>
        <v>52</v>
      </c>
    </row>
    <row r="39" spans="1:10" x14ac:dyDescent="0.25">
      <c r="E39" s="66" t="s">
        <v>76</v>
      </c>
    </row>
    <row r="40" spans="1:10" x14ac:dyDescent="0.25">
      <c r="D40" s="2"/>
      <c r="F40" s="71" t="s">
        <v>90</v>
      </c>
      <c r="G40" s="71" t="s">
        <v>97</v>
      </c>
    </row>
    <row r="41" spans="1:10" x14ac:dyDescent="0.25">
      <c r="A41" s="2" t="s">
        <v>70</v>
      </c>
      <c r="B41" s="2">
        <v>0</v>
      </c>
      <c r="C41" s="2">
        <v>2243</v>
      </c>
      <c r="D41" s="3">
        <v>2400</v>
      </c>
      <c r="E41" s="57">
        <f t="shared" ref="E41:E46" si="3">+C41/D41</f>
        <v>0.93458333333333332</v>
      </c>
      <c r="F41" s="71">
        <v>7</v>
      </c>
      <c r="G41" s="71"/>
    </row>
    <row r="42" spans="1:10" x14ac:dyDescent="0.25">
      <c r="A42" s="2" t="s">
        <v>71</v>
      </c>
      <c r="B42" s="2">
        <v>4.2300000000000004</v>
      </c>
      <c r="C42" s="2">
        <v>2315</v>
      </c>
      <c r="D42" s="68">
        <v>3600</v>
      </c>
      <c r="E42" s="57">
        <f t="shared" si="3"/>
        <v>0.6430555555555556</v>
      </c>
      <c r="F42" s="71">
        <v>11</v>
      </c>
      <c r="G42" s="71"/>
    </row>
    <row r="43" spans="1:10" x14ac:dyDescent="0.25">
      <c r="A43" s="2" t="s">
        <v>72</v>
      </c>
      <c r="B43" s="2">
        <v>7.47</v>
      </c>
      <c r="C43" s="2">
        <v>2909</v>
      </c>
      <c r="D43" s="68">
        <v>3600</v>
      </c>
      <c r="E43" s="57">
        <f t="shared" si="3"/>
        <v>0.80805555555555553</v>
      </c>
      <c r="F43" s="71">
        <v>12</v>
      </c>
      <c r="G43" s="71"/>
    </row>
    <row r="44" spans="1:10" x14ac:dyDescent="0.25">
      <c r="A44" s="2" t="s">
        <v>73</v>
      </c>
      <c r="B44" s="2">
        <v>9.08</v>
      </c>
      <c r="C44" s="2">
        <v>2707</v>
      </c>
      <c r="D44" s="68">
        <v>3900</v>
      </c>
      <c r="E44" s="57">
        <f t="shared" si="3"/>
        <v>0.6941025641025641</v>
      </c>
      <c r="F44" s="71">
        <v>11</v>
      </c>
      <c r="G44" s="71"/>
    </row>
    <row r="45" spans="1:10" x14ac:dyDescent="0.25">
      <c r="A45" s="2" t="s">
        <v>74</v>
      </c>
      <c r="B45" s="2">
        <v>12.72</v>
      </c>
      <c r="C45" s="2">
        <v>3004</v>
      </c>
      <c r="D45" s="68">
        <v>3900</v>
      </c>
      <c r="E45" s="57">
        <f t="shared" si="3"/>
        <v>0.77025641025641023</v>
      </c>
      <c r="F45" s="71">
        <v>12</v>
      </c>
      <c r="G45" s="71"/>
    </row>
    <row r="46" spans="1:10" x14ac:dyDescent="0.25">
      <c r="A46" s="2" t="s">
        <v>75</v>
      </c>
      <c r="B46" s="123">
        <v>3.28</v>
      </c>
      <c r="C46" s="124">
        <f>6221/B46</f>
        <v>1896.6463414634147</v>
      </c>
      <c r="D46" s="125">
        <v>4300</v>
      </c>
      <c r="E46" s="126">
        <f t="shared" si="3"/>
        <v>0.44108054452637552</v>
      </c>
      <c r="F46" s="71">
        <v>16</v>
      </c>
    </row>
    <row r="47" spans="1:10" x14ac:dyDescent="0.25">
      <c r="C47" s="71" t="s">
        <v>83</v>
      </c>
      <c r="D47" s="72" t="s">
        <v>79</v>
      </c>
    </row>
    <row r="48" spans="1:10" x14ac:dyDescent="0.25">
      <c r="B48" s="2" t="s">
        <v>78</v>
      </c>
      <c r="C48" s="71">
        <v>4</v>
      </c>
      <c r="D48" s="72"/>
    </row>
    <row r="49" spans="3:6" x14ac:dyDescent="0.25">
      <c r="C49" s="71">
        <v>5</v>
      </c>
      <c r="D49" s="72">
        <v>9</v>
      </c>
    </row>
    <row r="50" spans="3:6" x14ac:dyDescent="0.25">
      <c r="C50" s="71">
        <v>6</v>
      </c>
      <c r="D50" s="72">
        <v>9</v>
      </c>
    </row>
    <row r="51" spans="3:6" x14ac:dyDescent="0.25">
      <c r="C51" s="71">
        <v>8</v>
      </c>
    </row>
    <row r="52" spans="3:6" x14ac:dyDescent="0.25">
      <c r="F52" s="93"/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16" workbookViewId="0">
      <selection activeCell="E24" sqref="E23:E24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9" width="11.42578125" style="2"/>
    <col min="10" max="10" width="14" style="2" customWidth="1"/>
    <col min="11" max="16384" width="11.42578125" style="2"/>
  </cols>
  <sheetData>
    <row r="1" spans="1:10" ht="18.75" x14ac:dyDescent="0.25">
      <c r="A1" s="1"/>
      <c r="B1" s="518">
        <v>45818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8.75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21.75" thickBot="1" x14ac:dyDescent="0.4">
      <c r="A4" s="4"/>
      <c r="B4" s="122"/>
      <c r="C4" s="122"/>
      <c r="D4" s="5">
        <f>D25</f>
        <v>8958.08</v>
      </c>
      <c r="F4" s="58" t="s">
        <v>51</v>
      </c>
      <c r="G4" s="59">
        <v>45810</v>
      </c>
      <c r="H4" s="58">
        <v>7565</v>
      </c>
      <c r="I4" s="58">
        <v>6429.3810000000012</v>
      </c>
      <c r="J4" s="60">
        <f>+I4/H4</f>
        <v>0.84988512888301404</v>
      </c>
    </row>
    <row r="5" spans="1:10" x14ac:dyDescent="0.25">
      <c r="A5" s="4"/>
      <c r="B5" s="8" t="s">
        <v>6</v>
      </c>
      <c r="C5" s="50">
        <v>7180</v>
      </c>
      <c r="D5" s="46">
        <v>306.24199999999996</v>
      </c>
      <c r="E5" s="80">
        <f>+D5/$D$4</f>
        <v>3.4186120240051437E-2</v>
      </c>
      <c r="F5" s="58" t="s">
        <v>52</v>
      </c>
      <c r="G5" s="59">
        <v>45811</v>
      </c>
      <c r="H5" s="58">
        <v>8240</v>
      </c>
      <c r="I5" s="58">
        <v>8958.08</v>
      </c>
      <c r="J5" s="60">
        <f t="shared" ref="J5:J11" si="0">+I5/H5</f>
        <v>1.0871456310679612</v>
      </c>
    </row>
    <row r="6" spans="1:10" x14ac:dyDescent="0.25">
      <c r="A6" s="4"/>
      <c r="B6" s="9" t="s">
        <v>10</v>
      </c>
      <c r="C6" s="51">
        <v>17874</v>
      </c>
      <c r="D6" s="47">
        <v>762.74600000000021</v>
      </c>
      <c r="E6" s="80">
        <f t="shared" ref="E6:E24" si="1">+D6/$D$4</f>
        <v>8.5146147388726182E-2</v>
      </c>
      <c r="F6" s="58" t="s">
        <v>53</v>
      </c>
      <c r="G6" s="59">
        <v>45812</v>
      </c>
      <c r="H6" s="58">
        <v>7539</v>
      </c>
      <c r="I6" s="58"/>
      <c r="J6" s="60">
        <f t="shared" si="0"/>
        <v>0</v>
      </c>
    </row>
    <row r="7" spans="1:10" x14ac:dyDescent="0.25">
      <c r="A7" s="4"/>
      <c r="B7" s="9" t="s">
        <v>35</v>
      </c>
      <c r="C7" s="51">
        <v>23885</v>
      </c>
      <c r="D7" s="47">
        <v>1019.2540000000001</v>
      </c>
      <c r="E7" s="115">
        <f t="shared" si="1"/>
        <v>0.11378040830177896</v>
      </c>
      <c r="F7" s="58" t="s">
        <v>54</v>
      </c>
      <c r="G7" s="59">
        <v>45813</v>
      </c>
      <c r="H7" s="58">
        <v>8593</v>
      </c>
      <c r="I7" s="58"/>
      <c r="J7" s="60">
        <f t="shared" si="0"/>
        <v>0</v>
      </c>
    </row>
    <row r="8" spans="1:10" x14ac:dyDescent="0.25">
      <c r="A8" s="4"/>
      <c r="B8" s="9" t="s">
        <v>4</v>
      </c>
      <c r="C8" s="51">
        <v>4195</v>
      </c>
      <c r="D8" s="47">
        <v>178.91</v>
      </c>
      <c r="E8" s="80">
        <f t="shared" si="1"/>
        <v>1.9971913624348074E-2</v>
      </c>
      <c r="F8" s="58" t="s">
        <v>55</v>
      </c>
      <c r="G8" s="59">
        <v>45814</v>
      </c>
      <c r="H8" s="58">
        <v>7777</v>
      </c>
      <c r="I8" s="58"/>
      <c r="J8" s="60">
        <f t="shared" si="0"/>
        <v>0</v>
      </c>
    </row>
    <row r="9" spans="1:10" x14ac:dyDescent="0.25">
      <c r="A9" s="4"/>
      <c r="B9" s="9" t="s">
        <v>37</v>
      </c>
      <c r="C9" s="51">
        <v>32200</v>
      </c>
      <c r="D9" s="47">
        <v>1372.5780000000004</v>
      </c>
      <c r="E9" s="115">
        <f t="shared" si="1"/>
        <v>0.15322234228763312</v>
      </c>
      <c r="F9" s="58" t="s">
        <v>56</v>
      </c>
      <c r="G9" s="59">
        <v>45815</v>
      </c>
      <c r="H9" s="58">
        <v>6874</v>
      </c>
      <c r="I9" s="58"/>
      <c r="J9" s="60">
        <f t="shared" si="0"/>
        <v>0</v>
      </c>
    </row>
    <row r="10" spans="1:10" x14ac:dyDescent="0.25">
      <c r="A10" s="4"/>
      <c r="B10" s="9" t="s">
        <v>38</v>
      </c>
      <c r="C10" s="51">
        <v>56385</v>
      </c>
      <c r="D10" s="47">
        <v>2405.6420000000007</v>
      </c>
      <c r="E10" s="115">
        <f t="shared" si="1"/>
        <v>0.26854437558048161</v>
      </c>
      <c r="F10" s="58" t="s">
        <v>57</v>
      </c>
      <c r="G10" s="59">
        <v>45816</v>
      </c>
      <c r="H10" s="58">
        <v>3829</v>
      </c>
      <c r="I10" s="58"/>
      <c r="J10" s="60">
        <f t="shared" si="0"/>
        <v>0</v>
      </c>
    </row>
    <row r="11" spans="1:10" x14ac:dyDescent="0.25">
      <c r="A11" s="4"/>
      <c r="B11" s="9" t="s">
        <v>42</v>
      </c>
      <c r="C11" s="51">
        <v>12315</v>
      </c>
      <c r="D11" s="47">
        <v>524.87799999999993</v>
      </c>
      <c r="E11" s="80">
        <f t="shared" si="1"/>
        <v>5.8592689504893901E-2</v>
      </c>
      <c r="H11" s="58">
        <f>+SUM(H4:H5)</f>
        <v>15805</v>
      </c>
      <c r="I11" s="58">
        <f>+SUM(I4:I10)</f>
        <v>15387.461000000001</v>
      </c>
      <c r="J11" s="60">
        <f t="shared" si="0"/>
        <v>0.97358184118949709</v>
      </c>
    </row>
    <row r="12" spans="1:10" x14ac:dyDescent="0.25">
      <c r="A12" s="4"/>
      <c r="B12" s="9" t="s">
        <v>47</v>
      </c>
      <c r="C12" s="51"/>
      <c r="D12" s="47"/>
      <c r="E12" s="80">
        <f t="shared" si="1"/>
        <v>0</v>
      </c>
    </row>
    <row r="13" spans="1:10" x14ac:dyDescent="0.25">
      <c r="A13" s="4"/>
      <c r="B13" s="9" t="s">
        <v>95</v>
      </c>
      <c r="C13" s="51"/>
      <c r="D13" s="47"/>
      <c r="E13" s="80">
        <f t="shared" si="1"/>
        <v>0</v>
      </c>
    </row>
    <row r="14" spans="1:10" x14ac:dyDescent="0.25">
      <c r="A14" s="4"/>
      <c r="B14" s="9" t="s">
        <v>43</v>
      </c>
      <c r="C14" s="51">
        <v>464</v>
      </c>
      <c r="D14" s="47">
        <v>701.09999999999991</v>
      </c>
      <c r="E14" s="80">
        <f t="shared" si="1"/>
        <v>7.8264538829749222E-2</v>
      </c>
      <c r="F14" s="66"/>
    </row>
    <row r="15" spans="1:10" x14ac:dyDescent="0.25">
      <c r="A15" s="4"/>
      <c r="B15" s="9" t="s">
        <v>44</v>
      </c>
      <c r="C15" s="51">
        <v>20</v>
      </c>
      <c r="D15" s="47">
        <v>30.21</v>
      </c>
      <c r="E15" s="80">
        <f t="shared" si="1"/>
        <v>3.3723744373794387E-3</v>
      </c>
    </row>
    <row r="16" spans="1:10" x14ac:dyDescent="0.25">
      <c r="A16" s="4"/>
      <c r="B16" s="9" t="s">
        <v>49</v>
      </c>
      <c r="C16" s="51">
        <v>23</v>
      </c>
      <c r="D16" s="47">
        <v>34.57</v>
      </c>
      <c r="E16" s="80">
        <f t="shared" si="1"/>
        <v>3.8590858755447595E-3</v>
      </c>
      <c r="G16" s="107"/>
    </row>
    <row r="17" spans="1:10" x14ac:dyDescent="0.25">
      <c r="A17" s="4"/>
      <c r="B17" s="9" t="s">
        <v>45</v>
      </c>
      <c r="C17" s="51">
        <v>46</v>
      </c>
      <c r="D17" s="47">
        <v>69.16</v>
      </c>
      <c r="E17" s="80">
        <f t="shared" si="1"/>
        <v>7.7204043723655066E-3</v>
      </c>
      <c r="G17" s="63"/>
    </row>
    <row r="18" spans="1:10" x14ac:dyDescent="0.25">
      <c r="A18" s="4"/>
      <c r="B18" s="9" t="s">
        <v>41</v>
      </c>
      <c r="C18" s="51">
        <v>185</v>
      </c>
      <c r="D18" s="47">
        <v>278.43</v>
      </c>
      <c r="E18" s="80">
        <f t="shared" si="1"/>
        <v>3.1081437093662928E-2</v>
      </c>
    </row>
    <row r="19" spans="1:10" x14ac:dyDescent="0.25">
      <c r="A19" s="4"/>
      <c r="B19" s="9" t="s">
        <v>39</v>
      </c>
      <c r="C19" s="51">
        <v>302</v>
      </c>
      <c r="D19" s="47">
        <v>455.75</v>
      </c>
      <c r="E19" s="80">
        <f t="shared" si="1"/>
        <v>5.0875857326569983E-2</v>
      </c>
      <c r="G19" s="112"/>
      <c r="H19" s="113">
        <v>2024</v>
      </c>
      <c r="I19" s="113">
        <v>2025</v>
      </c>
    </row>
    <row r="20" spans="1:10" x14ac:dyDescent="0.25">
      <c r="A20" s="4"/>
      <c r="B20" s="9" t="s">
        <v>88</v>
      </c>
      <c r="C20" s="51"/>
      <c r="D20" s="47"/>
      <c r="E20" s="80">
        <f t="shared" si="1"/>
        <v>0</v>
      </c>
      <c r="G20" s="112" t="s">
        <v>108</v>
      </c>
      <c r="H20" s="119">
        <v>204007.80300000001</v>
      </c>
      <c r="I20" s="119">
        <v>190629.128</v>
      </c>
      <c r="J20" s="93">
        <f t="shared" ref="J20:J25" si="2">+I20/H20</f>
        <v>0.93442076820953746</v>
      </c>
    </row>
    <row r="21" spans="1:10" x14ac:dyDescent="0.25">
      <c r="A21" s="4"/>
      <c r="B21" s="9"/>
      <c r="C21" s="51"/>
      <c r="D21" s="47"/>
      <c r="E21" s="80">
        <f t="shared" si="1"/>
        <v>0</v>
      </c>
      <c r="G21" s="112" t="s">
        <v>109</v>
      </c>
      <c r="H21" s="119">
        <v>186305.94399999996</v>
      </c>
      <c r="I21" s="119">
        <v>182874.285</v>
      </c>
      <c r="J21" s="93">
        <f t="shared" si="2"/>
        <v>0.9815805179033904</v>
      </c>
    </row>
    <row r="22" spans="1:10" x14ac:dyDescent="0.25">
      <c r="A22" s="4"/>
      <c r="B22" s="9" t="s">
        <v>9</v>
      </c>
      <c r="C22" s="51"/>
      <c r="D22" s="47">
        <v>183.21</v>
      </c>
      <c r="E22" s="80">
        <f t="shared" si="1"/>
        <v>2.0451927198685434E-2</v>
      </c>
      <c r="G22" s="112" t="s">
        <v>110</v>
      </c>
      <c r="H22" s="119">
        <v>199570.19199999989</v>
      </c>
      <c r="I22" s="119">
        <v>197224.22099999999</v>
      </c>
      <c r="J22" s="93">
        <f t="shared" si="2"/>
        <v>0.98824488278289624</v>
      </c>
    </row>
    <row r="23" spans="1:10" x14ac:dyDescent="0.25">
      <c r="A23" s="4"/>
      <c r="B23" s="9" t="s">
        <v>46</v>
      </c>
      <c r="C23" s="51"/>
      <c r="D23" s="47">
        <v>29.75</v>
      </c>
      <c r="E23" s="80">
        <f t="shared" si="1"/>
        <v>3.3210241480317211E-3</v>
      </c>
      <c r="G23" s="112" t="s">
        <v>111</v>
      </c>
      <c r="H23" s="119">
        <v>205343.72800000012</v>
      </c>
      <c r="I23" s="119">
        <v>198970.75799999986</v>
      </c>
      <c r="J23" s="93">
        <f t="shared" si="2"/>
        <v>0.96896437956945902</v>
      </c>
    </row>
    <row r="24" spans="1:10" ht="16.5" thickBot="1" x14ac:dyDescent="0.3">
      <c r="A24" s="4"/>
      <c r="B24" s="9" t="s">
        <v>40</v>
      </c>
      <c r="C24" s="51"/>
      <c r="D24" s="47">
        <v>605.65000000000009</v>
      </c>
      <c r="E24" s="80">
        <f t="shared" si="1"/>
        <v>6.7609353790097887E-2</v>
      </c>
      <c r="G24" s="112" t="s">
        <v>102</v>
      </c>
      <c r="H24" s="119">
        <v>209473.77399999995</v>
      </c>
      <c r="I24" s="119">
        <v>212393.17300000001</v>
      </c>
      <c r="J24" s="93">
        <f t="shared" si="2"/>
        <v>1.0139368234230604</v>
      </c>
    </row>
    <row r="25" spans="1:10" ht="16.5" thickBot="1" x14ac:dyDescent="0.3">
      <c r="B25" s="52" t="s">
        <v>0</v>
      </c>
      <c r="C25" s="44"/>
      <c r="D25" s="45">
        <f>SUM(D5:D24)</f>
        <v>8958.08</v>
      </c>
      <c r="G25" s="3"/>
      <c r="H25" s="68">
        <f>+SUM(H20:H24)</f>
        <v>1004701.441</v>
      </c>
      <c r="I25" s="68">
        <f>+SUM(I20:I24)</f>
        <v>982091.56499999971</v>
      </c>
      <c r="J25" s="93">
        <f t="shared" si="2"/>
        <v>0.97749592557815368</v>
      </c>
    </row>
    <row r="26" spans="1:10" x14ac:dyDescent="0.25">
      <c r="B26" s="6" t="s">
        <v>1</v>
      </c>
      <c r="C26" s="7"/>
      <c r="D26" s="48">
        <v>66958.251000000004</v>
      </c>
      <c r="E26" s="98">
        <f>+D26/E2</f>
        <v>0.3272801749841146</v>
      </c>
      <c r="G26" s="3"/>
      <c r="I26" s="68">
        <f>+I25-H25</f>
        <v>-22609.87600000028</v>
      </c>
    </row>
    <row r="27" spans="1:10" x14ac:dyDescent="0.25">
      <c r="D27" s="97">
        <f>+(E2/30)*10</f>
        <v>68196.666666666672</v>
      </c>
      <c r="E27" s="98">
        <f>+D27/E2</f>
        <v>0.33333333333333337</v>
      </c>
    </row>
    <row r="28" spans="1:10" x14ac:dyDescent="0.25">
      <c r="D28" s="96">
        <f>+D26-D27</f>
        <v>-1238.4156666666677</v>
      </c>
      <c r="E28" s="99">
        <f>+E26-E27</f>
        <v>-6.0531583492187679E-3</v>
      </c>
    </row>
    <row r="29" spans="1:10" x14ac:dyDescent="0.25">
      <c r="G29" s="3"/>
    </row>
    <row r="30" spans="1:10" x14ac:dyDescent="0.25">
      <c r="B30" s="66" t="s">
        <v>60</v>
      </c>
      <c r="D30" s="109" t="s">
        <v>105</v>
      </c>
      <c r="E30" s="109" t="s">
        <v>80</v>
      </c>
      <c r="G30" s="3"/>
      <c r="I30" s="2" t="s">
        <v>92</v>
      </c>
    </row>
    <row r="31" spans="1:10" x14ac:dyDescent="0.25">
      <c r="B31" s="2" t="s">
        <v>61</v>
      </c>
      <c r="C31" s="2">
        <v>589</v>
      </c>
      <c r="D31" s="108">
        <v>2142</v>
      </c>
      <c r="E31" s="57">
        <f>+C31/D31</f>
        <v>0.27497665732959853</v>
      </c>
      <c r="G31" s="86" t="s">
        <v>86</v>
      </c>
      <c r="H31" s="87">
        <v>12214</v>
      </c>
      <c r="I31" s="88">
        <v>305.35000000000002</v>
      </c>
    </row>
    <row r="32" spans="1:10" x14ac:dyDescent="0.25">
      <c r="B32" s="2" t="s">
        <v>62</v>
      </c>
      <c r="C32" s="2">
        <v>1116</v>
      </c>
      <c r="D32" s="108">
        <v>1890</v>
      </c>
      <c r="E32" s="57">
        <f>+C32/D32</f>
        <v>0.59047619047619049</v>
      </c>
      <c r="G32" s="86" t="s">
        <v>104</v>
      </c>
      <c r="H32" s="87">
        <v>1086</v>
      </c>
      <c r="I32" s="88">
        <v>27.150000000000002</v>
      </c>
    </row>
    <row r="33" spans="1:10" x14ac:dyDescent="0.25">
      <c r="B33" s="2" t="s">
        <v>63</v>
      </c>
      <c r="C33" s="67">
        <v>644</v>
      </c>
      <c r="D33" s="108">
        <v>3006</v>
      </c>
      <c r="E33" s="57">
        <f>+C33/D33</f>
        <v>0.21423819028609448</v>
      </c>
      <c r="G33" s="89" t="s">
        <v>87</v>
      </c>
      <c r="H33" s="87">
        <v>126</v>
      </c>
      <c r="I33" s="88">
        <v>189</v>
      </c>
    </row>
    <row r="34" spans="1:10" x14ac:dyDescent="0.25">
      <c r="C34" s="2">
        <f>+SUM(C31:C33)</f>
        <v>2349</v>
      </c>
      <c r="D34" s="110">
        <f>+SUM(D31:D33)</f>
        <v>7038</v>
      </c>
      <c r="E34" s="57">
        <f>+C34/D34</f>
        <v>0.3337595907928389</v>
      </c>
      <c r="G34" s="89" t="s">
        <v>91</v>
      </c>
      <c r="H34" s="87">
        <v>4</v>
      </c>
      <c r="I34" s="88">
        <v>6</v>
      </c>
    </row>
    <row r="35" spans="1:10" x14ac:dyDescent="0.25">
      <c r="G35" s="89" t="s">
        <v>112</v>
      </c>
      <c r="H35" s="87">
        <v>116</v>
      </c>
      <c r="I35" s="88">
        <v>174</v>
      </c>
    </row>
    <row r="36" spans="1:10" x14ac:dyDescent="0.25">
      <c r="B36" s="2" t="s">
        <v>66</v>
      </c>
      <c r="D36" s="2"/>
      <c r="G36" s="89" t="s">
        <v>96</v>
      </c>
      <c r="H36" s="87">
        <v>23</v>
      </c>
      <c r="I36" s="88">
        <v>34.5</v>
      </c>
    </row>
    <row r="37" spans="1:10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73</v>
      </c>
      <c r="I37" s="88">
        <v>193.5</v>
      </c>
      <c r="J37" s="129" t="s">
        <v>113</v>
      </c>
    </row>
    <row r="38" spans="1:10" x14ac:dyDescent="0.25">
      <c r="B38" s="73">
        <v>34</v>
      </c>
      <c r="C38" s="74">
        <v>7</v>
      </c>
      <c r="D38" s="74">
        <v>16</v>
      </c>
      <c r="E38" s="75">
        <f>+SUM(B38:D38)</f>
        <v>57</v>
      </c>
    </row>
    <row r="39" spans="1:10" x14ac:dyDescent="0.25">
      <c r="E39" s="66" t="s">
        <v>76</v>
      </c>
    </row>
    <row r="40" spans="1:10" x14ac:dyDescent="0.25">
      <c r="D40" s="2"/>
      <c r="F40" s="71" t="s">
        <v>90</v>
      </c>
      <c r="G40" s="71" t="s">
        <v>97</v>
      </c>
    </row>
    <row r="41" spans="1:10" x14ac:dyDescent="0.25">
      <c r="A41" s="2" t="s">
        <v>70</v>
      </c>
      <c r="B41" s="2">
        <v>0</v>
      </c>
      <c r="C41" s="2">
        <v>2243</v>
      </c>
      <c r="D41" s="68">
        <v>2400</v>
      </c>
      <c r="E41" s="57">
        <f t="shared" ref="E41:E46" si="3">+C41/D41</f>
        <v>0.93458333333333332</v>
      </c>
      <c r="F41" s="71">
        <v>7</v>
      </c>
      <c r="G41" s="71"/>
    </row>
    <row r="42" spans="1:10" x14ac:dyDescent="0.25">
      <c r="A42" s="2" t="s">
        <v>71</v>
      </c>
      <c r="B42" s="2">
        <v>7.36</v>
      </c>
      <c r="C42" s="2">
        <v>2237</v>
      </c>
      <c r="D42" s="68">
        <v>3600</v>
      </c>
      <c r="E42" s="57">
        <f t="shared" si="3"/>
        <v>0.62138888888888888</v>
      </c>
      <c r="F42" s="71">
        <v>12</v>
      </c>
      <c r="G42" s="71"/>
    </row>
    <row r="43" spans="1:10" x14ac:dyDescent="0.25">
      <c r="A43" s="2" t="s">
        <v>72</v>
      </c>
      <c r="B43" s="2">
        <v>11.47</v>
      </c>
      <c r="C43" s="2">
        <v>2926</v>
      </c>
      <c r="D43" s="68">
        <v>3600</v>
      </c>
      <c r="E43" s="57">
        <f t="shared" si="3"/>
        <v>0.81277777777777782</v>
      </c>
      <c r="F43" s="71">
        <v>12</v>
      </c>
      <c r="G43" s="71"/>
    </row>
    <row r="44" spans="1:10" x14ac:dyDescent="0.25">
      <c r="A44" s="2" t="s">
        <v>73</v>
      </c>
      <c r="B44" s="2">
        <v>14.04</v>
      </c>
      <c r="C44" s="2">
        <v>2889</v>
      </c>
      <c r="D44" s="68">
        <v>3900</v>
      </c>
      <c r="E44" s="57">
        <f t="shared" si="3"/>
        <v>0.74076923076923074</v>
      </c>
      <c r="F44" s="71">
        <v>11</v>
      </c>
      <c r="G44" s="71"/>
    </row>
    <row r="45" spans="1:10" x14ac:dyDescent="0.25">
      <c r="A45" s="2" t="s">
        <v>74</v>
      </c>
      <c r="B45" s="2">
        <v>13.43</v>
      </c>
      <c r="C45" s="2">
        <v>2841</v>
      </c>
      <c r="D45" s="68">
        <v>3900</v>
      </c>
      <c r="E45" s="57">
        <f t="shared" si="3"/>
        <v>0.72846153846153849</v>
      </c>
      <c r="F45" s="71">
        <v>12</v>
      </c>
      <c r="G45" s="71"/>
    </row>
    <row r="46" spans="1:10" x14ac:dyDescent="0.25">
      <c r="A46" s="2" t="s">
        <v>75</v>
      </c>
      <c r="B46" s="123">
        <v>5.1100000000000003</v>
      </c>
      <c r="C46" s="124">
        <f>11819/B46</f>
        <v>2312.9158512720155</v>
      </c>
      <c r="D46" s="128">
        <v>4300</v>
      </c>
      <c r="E46" s="126">
        <f t="shared" si="3"/>
        <v>0.53788740727256179</v>
      </c>
      <c r="F46" s="71">
        <v>16</v>
      </c>
    </row>
    <row r="47" spans="1:10" x14ac:dyDescent="0.25">
      <c r="C47" s="71" t="s">
        <v>83</v>
      </c>
      <c r="D47" s="72" t="s">
        <v>79</v>
      </c>
    </row>
    <row r="48" spans="1:10" x14ac:dyDescent="0.25">
      <c r="B48" s="2" t="s">
        <v>78</v>
      </c>
      <c r="C48" s="71">
        <v>4</v>
      </c>
      <c r="D48" s="72"/>
    </row>
    <row r="49" spans="3:4" x14ac:dyDescent="0.25">
      <c r="C49" s="71">
        <v>5</v>
      </c>
      <c r="D49" s="108">
        <v>10</v>
      </c>
    </row>
    <row r="50" spans="3:4" x14ac:dyDescent="0.25">
      <c r="C50" s="71">
        <v>6</v>
      </c>
      <c r="D50" s="108">
        <v>10</v>
      </c>
    </row>
    <row r="51" spans="3:4" x14ac:dyDescent="0.25">
      <c r="C51" s="71">
        <v>8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selection activeCell="A23" sqref="A23:K47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16384" width="11.42578125" style="2"/>
  </cols>
  <sheetData>
    <row r="1" spans="1:10" ht="15" customHeight="1" x14ac:dyDescent="0.25">
      <c r="A1" s="1"/>
      <c r="B1" s="518">
        <v>45819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127"/>
      <c r="C4" s="127"/>
      <c r="D4" s="5">
        <f>D21</f>
        <v>8950.2079999999987</v>
      </c>
      <c r="F4" s="58" t="s">
        <v>51</v>
      </c>
      <c r="G4" s="59">
        <v>45810</v>
      </c>
      <c r="H4" s="58">
        <v>7565</v>
      </c>
      <c r="I4" s="58">
        <v>6429.3810000000012</v>
      </c>
      <c r="J4" s="60">
        <f>+I4/H4</f>
        <v>0.84988512888301404</v>
      </c>
    </row>
    <row r="5" spans="1:10" ht="15" customHeight="1" x14ac:dyDescent="0.25">
      <c r="A5" s="4"/>
      <c r="B5" s="8" t="s">
        <v>6</v>
      </c>
      <c r="C5" s="50">
        <v>4639</v>
      </c>
      <c r="D5" s="46">
        <v>198.018</v>
      </c>
      <c r="E5" s="80">
        <f>+D5/$D$4</f>
        <v>2.212440202507026E-2</v>
      </c>
      <c r="F5" s="58" t="s">
        <v>52</v>
      </c>
      <c r="G5" s="59">
        <v>45811</v>
      </c>
      <c r="H5" s="58">
        <v>8240</v>
      </c>
      <c r="I5" s="58">
        <v>8958.08</v>
      </c>
      <c r="J5" s="60">
        <f t="shared" ref="J5:J11" si="0">+I5/H5</f>
        <v>1.0871456310679612</v>
      </c>
    </row>
    <row r="6" spans="1:10" ht="15" customHeight="1" x14ac:dyDescent="0.25">
      <c r="A6" s="4"/>
      <c r="B6" s="9" t="s">
        <v>10</v>
      </c>
      <c r="C6" s="51">
        <v>15810</v>
      </c>
      <c r="D6" s="47">
        <v>674.56500000000005</v>
      </c>
      <c r="E6" s="80">
        <f t="shared" ref="E6:E20" si="1">+D6/$D$4</f>
        <v>7.5368639477428917E-2</v>
      </c>
      <c r="F6" s="58" t="s">
        <v>53</v>
      </c>
      <c r="G6" s="59">
        <v>45812</v>
      </c>
      <c r="H6" s="58">
        <v>7539</v>
      </c>
      <c r="I6" s="58">
        <v>8950.2079999999987</v>
      </c>
      <c r="J6" s="60">
        <f t="shared" si="0"/>
        <v>1.1871876906751557</v>
      </c>
    </row>
    <row r="7" spans="1:10" ht="15" customHeight="1" x14ac:dyDescent="0.25">
      <c r="A7" s="4"/>
      <c r="B7" s="130" t="s">
        <v>35</v>
      </c>
      <c r="C7" s="131">
        <v>20774</v>
      </c>
      <c r="D7" s="132">
        <v>885.26100000000019</v>
      </c>
      <c r="E7" s="133">
        <f t="shared" si="1"/>
        <v>9.8909544895492973E-2</v>
      </c>
      <c r="F7" s="58" t="s">
        <v>54</v>
      </c>
      <c r="G7" s="59">
        <v>45813</v>
      </c>
      <c r="H7" s="58">
        <v>8593</v>
      </c>
      <c r="I7" s="58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5335</v>
      </c>
      <c r="D8" s="47">
        <v>227.35999999999999</v>
      </c>
      <c r="E8" s="80">
        <f t="shared" si="1"/>
        <v>2.5402761589451331E-2</v>
      </c>
      <c r="F8" s="58" t="s">
        <v>55</v>
      </c>
      <c r="G8" s="59">
        <v>45814</v>
      </c>
      <c r="H8" s="58">
        <v>7777</v>
      </c>
      <c r="I8" s="58"/>
      <c r="J8" s="60">
        <f t="shared" si="0"/>
        <v>0</v>
      </c>
    </row>
    <row r="9" spans="1:10" ht="15" customHeight="1" x14ac:dyDescent="0.25">
      <c r="A9" s="4"/>
      <c r="B9" s="130" t="s">
        <v>37</v>
      </c>
      <c r="C9" s="131">
        <v>40899</v>
      </c>
      <c r="D9" s="132">
        <v>1743.9019999999998</v>
      </c>
      <c r="E9" s="133">
        <f t="shared" si="1"/>
        <v>0.19484485723683742</v>
      </c>
      <c r="F9" s="58" t="s">
        <v>56</v>
      </c>
      <c r="G9" s="59">
        <v>45815</v>
      </c>
      <c r="H9" s="58">
        <v>6874</v>
      </c>
      <c r="I9" s="58"/>
      <c r="J9" s="60">
        <f t="shared" si="0"/>
        <v>0</v>
      </c>
    </row>
    <row r="10" spans="1:10" ht="15" customHeight="1" x14ac:dyDescent="0.25">
      <c r="A10" s="4"/>
      <c r="B10" s="130" t="s">
        <v>38</v>
      </c>
      <c r="C10" s="131">
        <v>51511</v>
      </c>
      <c r="D10" s="132">
        <v>2196.7020000000002</v>
      </c>
      <c r="E10" s="133">
        <f t="shared" si="1"/>
        <v>0.24543586026157163</v>
      </c>
      <c r="F10" s="58" t="s">
        <v>57</v>
      </c>
      <c r="G10" s="59">
        <v>45816</v>
      </c>
      <c r="H10" s="58">
        <v>3829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13140</v>
      </c>
      <c r="D11" s="47">
        <v>560.58800000000008</v>
      </c>
      <c r="E11" s="80">
        <f t="shared" si="1"/>
        <v>6.2634075096355324E-2</v>
      </c>
      <c r="H11" s="58">
        <f>+SUM(H4:H6)</f>
        <v>23344</v>
      </c>
      <c r="I11" s="58">
        <f>+SUM(I4:I10)</f>
        <v>24337.669000000002</v>
      </c>
      <c r="J11" s="60">
        <f t="shared" si="0"/>
        <v>1.0425663553803977</v>
      </c>
    </row>
    <row r="12" spans="1:10" ht="15" customHeight="1" x14ac:dyDescent="0.25">
      <c r="A12" s="4"/>
      <c r="B12" s="9" t="s">
        <v>44</v>
      </c>
      <c r="C12" s="51">
        <v>40</v>
      </c>
      <c r="D12" s="47">
        <v>60.239999999999995</v>
      </c>
      <c r="E12" s="80">
        <f t="shared" si="1"/>
        <v>6.73056983703619E-3</v>
      </c>
    </row>
    <row r="13" spans="1:10" ht="15" customHeight="1" x14ac:dyDescent="0.25">
      <c r="A13" s="4"/>
      <c r="B13" s="9" t="s">
        <v>39</v>
      </c>
      <c r="C13" s="51">
        <v>343</v>
      </c>
      <c r="D13" s="47">
        <v>518.28800000000001</v>
      </c>
      <c r="E13" s="80">
        <f t="shared" si="1"/>
        <v>5.7907927949830899E-2</v>
      </c>
      <c r="G13" s="112"/>
      <c r="H13" s="113">
        <v>2024</v>
      </c>
      <c r="I13" s="113">
        <v>2025</v>
      </c>
    </row>
    <row r="14" spans="1:10" ht="15" customHeight="1" x14ac:dyDescent="0.25">
      <c r="A14" s="4"/>
      <c r="B14" s="9" t="s">
        <v>43</v>
      </c>
      <c r="C14" s="51">
        <v>366</v>
      </c>
      <c r="D14" s="47">
        <v>552.34</v>
      </c>
      <c r="E14" s="80">
        <f t="shared" si="1"/>
        <v>6.1712532267406535E-2</v>
      </c>
      <c r="F14" s="66"/>
      <c r="G14" s="112" t="s">
        <v>108</v>
      </c>
      <c r="H14" s="119">
        <v>204007.80300000001</v>
      </c>
      <c r="I14" s="119">
        <v>190629.128</v>
      </c>
      <c r="J14" s="93">
        <f t="shared" ref="J14:J19" si="2">+I14/H14</f>
        <v>0.93442076820953746</v>
      </c>
    </row>
    <row r="15" spans="1:10" ht="15" customHeight="1" x14ac:dyDescent="0.25">
      <c r="A15" s="4"/>
      <c r="B15" s="9" t="s">
        <v>49</v>
      </c>
      <c r="C15" s="51">
        <v>82</v>
      </c>
      <c r="D15" s="47">
        <v>123.31</v>
      </c>
      <c r="E15" s="80">
        <f t="shared" si="1"/>
        <v>1.377733344297697E-2</v>
      </c>
      <c r="G15" s="112" t="s">
        <v>109</v>
      </c>
      <c r="H15" s="119">
        <v>186305.94399999996</v>
      </c>
      <c r="I15" s="119">
        <v>182874.285</v>
      </c>
      <c r="J15" s="93">
        <f t="shared" si="2"/>
        <v>0.9815805179033904</v>
      </c>
    </row>
    <row r="16" spans="1:10" ht="15" customHeight="1" x14ac:dyDescent="0.25">
      <c r="A16" s="4"/>
      <c r="B16" s="9" t="s">
        <v>41</v>
      </c>
      <c r="C16" s="51">
        <v>262</v>
      </c>
      <c r="D16" s="47">
        <v>394.09399999999994</v>
      </c>
      <c r="E16" s="80">
        <f t="shared" si="1"/>
        <v>4.4031825852538849E-2</v>
      </c>
      <c r="G16" s="112" t="s">
        <v>110</v>
      </c>
      <c r="H16" s="119">
        <v>199570.19199999989</v>
      </c>
      <c r="I16" s="119">
        <v>197224.22099999999</v>
      </c>
      <c r="J16" s="93">
        <f t="shared" si="2"/>
        <v>0.98824488278289624</v>
      </c>
    </row>
    <row r="17" spans="1:10" ht="15" customHeight="1" x14ac:dyDescent="0.25">
      <c r="A17" s="4"/>
      <c r="B17" s="9" t="s">
        <v>40</v>
      </c>
      <c r="C17" s="51"/>
      <c r="D17" s="47">
        <v>479.74</v>
      </c>
      <c r="E17" s="80">
        <f t="shared" si="1"/>
        <v>5.3600988937910723E-2</v>
      </c>
      <c r="G17" s="112" t="s">
        <v>111</v>
      </c>
      <c r="H17" s="119">
        <v>205343.72800000012</v>
      </c>
      <c r="I17" s="119">
        <v>198970.75799999986</v>
      </c>
      <c r="J17" s="93">
        <f t="shared" si="2"/>
        <v>0.96896437956945902</v>
      </c>
    </row>
    <row r="18" spans="1:10" ht="15" customHeight="1" x14ac:dyDescent="0.25">
      <c r="A18" s="4"/>
      <c r="B18" s="9" t="s">
        <v>9</v>
      </c>
      <c r="C18" s="51"/>
      <c r="D18" s="47">
        <v>246.46</v>
      </c>
      <c r="E18" s="80">
        <f t="shared" si="1"/>
        <v>2.7536790206439898E-2</v>
      </c>
      <c r="G18" s="112" t="s">
        <v>102</v>
      </c>
      <c r="H18" s="119">
        <v>209473.77399999995</v>
      </c>
      <c r="I18" s="119">
        <v>212393.17300000001</v>
      </c>
      <c r="J18" s="93">
        <f t="shared" si="2"/>
        <v>1.0139368234230604</v>
      </c>
    </row>
    <row r="19" spans="1:10" ht="15" customHeight="1" x14ac:dyDescent="0.25">
      <c r="A19" s="4"/>
      <c r="B19" s="9" t="s">
        <v>46</v>
      </c>
      <c r="C19" s="51"/>
      <c r="D19" s="47">
        <v>59.3</v>
      </c>
      <c r="E19" s="80">
        <f t="shared" si="1"/>
        <v>6.625544344891203E-3</v>
      </c>
      <c r="G19" s="3"/>
      <c r="H19" s="68">
        <f>+SUM(H14:H18)</f>
        <v>1004701.441</v>
      </c>
      <c r="I19" s="68">
        <f>+SUM(I14:I18)</f>
        <v>982091.56499999971</v>
      </c>
      <c r="J19" s="93">
        <f t="shared" si="2"/>
        <v>0.97749592557815368</v>
      </c>
    </row>
    <row r="20" spans="1:10" ht="15" customHeight="1" thickBot="1" x14ac:dyDescent="0.3">
      <c r="A20" s="4"/>
      <c r="B20" s="9" t="s">
        <v>88</v>
      </c>
      <c r="C20" s="51"/>
      <c r="D20" s="47">
        <v>30.04</v>
      </c>
      <c r="E20" s="80">
        <f t="shared" si="1"/>
        <v>3.3563465787610752E-3</v>
      </c>
      <c r="G20" s="3"/>
      <c r="I20" s="68">
        <f>+I19-H19</f>
        <v>-22609.87600000028</v>
      </c>
    </row>
    <row r="21" spans="1:10" ht="15" customHeight="1" thickBot="1" x14ac:dyDescent="0.3">
      <c r="B21" s="52" t="s">
        <v>0</v>
      </c>
      <c r="C21" s="44"/>
      <c r="D21" s="45">
        <f>SUM(D5:D20)</f>
        <v>8950.2079999999987</v>
      </c>
    </row>
    <row r="22" spans="1:10" ht="15" customHeight="1" x14ac:dyDescent="0.25">
      <c r="B22" s="6" t="s">
        <v>1</v>
      </c>
      <c r="C22" s="7"/>
      <c r="D22" s="48">
        <v>75908.459000000032</v>
      </c>
      <c r="E22" s="98">
        <f>D22/E2</f>
        <v>0.37102722029424717</v>
      </c>
    </row>
    <row r="23" spans="1:10" x14ac:dyDescent="0.25">
      <c r="D23" s="97">
        <f>+(E2/30)*11</f>
        <v>75016.333333333343</v>
      </c>
      <c r="E23" s="98">
        <f>+D23/E2</f>
        <v>0.3666666666666667</v>
      </c>
    </row>
    <row r="24" spans="1:10" x14ac:dyDescent="0.25">
      <c r="D24" s="96">
        <f>+D22-D23</f>
        <v>892.12566666668863</v>
      </c>
      <c r="E24" s="99">
        <f>+E22-E23</f>
        <v>4.3605536275804768E-3</v>
      </c>
    </row>
    <row r="25" spans="1:10" ht="15" customHeight="1" x14ac:dyDescent="0.25">
      <c r="G25" s="3"/>
    </row>
    <row r="26" spans="1:10" x14ac:dyDescent="0.25">
      <c r="B26" s="66" t="s">
        <v>60</v>
      </c>
      <c r="D26" s="109" t="s">
        <v>105</v>
      </c>
      <c r="E26" s="109" t="s">
        <v>80</v>
      </c>
      <c r="G26" s="3"/>
      <c r="I26" s="2" t="s">
        <v>92</v>
      </c>
    </row>
    <row r="27" spans="1:10" x14ac:dyDescent="0.25">
      <c r="B27" s="2" t="s">
        <v>61</v>
      </c>
      <c r="C27" s="2">
        <v>176</v>
      </c>
      <c r="D27" s="108">
        <v>2142</v>
      </c>
      <c r="E27" s="57">
        <f>+C27/D27</f>
        <v>8.2166199813258636E-2</v>
      </c>
      <c r="G27" s="86" t="s">
        <v>86</v>
      </c>
      <c r="H27" s="87">
        <v>12214</v>
      </c>
      <c r="I27" s="88">
        <v>305.35000000000002</v>
      </c>
    </row>
    <row r="28" spans="1:10" x14ac:dyDescent="0.25">
      <c r="B28" s="2" t="s">
        <v>62</v>
      </c>
      <c r="C28" s="2">
        <v>1228</v>
      </c>
      <c r="D28" s="108">
        <v>1890</v>
      </c>
      <c r="E28" s="57">
        <f>+C28/D28</f>
        <v>0.64973544973544972</v>
      </c>
      <c r="G28" s="86" t="s">
        <v>104</v>
      </c>
      <c r="H28" s="87">
        <v>1086</v>
      </c>
      <c r="I28" s="88">
        <v>27.150000000000002</v>
      </c>
    </row>
    <row r="29" spans="1:10" x14ac:dyDescent="0.25">
      <c r="B29" s="2" t="s">
        <v>63</v>
      </c>
      <c r="C29" s="67">
        <v>692</v>
      </c>
      <c r="D29" s="108">
        <v>3006</v>
      </c>
      <c r="E29" s="57">
        <f>+C29/D29</f>
        <v>0.23020625415834997</v>
      </c>
      <c r="G29" s="89" t="s">
        <v>87</v>
      </c>
      <c r="H29" s="87">
        <v>89</v>
      </c>
      <c r="I29" s="88">
        <v>133.5</v>
      </c>
    </row>
    <row r="30" spans="1:10" x14ac:dyDescent="0.25">
      <c r="C30" s="2">
        <f>+SUM(C27:C29)</f>
        <v>2096</v>
      </c>
      <c r="D30" s="110">
        <f>+SUM(D27:D29)</f>
        <v>7038</v>
      </c>
      <c r="E30" s="57">
        <f>+C30/D30</f>
        <v>0.29781187837453821</v>
      </c>
      <c r="G30" s="89" t="s">
        <v>91</v>
      </c>
      <c r="H30" s="87">
        <v>4</v>
      </c>
      <c r="I30" s="88">
        <v>6</v>
      </c>
    </row>
    <row r="31" spans="1:10" x14ac:dyDescent="0.25">
      <c r="G31" s="89" t="s">
        <v>112</v>
      </c>
      <c r="H31" s="87">
        <v>103</v>
      </c>
      <c r="I31" s="88">
        <v>154.5</v>
      </c>
    </row>
    <row r="32" spans="1:10" x14ac:dyDescent="0.25">
      <c r="B32" s="2" t="s">
        <v>66</v>
      </c>
      <c r="D32" s="2"/>
      <c r="G32" s="89" t="s">
        <v>96</v>
      </c>
      <c r="H32" s="87">
        <v>23</v>
      </c>
      <c r="I32" s="88">
        <v>34.5</v>
      </c>
    </row>
    <row r="33" spans="1:10" ht="15" customHeight="1" x14ac:dyDescent="0.25">
      <c r="B33" s="76" t="s">
        <v>67</v>
      </c>
      <c r="C33" s="77" t="s">
        <v>68</v>
      </c>
      <c r="D33" s="78" t="s">
        <v>69</v>
      </c>
      <c r="E33" s="79" t="s">
        <v>33</v>
      </c>
      <c r="G33" s="89" t="s">
        <v>107</v>
      </c>
      <c r="H33" s="87">
        <v>73</v>
      </c>
      <c r="I33" s="88">
        <v>193.5</v>
      </c>
      <c r="J33" s="129" t="s">
        <v>113</v>
      </c>
    </row>
    <row r="34" spans="1:10" x14ac:dyDescent="0.25">
      <c r="B34" s="73">
        <v>30</v>
      </c>
      <c r="C34" s="74">
        <v>3</v>
      </c>
      <c r="D34" s="74">
        <v>23</v>
      </c>
      <c r="E34" s="75">
        <f>+SUM(B34:D34)</f>
        <v>56</v>
      </c>
    </row>
    <row r="35" spans="1:10" x14ac:dyDescent="0.25">
      <c r="E35" s="66" t="s">
        <v>76</v>
      </c>
    </row>
    <row r="36" spans="1:10" x14ac:dyDescent="0.25">
      <c r="D36" s="2"/>
      <c r="F36" s="71" t="s">
        <v>90</v>
      </c>
      <c r="G36" s="71" t="s">
        <v>97</v>
      </c>
    </row>
    <row r="37" spans="1:10" x14ac:dyDescent="0.25">
      <c r="A37" s="2" t="s">
        <v>70</v>
      </c>
      <c r="B37" s="2">
        <v>0</v>
      </c>
      <c r="C37" s="2">
        <v>2243</v>
      </c>
      <c r="D37" s="68">
        <v>2400</v>
      </c>
      <c r="E37" s="57">
        <f t="shared" ref="E37:E42" si="3">+C37/D37</f>
        <v>0.93458333333333332</v>
      </c>
      <c r="F37" s="71">
        <v>7</v>
      </c>
      <c r="G37" s="71"/>
    </row>
    <row r="38" spans="1:10" x14ac:dyDescent="0.25">
      <c r="A38" s="2" t="s">
        <v>71</v>
      </c>
      <c r="B38" s="2">
        <v>10.09</v>
      </c>
      <c r="C38" s="2">
        <v>2291</v>
      </c>
      <c r="D38" s="68">
        <v>3600</v>
      </c>
      <c r="E38" s="57">
        <f t="shared" si="3"/>
        <v>0.63638888888888889</v>
      </c>
      <c r="F38" s="71">
        <v>12</v>
      </c>
      <c r="G38" s="71"/>
    </row>
    <row r="39" spans="1:10" x14ac:dyDescent="0.25">
      <c r="A39" s="2" t="s">
        <v>72</v>
      </c>
      <c r="B39" s="2">
        <v>8.7899999999999991</v>
      </c>
      <c r="C39" s="2">
        <v>3261</v>
      </c>
      <c r="D39" s="68">
        <v>3600</v>
      </c>
      <c r="E39" s="57">
        <f t="shared" si="3"/>
        <v>0.90583333333333338</v>
      </c>
      <c r="F39" s="71">
        <v>12</v>
      </c>
      <c r="G39" s="71"/>
    </row>
    <row r="40" spans="1:10" x14ac:dyDescent="0.25">
      <c r="A40" s="2" t="s">
        <v>73</v>
      </c>
      <c r="B40" s="2">
        <v>15.19</v>
      </c>
      <c r="C40" s="2">
        <v>2799</v>
      </c>
      <c r="D40" s="68">
        <v>3900</v>
      </c>
      <c r="E40" s="57">
        <f t="shared" si="3"/>
        <v>0.71769230769230774</v>
      </c>
      <c r="F40" s="71">
        <v>11</v>
      </c>
      <c r="G40" s="71"/>
    </row>
    <row r="41" spans="1:10" x14ac:dyDescent="0.25">
      <c r="A41" s="2" t="s">
        <v>74</v>
      </c>
      <c r="B41" s="2">
        <v>14.66</v>
      </c>
      <c r="C41" s="2">
        <v>2940</v>
      </c>
      <c r="D41" s="68">
        <v>3900</v>
      </c>
      <c r="E41" s="57">
        <f t="shared" si="3"/>
        <v>0.75384615384615383</v>
      </c>
      <c r="F41" s="71">
        <v>12</v>
      </c>
      <c r="G41" s="71"/>
    </row>
    <row r="42" spans="1:10" x14ac:dyDescent="0.25">
      <c r="A42" s="2" t="s">
        <v>75</v>
      </c>
      <c r="B42" s="123">
        <v>3</v>
      </c>
      <c r="C42" s="124">
        <f>8772/B42</f>
        <v>2924</v>
      </c>
      <c r="D42" s="128">
        <v>4300</v>
      </c>
      <c r="E42" s="126">
        <f t="shared" si="3"/>
        <v>0.68</v>
      </c>
      <c r="F42" s="71">
        <v>16</v>
      </c>
    </row>
    <row r="43" spans="1:10" x14ac:dyDescent="0.25">
      <c r="C43" s="71" t="s">
        <v>83</v>
      </c>
      <c r="D43" s="72" t="s">
        <v>79</v>
      </c>
    </row>
    <row r="44" spans="1:10" x14ac:dyDescent="0.25">
      <c r="B44" s="2" t="s">
        <v>78</v>
      </c>
      <c r="C44" s="71">
        <v>4</v>
      </c>
      <c r="D44" s="72"/>
    </row>
    <row r="45" spans="1:10" x14ac:dyDescent="0.25">
      <c r="C45" s="71">
        <v>5</v>
      </c>
      <c r="D45" s="108">
        <v>9</v>
      </c>
    </row>
    <row r="46" spans="1:10" x14ac:dyDescent="0.25">
      <c r="C46" s="71">
        <v>6</v>
      </c>
      <c r="D46" s="108">
        <v>10</v>
      </c>
    </row>
    <row r="47" spans="1:10" x14ac:dyDescent="0.25">
      <c r="C47" s="71">
        <v>8</v>
      </c>
    </row>
  </sheetData>
  <mergeCells count="2">
    <mergeCell ref="B1:D1"/>
    <mergeCell ref="B3:D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opLeftCell="A10" workbookViewId="0">
      <selection activeCell="E23" sqref="E23"/>
    </sheetView>
  </sheetViews>
  <sheetFormatPr baseColWidth="10" defaultColWidth="11.42578125" defaultRowHeight="15.75" x14ac:dyDescent="0.25"/>
  <cols>
    <col min="1" max="1" width="2.42578125" style="2" customWidth="1"/>
    <col min="2" max="2" width="48.140625" style="2" customWidth="1"/>
    <col min="3" max="3" width="15.28515625" style="2" customWidth="1"/>
    <col min="4" max="4" width="15.28515625" style="3" customWidth="1"/>
    <col min="5" max="16384" width="11.42578125" style="2"/>
  </cols>
  <sheetData>
    <row r="1" spans="1:10" ht="15" customHeight="1" x14ac:dyDescent="0.25">
      <c r="A1" s="1"/>
      <c r="B1" s="518">
        <v>45820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134"/>
      <c r="C4" s="134"/>
      <c r="D4" s="5">
        <f>D22</f>
        <v>8754.3829999999998</v>
      </c>
      <c r="F4" s="58" t="s">
        <v>51</v>
      </c>
      <c r="G4" s="59">
        <v>45817</v>
      </c>
      <c r="H4" s="58">
        <v>7565</v>
      </c>
      <c r="I4" s="58">
        <v>6429.3810000000012</v>
      </c>
      <c r="J4" s="60">
        <f>+I4/H4</f>
        <v>0.84988512888301404</v>
      </c>
    </row>
    <row r="5" spans="1:10" ht="15" customHeight="1" x14ac:dyDescent="0.25">
      <c r="A5" s="4"/>
      <c r="B5" s="8" t="s">
        <v>6</v>
      </c>
      <c r="C5" s="50">
        <v>4545</v>
      </c>
      <c r="D5" s="46">
        <v>193.86399999999998</v>
      </c>
      <c r="E5" s="80">
        <f>+D5/$D$4</f>
        <v>2.2144793071082219E-2</v>
      </c>
      <c r="F5" s="58" t="s">
        <v>52</v>
      </c>
      <c r="G5" s="59">
        <v>45818</v>
      </c>
      <c r="H5" s="58">
        <v>8240</v>
      </c>
      <c r="I5" s="58">
        <v>8958.08</v>
      </c>
      <c r="J5" s="60">
        <f t="shared" ref="J5:J11" si="0">+I5/H5</f>
        <v>1.0871456310679612</v>
      </c>
    </row>
    <row r="6" spans="1:10" ht="15" customHeight="1" x14ac:dyDescent="0.25">
      <c r="A6" s="4"/>
      <c r="B6" s="9" t="s">
        <v>10</v>
      </c>
      <c r="C6" s="51">
        <v>20250</v>
      </c>
      <c r="D6" s="47">
        <v>863.48400000000004</v>
      </c>
      <c r="E6" s="80">
        <f t="shared" ref="E6:E20" si="1">+D6/$D$4</f>
        <v>9.8634478295043751E-2</v>
      </c>
      <c r="F6" s="58" t="s">
        <v>53</v>
      </c>
      <c r="G6" s="59">
        <v>45819</v>
      </c>
      <c r="H6" s="58">
        <v>7539</v>
      </c>
      <c r="I6" s="58">
        <v>8950.2079999999987</v>
      </c>
      <c r="J6" s="60">
        <f t="shared" si="0"/>
        <v>1.1871876906751557</v>
      </c>
    </row>
    <row r="7" spans="1:10" ht="15" customHeight="1" x14ac:dyDescent="0.25">
      <c r="A7" s="4"/>
      <c r="B7" s="9" t="s">
        <v>35</v>
      </c>
      <c r="C7" s="51">
        <v>17753</v>
      </c>
      <c r="D7" s="47">
        <v>757.154</v>
      </c>
      <c r="E7" s="133">
        <f t="shared" si="1"/>
        <v>8.6488562357849783E-2</v>
      </c>
      <c r="F7" s="58" t="s">
        <v>54</v>
      </c>
      <c r="G7" s="59">
        <v>45820</v>
      </c>
      <c r="H7" s="58">
        <v>8593</v>
      </c>
      <c r="I7" s="58">
        <v>8754.3829999999998</v>
      </c>
      <c r="J7" s="60">
        <f t="shared" si="0"/>
        <v>1.0187807517747003</v>
      </c>
    </row>
    <row r="8" spans="1:10" ht="15" customHeight="1" x14ac:dyDescent="0.25">
      <c r="A8" s="4"/>
      <c r="B8" s="9" t="s">
        <v>4</v>
      </c>
      <c r="C8" s="51">
        <v>3290</v>
      </c>
      <c r="D8" s="47">
        <v>140.02000000000001</v>
      </c>
      <c r="E8" s="80">
        <f t="shared" si="1"/>
        <v>1.5994273953972543E-2</v>
      </c>
      <c r="F8" s="58" t="s">
        <v>55</v>
      </c>
      <c r="G8" s="59">
        <v>45821</v>
      </c>
      <c r="H8" s="58">
        <v>7777</v>
      </c>
      <c r="I8" s="58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v>41300</v>
      </c>
      <c r="D9" s="47">
        <v>1760.402</v>
      </c>
      <c r="E9" s="133">
        <f t="shared" si="1"/>
        <v>0.20108807211199237</v>
      </c>
      <c r="F9" s="58" t="s">
        <v>56</v>
      </c>
      <c r="G9" s="59">
        <v>45822</v>
      </c>
      <c r="H9" s="58">
        <v>6874</v>
      </c>
      <c r="I9" s="58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54394</v>
      </c>
      <c r="D10" s="47">
        <v>2317.6909999999993</v>
      </c>
      <c r="E10" s="133">
        <f t="shared" si="1"/>
        <v>0.26474635619666165</v>
      </c>
      <c r="F10" s="58" t="s">
        <v>57</v>
      </c>
      <c r="G10" s="59">
        <v>45823</v>
      </c>
      <c r="H10" s="58">
        <v>3829</v>
      </c>
      <c r="I10" s="58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10770</v>
      </c>
      <c r="D11" s="47">
        <v>458.69800000000009</v>
      </c>
      <c r="E11" s="80">
        <f t="shared" si="1"/>
        <v>5.2396382474927145E-2</v>
      </c>
      <c r="H11" s="58">
        <f>+SUM(H4:H6)</f>
        <v>23344</v>
      </c>
      <c r="I11" s="58">
        <f>+SUM(I4:I10)</f>
        <v>33092.052000000003</v>
      </c>
      <c r="J11" s="60">
        <f t="shared" si="0"/>
        <v>1.4175827621658672</v>
      </c>
    </row>
    <row r="12" spans="1:10" ht="15" customHeight="1" x14ac:dyDescent="0.25">
      <c r="A12" s="4"/>
      <c r="B12" s="9" t="s">
        <v>44</v>
      </c>
      <c r="C12" s="51">
        <v>22</v>
      </c>
      <c r="D12" s="47">
        <v>33.299999999999997</v>
      </c>
      <c r="E12" s="80">
        <f t="shared" si="1"/>
        <v>3.8038089034943979E-3</v>
      </c>
    </row>
    <row r="13" spans="1:10" ht="15" customHeight="1" x14ac:dyDescent="0.25">
      <c r="A13" s="4"/>
      <c r="B13" s="9" t="s">
        <v>39</v>
      </c>
      <c r="C13" s="51">
        <v>360</v>
      </c>
      <c r="D13" s="47">
        <v>544.4799999999999</v>
      </c>
      <c r="E13" s="80">
        <f t="shared" si="1"/>
        <v>6.2195131284523412E-2</v>
      </c>
      <c r="G13" s="112"/>
      <c r="H13" s="113">
        <v>2024</v>
      </c>
      <c r="I13" s="113">
        <v>2025</v>
      </c>
    </row>
    <row r="14" spans="1:10" ht="15" customHeight="1" x14ac:dyDescent="0.25">
      <c r="A14" s="4"/>
      <c r="B14" s="9" t="s">
        <v>43</v>
      </c>
      <c r="C14" s="51">
        <v>294</v>
      </c>
      <c r="D14" s="47">
        <v>444.58</v>
      </c>
      <c r="E14" s="80">
        <f t="shared" si="1"/>
        <v>5.0783704574040224E-2</v>
      </c>
      <c r="F14" s="66"/>
      <c r="G14" s="112" t="s">
        <v>108</v>
      </c>
      <c r="H14" s="119">
        <v>204007.80300000001</v>
      </c>
      <c r="I14" s="119">
        <v>190629.128</v>
      </c>
      <c r="J14" s="93">
        <f t="shared" ref="J14:J19" si="2">+I14/H14</f>
        <v>0.93442076820953746</v>
      </c>
    </row>
    <row r="15" spans="1:10" ht="15" customHeight="1" x14ac:dyDescent="0.25">
      <c r="A15" s="4"/>
      <c r="B15" s="9" t="s">
        <v>49</v>
      </c>
      <c r="C15" s="51">
        <v>61</v>
      </c>
      <c r="D15" s="47">
        <v>91.8</v>
      </c>
      <c r="E15" s="80">
        <f t="shared" si="1"/>
        <v>1.0486175896119693E-2</v>
      </c>
      <c r="G15" s="112" t="s">
        <v>109</v>
      </c>
      <c r="H15" s="119">
        <v>186305.94399999996</v>
      </c>
      <c r="I15" s="119">
        <v>182874.285</v>
      </c>
      <c r="J15" s="93">
        <f t="shared" si="2"/>
        <v>0.9815805179033904</v>
      </c>
    </row>
    <row r="16" spans="1:10" ht="15" customHeight="1" x14ac:dyDescent="0.25">
      <c r="A16" s="4"/>
      <c r="B16" s="9" t="s">
        <v>45</v>
      </c>
      <c r="C16" s="51">
        <v>24</v>
      </c>
      <c r="D16" s="47">
        <v>36.03</v>
      </c>
      <c r="E16" s="80">
        <f t="shared" si="1"/>
        <v>4.1156526964835792E-3</v>
      </c>
      <c r="G16" s="112" t="s">
        <v>110</v>
      </c>
      <c r="H16" s="119">
        <v>199570.19199999989</v>
      </c>
      <c r="I16" s="119">
        <v>197224.22099999999</v>
      </c>
      <c r="J16" s="93">
        <f t="shared" si="2"/>
        <v>0.98824488278289624</v>
      </c>
    </row>
    <row r="17" spans="1:10" ht="15" customHeight="1" x14ac:dyDescent="0.25">
      <c r="A17" s="4"/>
      <c r="B17" s="9" t="s">
        <v>41</v>
      </c>
      <c r="C17" s="51">
        <v>254</v>
      </c>
      <c r="D17" s="47">
        <v>381.90000000000003</v>
      </c>
      <c r="E17" s="80">
        <f t="shared" si="1"/>
        <v>4.3623862469805132E-2</v>
      </c>
      <c r="G17" s="112" t="s">
        <v>111</v>
      </c>
      <c r="H17" s="119">
        <v>205343.72800000012</v>
      </c>
      <c r="I17" s="119">
        <v>198970.75799999986</v>
      </c>
      <c r="J17" s="93">
        <f t="shared" si="2"/>
        <v>0.96896437956945902</v>
      </c>
    </row>
    <row r="18" spans="1:10" ht="15" customHeight="1" x14ac:dyDescent="0.25">
      <c r="A18" s="4"/>
      <c r="B18" s="9" t="s">
        <v>88</v>
      </c>
      <c r="C18" s="51">
        <v>20</v>
      </c>
      <c r="D18" s="47">
        <v>30.27</v>
      </c>
      <c r="E18" s="80">
        <f t="shared" si="1"/>
        <v>3.4576965618250883E-3</v>
      </c>
      <c r="G18" s="112" t="s">
        <v>102</v>
      </c>
      <c r="H18" s="119">
        <v>209473.77399999995</v>
      </c>
      <c r="I18" s="119">
        <v>212393.17300000001</v>
      </c>
      <c r="J18" s="93">
        <f t="shared" si="2"/>
        <v>1.0139368234230604</v>
      </c>
    </row>
    <row r="19" spans="1:10" ht="15" customHeight="1" x14ac:dyDescent="0.25">
      <c r="A19" s="4"/>
      <c r="B19" s="9" t="s">
        <v>40</v>
      </c>
      <c r="C19" s="51"/>
      <c r="D19" s="47">
        <v>516.79</v>
      </c>
      <c r="E19" s="80">
        <f t="shared" si="1"/>
        <v>5.9032144241347444E-2</v>
      </c>
      <c r="G19" s="3"/>
      <c r="H19" s="68">
        <f>+SUM(H14:H18)</f>
        <v>1004701.441</v>
      </c>
      <c r="I19" s="68">
        <f>+SUM(I14:I18)</f>
        <v>982091.56499999971</v>
      </c>
      <c r="J19" s="93">
        <f t="shared" si="2"/>
        <v>0.97749592557815368</v>
      </c>
    </row>
    <row r="20" spans="1:10" ht="15" customHeight="1" x14ac:dyDescent="0.25">
      <c r="A20" s="4"/>
      <c r="B20" s="9" t="s">
        <v>9</v>
      </c>
      <c r="C20" s="51"/>
      <c r="D20" s="47">
        <v>92.45</v>
      </c>
      <c r="E20" s="80">
        <f t="shared" si="1"/>
        <v>1.0560424418259974E-2</v>
      </c>
      <c r="G20" s="3"/>
      <c r="I20" s="68">
        <f>+I19-H19</f>
        <v>-22609.87600000028</v>
      </c>
    </row>
    <row r="21" spans="1:10" ht="15" customHeight="1" thickBot="1" x14ac:dyDescent="0.3">
      <c r="A21" s="4"/>
      <c r="B21" s="9" t="s">
        <v>46</v>
      </c>
      <c r="C21" s="51"/>
      <c r="D21" s="47">
        <v>91.47</v>
      </c>
    </row>
    <row r="22" spans="1:10" ht="15" customHeight="1" thickBot="1" x14ac:dyDescent="0.3">
      <c r="B22" s="52" t="s">
        <v>0</v>
      </c>
      <c r="C22" s="44"/>
      <c r="D22" s="45">
        <f>SUM(D5:D21)</f>
        <v>8754.3829999999998</v>
      </c>
      <c r="E22" s="98"/>
    </row>
    <row r="23" spans="1:10" ht="15" customHeight="1" x14ac:dyDescent="0.25">
      <c r="B23" s="6" t="s">
        <v>1</v>
      </c>
      <c r="C23" s="7"/>
      <c r="D23" s="48">
        <v>84862.700000000026</v>
      </c>
      <c r="E23" s="98">
        <f>+D23/E2</f>
        <v>0.41479397820030317</v>
      </c>
    </row>
    <row r="24" spans="1:10" x14ac:dyDescent="0.25">
      <c r="D24" s="97">
        <f>+(E2/30)*12</f>
        <v>81836</v>
      </c>
      <c r="E24" s="98">
        <f>+D24/E2</f>
        <v>0.4</v>
      </c>
    </row>
    <row r="25" spans="1:10" x14ac:dyDescent="0.25">
      <c r="D25" s="136">
        <f>+D23-D24</f>
        <v>3026.7000000000262</v>
      </c>
      <c r="E25" s="99">
        <f>+E23-E24</f>
        <v>1.4793978200303148E-2</v>
      </c>
    </row>
    <row r="26" spans="1:10" x14ac:dyDescent="0.25">
      <c r="G26" s="3"/>
    </row>
    <row r="27" spans="1:10" ht="15" customHeight="1" x14ac:dyDescent="0.25">
      <c r="B27" s="66" t="s">
        <v>60</v>
      </c>
      <c r="D27" s="109" t="s">
        <v>105</v>
      </c>
      <c r="E27" s="109" t="s">
        <v>80</v>
      </c>
      <c r="G27" s="3"/>
      <c r="I27" s="2" t="s">
        <v>92</v>
      </c>
    </row>
    <row r="28" spans="1:10" x14ac:dyDescent="0.25">
      <c r="B28" s="2" t="s">
        <v>61</v>
      </c>
      <c r="C28" s="2">
        <v>1346</v>
      </c>
      <c r="D28" s="108">
        <v>2142</v>
      </c>
      <c r="E28" s="57">
        <f>+C28/D28</f>
        <v>0.62838468720821661</v>
      </c>
      <c r="G28" s="86" t="s">
        <v>86</v>
      </c>
      <c r="H28" s="87">
        <v>12214</v>
      </c>
      <c r="I28" s="88">
        <v>305.35000000000002</v>
      </c>
    </row>
    <row r="29" spans="1:10" x14ac:dyDescent="0.25">
      <c r="B29" s="2" t="s">
        <v>62</v>
      </c>
      <c r="C29" s="2">
        <v>1346</v>
      </c>
      <c r="D29" s="108">
        <v>1890</v>
      </c>
      <c r="E29" s="57">
        <f>+C29/D29</f>
        <v>0.71216931216931212</v>
      </c>
      <c r="G29" s="86" t="s">
        <v>104</v>
      </c>
      <c r="H29" s="87">
        <v>1086</v>
      </c>
      <c r="I29" s="88">
        <v>27.150000000000002</v>
      </c>
    </row>
    <row r="30" spans="1:10" x14ac:dyDescent="0.25">
      <c r="B30" s="2" t="s">
        <v>63</v>
      </c>
      <c r="C30" s="67">
        <v>692</v>
      </c>
      <c r="D30" s="108">
        <v>3006</v>
      </c>
      <c r="E30" s="57">
        <f>+C30/D30</f>
        <v>0.23020625415834997</v>
      </c>
      <c r="G30" s="89" t="s">
        <v>87</v>
      </c>
      <c r="H30" s="87">
        <v>89</v>
      </c>
      <c r="I30" s="88">
        <v>133.5</v>
      </c>
    </row>
    <row r="31" spans="1:10" x14ac:dyDescent="0.25">
      <c r="C31" s="2">
        <f>+SUM(C28:C30)</f>
        <v>3384</v>
      </c>
      <c r="D31" s="110">
        <f>+SUM(D28:D30)</f>
        <v>7038</v>
      </c>
      <c r="E31" s="57">
        <f>+C31/D31</f>
        <v>0.48081841432225064</v>
      </c>
      <c r="G31" s="89" t="s">
        <v>91</v>
      </c>
      <c r="H31" s="87">
        <v>4</v>
      </c>
      <c r="I31" s="88">
        <v>6</v>
      </c>
    </row>
    <row r="32" spans="1:10" x14ac:dyDescent="0.25">
      <c r="G32" s="89" t="s">
        <v>112</v>
      </c>
      <c r="H32" s="87">
        <v>103</v>
      </c>
      <c r="I32" s="88">
        <v>154.5</v>
      </c>
    </row>
    <row r="33" spans="1:10" x14ac:dyDescent="0.25">
      <c r="B33" s="2" t="s">
        <v>66</v>
      </c>
      <c r="D33" s="2"/>
      <c r="G33" s="89" t="s">
        <v>96</v>
      </c>
      <c r="H33" s="87">
        <v>23</v>
      </c>
      <c r="I33" s="88">
        <v>34.5</v>
      </c>
    </row>
    <row r="34" spans="1:10" ht="15" customHeight="1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73</v>
      </c>
      <c r="I34" s="88">
        <v>193.5</v>
      </c>
      <c r="J34" s="129" t="s">
        <v>113</v>
      </c>
    </row>
    <row r="35" spans="1:10" ht="15" customHeight="1" x14ac:dyDescent="0.25">
      <c r="B35" s="73">
        <v>30</v>
      </c>
      <c r="C35" s="74">
        <v>3</v>
      </c>
      <c r="D35" s="74">
        <v>23</v>
      </c>
      <c r="E35" s="75">
        <f>+SUM(B35:D35)</f>
        <v>56</v>
      </c>
    </row>
    <row r="36" spans="1:10" x14ac:dyDescent="0.25">
      <c r="E36" s="66" t="s">
        <v>76</v>
      </c>
    </row>
    <row r="37" spans="1:10" x14ac:dyDescent="0.25">
      <c r="D37" s="2"/>
      <c r="F37" s="71" t="s">
        <v>90</v>
      </c>
      <c r="G37" s="71" t="s">
        <v>97</v>
      </c>
    </row>
    <row r="38" spans="1:10" x14ac:dyDescent="0.25">
      <c r="A38" s="2" t="s">
        <v>70</v>
      </c>
      <c r="B38" s="2">
        <v>0</v>
      </c>
      <c r="C38" s="2">
        <v>2243</v>
      </c>
      <c r="D38" s="68">
        <v>2400</v>
      </c>
      <c r="E38" s="57">
        <f t="shared" ref="E38:E43" si="3">+C38/D38</f>
        <v>0.93458333333333332</v>
      </c>
      <c r="F38" s="71">
        <v>7</v>
      </c>
      <c r="G38" s="71"/>
    </row>
    <row r="39" spans="1:10" x14ac:dyDescent="0.25">
      <c r="A39" s="2" t="s">
        <v>71</v>
      </c>
      <c r="B39" s="2">
        <v>10.09</v>
      </c>
      <c r="C39" s="2">
        <v>2291</v>
      </c>
      <c r="D39" s="68">
        <v>3600</v>
      </c>
      <c r="E39" s="57">
        <f t="shared" si="3"/>
        <v>0.63638888888888889</v>
      </c>
      <c r="F39" s="71">
        <v>12</v>
      </c>
      <c r="G39" s="71"/>
    </row>
    <row r="40" spans="1:10" x14ac:dyDescent="0.25">
      <c r="A40" s="2" t="s">
        <v>72</v>
      </c>
      <c r="B40" s="2">
        <v>8.7899999999999991</v>
      </c>
      <c r="C40" s="2">
        <v>3261</v>
      </c>
      <c r="D40" s="68">
        <v>3600</v>
      </c>
      <c r="E40" s="57">
        <f t="shared" si="3"/>
        <v>0.90583333333333338</v>
      </c>
      <c r="F40" s="71">
        <v>12</v>
      </c>
      <c r="G40" s="71"/>
    </row>
    <row r="41" spans="1:10" x14ac:dyDescent="0.25">
      <c r="A41" s="2" t="s">
        <v>73</v>
      </c>
      <c r="B41" s="2">
        <v>15.19</v>
      </c>
      <c r="C41" s="2">
        <v>2799</v>
      </c>
      <c r="D41" s="68">
        <v>3900</v>
      </c>
      <c r="E41" s="57">
        <f t="shared" si="3"/>
        <v>0.71769230769230774</v>
      </c>
      <c r="F41" s="71">
        <v>11</v>
      </c>
      <c r="G41" s="71"/>
    </row>
    <row r="42" spans="1:10" x14ac:dyDescent="0.25">
      <c r="A42" s="2" t="s">
        <v>74</v>
      </c>
      <c r="B42" s="2">
        <v>14.66</v>
      </c>
      <c r="C42" s="2">
        <v>2940</v>
      </c>
      <c r="D42" s="68">
        <v>3900</v>
      </c>
      <c r="E42" s="57">
        <f t="shared" si="3"/>
        <v>0.75384615384615383</v>
      </c>
      <c r="F42" s="71">
        <v>12</v>
      </c>
      <c r="G42" s="71"/>
    </row>
    <row r="43" spans="1:10" x14ac:dyDescent="0.25">
      <c r="A43" s="2" t="s">
        <v>75</v>
      </c>
      <c r="B43" s="123">
        <v>3</v>
      </c>
      <c r="C43" s="124">
        <f>8772/B43</f>
        <v>2924</v>
      </c>
      <c r="D43" s="128">
        <v>4300</v>
      </c>
      <c r="E43" s="126">
        <f t="shared" si="3"/>
        <v>0.68</v>
      </c>
      <c r="F43" s="71">
        <v>16</v>
      </c>
    </row>
    <row r="44" spans="1:10" x14ac:dyDescent="0.25">
      <c r="C44" s="71" t="s">
        <v>83</v>
      </c>
      <c r="D44" s="72" t="s">
        <v>79</v>
      </c>
    </row>
    <row r="45" spans="1:10" x14ac:dyDescent="0.25">
      <c r="B45" s="2" t="s">
        <v>78</v>
      </c>
      <c r="C45" s="71">
        <v>4</v>
      </c>
      <c r="D45" s="72"/>
    </row>
    <row r="46" spans="1:10" x14ac:dyDescent="0.25">
      <c r="C46" s="71">
        <v>5</v>
      </c>
      <c r="D46" s="108">
        <v>9</v>
      </c>
    </row>
    <row r="47" spans="1:10" x14ac:dyDescent="0.25">
      <c r="C47" s="71">
        <v>6</v>
      </c>
      <c r="D47" s="108">
        <v>10</v>
      </c>
    </row>
    <row r="48" spans="1:10" x14ac:dyDescent="0.25">
      <c r="C48" s="71">
        <v>8</v>
      </c>
    </row>
  </sheetData>
  <mergeCells count="2">
    <mergeCell ref="B1:D1"/>
    <mergeCell ref="B3:D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opLeftCell="A30" workbookViewId="0">
      <selection activeCell="A27" sqref="A27:XFD51"/>
    </sheetView>
  </sheetViews>
  <sheetFormatPr baseColWidth="10" defaultColWidth="11.42578125" defaultRowHeight="15.75" x14ac:dyDescent="0.25"/>
  <cols>
    <col min="1" max="1" width="2.42578125" style="2" customWidth="1"/>
    <col min="2" max="2" width="50" style="2" bestFit="1" customWidth="1"/>
    <col min="3" max="3" width="15.28515625" style="2" customWidth="1"/>
    <col min="4" max="4" width="15.28515625" style="3" customWidth="1"/>
    <col min="5" max="5" width="22.42578125" style="2" customWidth="1"/>
    <col min="6" max="6" width="10.42578125" style="2" customWidth="1"/>
    <col min="7" max="7" width="11.42578125" style="2"/>
    <col min="8" max="8" width="9.5703125" style="2" customWidth="1"/>
    <col min="9" max="9" width="9" style="2" customWidth="1"/>
    <col min="10" max="10" width="6.42578125" style="2" customWidth="1"/>
    <col min="11" max="16384" width="11.42578125" style="2"/>
  </cols>
  <sheetData>
    <row r="1" spans="1:11" ht="15" customHeight="1" x14ac:dyDescent="0.25">
      <c r="A1" s="1"/>
      <c r="B1" s="518">
        <v>45823</v>
      </c>
      <c r="C1" s="518"/>
      <c r="D1" s="518"/>
      <c r="E1" s="61" t="s">
        <v>101</v>
      </c>
    </row>
    <row r="2" spans="1:11" x14ac:dyDescent="0.25">
      <c r="E2" s="62">
        <v>204590</v>
      </c>
    </row>
    <row r="3" spans="1:11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1" ht="19.5" customHeight="1" thickBot="1" x14ac:dyDescent="0.4">
      <c r="A4" s="4"/>
      <c r="B4" s="135"/>
      <c r="C4" s="135"/>
      <c r="D4" s="5">
        <f>D25</f>
        <v>3605.7670000000003</v>
      </c>
      <c r="F4" s="58" t="s">
        <v>51</v>
      </c>
      <c r="G4" s="59">
        <v>45817</v>
      </c>
      <c r="H4" s="58">
        <v>7565</v>
      </c>
      <c r="I4" s="141">
        <v>6429.3810000000012</v>
      </c>
      <c r="J4" s="60">
        <f>+I4/H4</f>
        <v>0.84988512888301404</v>
      </c>
    </row>
    <row r="5" spans="1:11" ht="15" customHeight="1" x14ac:dyDescent="0.25">
      <c r="A5" s="4"/>
      <c r="B5" s="8" t="s">
        <v>6</v>
      </c>
      <c r="C5" s="50"/>
      <c r="D5" s="46"/>
      <c r="E5" s="80">
        <f>+D5/$D$4</f>
        <v>0</v>
      </c>
      <c r="F5" s="58" t="s">
        <v>52</v>
      </c>
      <c r="G5" s="59">
        <v>45818</v>
      </c>
      <c r="H5" s="58">
        <v>8240</v>
      </c>
      <c r="I5" s="141">
        <v>8958.08</v>
      </c>
      <c r="J5" s="60">
        <f t="shared" ref="J5:J11" si="0">+I5/H5</f>
        <v>1.0871456310679612</v>
      </c>
    </row>
    <row r="6" spans="1:11" ht="15" customHeight="1" x14ac:dyDescent="0.25">
      <c r="A6" s="4"/>
      <c r="B6" s="9" t="s">
        <v>10</v>
      </c>
      <c r="C6" s="51">
        <v>9210</v>
      </c>
      <c r="D6" s="47">
        <v>393.178</v>
      </c>
      <c r="E6" s="80">
        <f t="shared" ref="E6:E24" si="1">+D6/$D$4</f>
        <v>0.10904143279363308</v>
      </c>
      <c r="F6" s="58" t="s">
        <v>53</v>
      </c>
      <c r="G6" s="59">
        <v>45819</v>
      </c>
      <c r="H6" s="58">
        <v>7539</v>
      </c>
      <c r="I6" s="141">
        <v>8950.2079999999987</v>
      </c>
      <c r="J6" s="60">
        <f t="shared" si="0"/>
        <v>1.1871876906751557</v>
      </c>
    </row>
    <row r="7" spans="1:11" ht="15" customHeight="1" x14ac:dyDescent="0.25">
      <c r="A7" s="4"/>
      <c r="B7" s="9" t="s">
        <v>35</v>
      </c>
      <c r="C7" s="51">
        <v>7895</v>
      </c>
      <c r="D7" s="47">
        <v>336.24</v>
      </c>
      <c r="E7" s="80">
        <f t="shared" si="1"/>
        <v>9.3250617691048809E-2</v>
      </c>
      <c r="F7" s="58" t="s">
        <v>54</v>
      </c>
      <c r="G7" s="59">
        <v>45820</v>
      </c>
      <c r="H7" s="58">
        <v>8593</v>
      </c>
      <c r="I7" s="141">
        <v>8754.3829999999998</v>
      </c>
      <c r="J7" s="60">
        <f t="shared" si="0"/>
        <v>1.0187807517747003</v>
      </c>
    </row>
    <row r="8" spans="1:11" ht="15" customHeight="1" x14ac:dyDescent="0.25">
      <c r="A8" s="4"/>
      <c r="B8" s="9" t="s">
        <v>4</v>
      </c>
      <c r="C8" s="51">
        <v>4590</v>
      </c>
      <c r="D8" s="47">
        <v>195.78</v>
      </c>
      <c r="E8" s="80">
        <f t="shared" si="1"/>
        <v>5.4296353591344083E-2</v>
      </c>
      <c r="F8" s="58" t="s">
        <v>55</v>
      </c>
      <c r="G8" s="59">
        <v>45821</v>
      </c>
      <c r="H8" s="58">
        <v>7777</v>
      </c>
      <c r="I8" s="141">
        <v>8754.3799999999992</v>
      </c>
      <c r="J8" s="60">
        <f t="shared" si="0"/>
        <v>1.1256757104281856</v>
      </c>
    </row>
    <row r="9" spans="1:11" ht="15" customHeight="1" x14ac:dyDescent="0.25">
      <c r="A9" s="4"/>
      <c r="B9" s="9" t="s">
        <v>37</v>
      </c>
      <c r="C9" s="51">
        <v>14880</v>
      </c>
      <c r="D9" s="47">
        <v>634.12800000000004</v>
      </c>
      <c r="E9" s="80">
        <f t="shared" si="1"/>
        <v>0.1758649408017767</v>
      </c>
      <c r="F9" s="58" t="s">
        <v>56</v>
      </c>
      <c r="G9" s="59">
        <v>45822</v>
      </c>
      <c r="H9" s="58">
        <v>6874</v>
      </c>
      <c r="I9" s="141">
        <v>6175.77</v>
      </c>
      <c r="J9" s="60">
        <f t="shared" si="0"/>
        <v>0.89842449810881586</v>
      </c>
    </row>
    <row r="10" spans="1:11" ht="15" customHeight="1" x14ac:dyDescent="0.25">
      <c r="A10" s="4"/>
      <c r="B10" s="9" t="s">
        <v>38</v>
      </c>
      <c r="C10" s="51">
        <v>15717</v>
      </c>
      <c r="D10" s="47">
        <v>670.572</v>
      </c>
      <c r="E10" s="80">
        <f t="shared" si="1"/>
        <v>0.1859720830547287</v>
      </c>
      <c r="F10" s="58" t="s">
        <v>57</v>
      </c>
      <c r="G10" s="59">
        <v>45823</v>
      </c>
      <c r="H10" s="58">
        <v>3829</v>
      </c>
      <c r="I10" s="141">
        <v>3605.7670000000003</v>
      </c>
      <c r="J10" s="60">
        <f t="shared" si="0"/>
        <v>0.94169939932097158</v>
      </c>
    </row>
    <row r="11" spans="1:11" ht="15" customHeight="1" x14ac:dyDescent="0.25">
      <c r="A11" s="4"/>
      <c r="B11" s="9" t="s">
        <v>42</v>
      </c>
      <c r="C11" s="51">
        <v>5530</v>
      </c>
      <c r="D11" s="47">
        <v>236.21199999999999</v>
      </c>
      <c r="E11" s="80">
        <f t="shared" si="1"/>
        <v>6.5509501861878483E-2</v>
      </c>
      <c r="H11" s="139">
        <f>+SUM(H4:H10)</f>
        <v>50417</v>
      </c>
      <c r="I11" s="142">
        <f>+SUM(I4:I10)</f>
        <v>51627.969000000005</v>
      </c>
      <c r="J11" s="140">
        <f t="shared" si="0"/>
        <v>1.0240190610310016</v>
      </c>
      <c r="K11" s="97">
        <f>+I11-H11</f>
        <v>1210.9690000000046</v>
      </c>
    </row>
    <row r="12" spans="1:11" ht="15" customHeight="1" x14ac:dyDescent="0.25">
      <c r="A12" s="4"/>
      <c r="B12" s="9" t="s">
        <v>47</v>
      </c>
      <c r="C12" s="51">
        <v>2548</v>
      </c>
      <c r="D12" s="47">
        <v>64.317999999999998</v>
      </c>
      <c r="E12" s="80">
        <f t="shared" si="1"/>
        <v>1.7837536368822498E-2</v>
      </c>
    </row>
    <row r="13" spans="1:11" ht="15" customHeight="1" x14ac:dyDescent="0.25">
      <c r="A13" s="4"/>
      <c r="B13" s="9" t="s">
        <v>119</v>
      </c>
      <c r="C13" s="51"/>
      <c r="D13" s="47"/>
      <c r="E13" s="80">
        <f t="shared" si="1"/>
        <v>0</v>
      </c>
      <c r="G13" s="112"/>
      <c r="H13" s="113">
        <v>2024</v>
      </c>
      <c r="I13" s="113">
        <v>2025</v>
      </c>
    </row>
    <row r="14" spans="1:11" ht="15" customHeight="1" x14ac:dyDescent="0.25">
      <c r="A14" s="4"/>
      <c r="B14" s="9" t="s">
        <v>44</v>
      </c>
      <c r="C14" s="51"/>
      <c r="D14" s="47"/>
      <c r="E14" s="80">
        <f t="shared" si="1"/>
        <v>0</v>
      </c>
      <c r="F14" s="66"/>
      <c r="G14" s="112" t="s">
        <v>108</v>
      </c>
      <c r="H14" s="119">
        <v>204007.80300000001</v>
      </c>
      <c r="I14" s="119">
        <v>190629.128</v>
      </c>
      <c r="J14" s="93">
        <f t="shared" ref="J14:J19" si="2">+I14/H14</f>
        <v>0.93442076820953746</v>
      </c>
    </row>
    <row r="15" spans="1:11" ht="15" customHeight="1" x14ac:dyDescent="0.25">
      <c r="A15" s="4"/>
      <c r="B15" s="9" t="s">
        <v>39</v>
      </c>
      <c r="C15" s="51">
        <v>87</v>
      </c>
      <c r="D15" s="47">
        <v>131.58000000000001</v>
      </c>
      <c r="E15" s="80">
        <f t="shared" si="1"/>
        <v>3.6491542576101009E-2</v>
      </c>
      <c r="G15" s="112" t="s">
        <v>109</v>
      </c>
      <c r="H15" s="119">
        <v>186305.94399999996</v>
      </c>
      <c r="I15" s="119">
        <v>182874.285</v>
      </c>
      <c r="J15" s="93">
        <f t="shared" si="2"/>
        <v>0.9815805179033904</v>
      </c>
    </row>
    <row r="16" spans="1:11" ht="15" customHeight="1" x14ac:dyDescent="0.25">
      <c r="A16" s="4"/>
      <c r="B16" s="9" t="s">
        <v>43</v>
      </c>
      <c r="C16" s="51">
        <v>23</v>
      </c>
      <c r="D16" s="47">
        <v>34.67</v>
      </c>
      <c r="E16" s="80">
        <f t="shared" si="1"/>
        <v>9.6151526152410838E-3</v>
      </c>
      <c r="G16" s="112" t="s">
        <v>110</v>
      </c>
      <c r="H16" s="119">
        <v>199570.19199999989</v>
      </c>
      <c r="I16" s="119">
        <v>197224.22099999999</v>
      </c>
      <c r="J16" s="93">
        <f t="shared" si="2"/>
        <v>0.98824488278289624</v>
      </c>
    </row>
    <row r="17" spans="1:10" ht="15" customHeight="1" x14ac:dyDescent="0.25">
      <c r="A17" s="4"/>
      <c r="B17" s="9" t="s">
        <v>49</v>
      </c>
      <c r="C17" s="51">
        <v>22</v>
      </c>
      <c r="D17" s="47">
        <v>33.130000000000003</v>
      </c>
      <c r="E17" s="80">
        <f t="shared" si="1"/>
        <v>9.1880590176791795E-3</v>
      </c>
      <c r="G17" s="112" t="s">
        <v>111</v>
      </c>
      <c r="H17" s="119">
        <v>205343.72800000012</v>
      </c>
      <c r="I17" s="119">
        <v>198970.75799999986</v>
      </c>
      <c r="J17" s="93">
        <f t="shared" si="2"/>
        <v>0.96896437956945902</v>
      </c>
    </row>
    <row r="18" spans="1:10" ht="15" customHeight="1" x14ac:dyDescent="0.25">
      <c r="A18" s="4"/>
      <c r="B18" s="9" t="s">
        <v>84</v>
      </c>
      <c r="C18" s="51">
        <v>42</v>
      </c>
      <c r="D18" s="47">
        <v>63.4</v>
      </c>
      <c r="E18" s="80">
        <f t="shared" si="1"/>
        <v>1.7582944211314816E-2</v>
      </c>
      <c r="G18" s="112" t="s">
        <v>102</v>
      </c>
      <c r="H18" s="119">
        <v>209473.77399999995</v>
      </c>
      <c r="I18" s="119">
        <v>212393.17300000001</v>
      </c>
      <c r="J18" s="93">
        <f t="shared" si="2"/>
        <v>1.0139368234230604</v>
      </c>
    </row>
    <row r="19" spans="1:10" ht="15" customHeight="1" x14ac:dyDescent="0.25">
      <c r="A19" s="4"/>
      <c r="B19" s="9" t="s">
        <v>45</v>
      </c>
      <c r="C19" s="51">
        <v>3</v>
      </c>
      <c r="D19" s="47">
        <v>4.5209999999999999</v>
      </c>
      <c r="E19" s="80">
        <f t="shared" si="1"/>
        <v>1.2538247756995944E-3</v>
      </c>
      <c r="G19" s="3"/>
      <c r="H19" s="68">
        <f>+SUM(H14:H18)</f>
        <v>1004701.441</v>
      </c>
      <c r="I19" s="68">
        <f>+SUM(I14:I18)</f>
        <v>982091.56499999971</v>
      </c>
      <c r="J19" s="93">
        <f t="shared" si="2"/>
        <v>0.97749592557815368</v>
      </c>
    </row>
    <row r="20" spans="1:10" ht="15" customHeight="1" x14ac:dyDescent="0.25">
      <c r="A20" s="4"/>
      <c r="B20" s="9" t="s">
        <v>41</v>
      </c>
      <c r="C20" s="51">
        <v>141</v>
      </c>
      <c r="D20" s="47">
        <v>212.77799999999999</v>
      </c>
      <c r="E20" s="80">
        <f t="shared" si="1"/>
        <v>5.9010468507809846E-2</v>
      </c>
      <c r="G20" s="3"/>
      <c r="I20" s="68">
        <f>+I19-H19</f>
        <v>-22609.87600000028</v>
      </c>
    </row>
    <row r="21" spans="1:10" ht="15" customHeight="1" x14ac:dyDescent="0.25">
      <c r="A21" s="4"/>
      <c r="B21" s="9" t="s">
        <v>85</v>
      </c>
      <c r="C21" s="51">
        <v>152</v>
      </c>
      <c r="D21" s="47">
        <v>229.33</v>
      </c>
      <c r="E21" s="80">
        <f t="shared" si="1"/>
        <v>6.3600892681085611E-2</v>
      </c>
    </row>
    <row r="22" spans="1:10" ht="15" customHeight="1" x14ac:dyDescent="0.25">
      <c r="A22" s="4"/>
      <c r="B22" s="9" t="s">
        <v>40</v>
      </c>
      <c r="C22" s="51"/>
      <c r="D22" s="47">
        <v>242.25</v>
      </c>
      <c r="E22" s="80">
        <f t="shared" si="1"/>
        <v>6.7184041564527036E-2</v>
      </c>
    </row>
    <row r="23" spans="1:10" ht="15" customHeight="1" x14ac:dyDescent="0.25">
      <c r="A23" s="4"/>
      <c r="B23" s="9" t="s">
        <v>9</v>
      </c>
      <c r="C23" s="51"/>
      <c r="D23" s="47">
        <v>123.68</v>
      </c>
      <c r="E23" s="80">
        <f t="shared" si="1"/>
        <v>3.430060788730941E-2</v>
      </c>
    </row>
    <row r="24" spans="1:10" ht="15" customHeight="1" thickBot="1" x14ac:dyDescent="0.3">
      <c r="A24" s="4"/>
      <c r="B24" s="9" t="s">
        <v>46</v>
      </c>
      <c r="C24" s="51"/>
      <c r="D24" s="47"/>
      <c r="E24" s="80">
        <f t="shared" si="1"/>
        <v>0</v>
      </c>
    </row>
    <row r="25" spans="1:10" ht="15" customHeight="1" thickBot="1" x14ac:dyDescent="0.3">
      <c r="B25" s="52" t="s">
        <v>0</v>
      </c>
      <c r="C25" s="44"/>
      <c r="D25" s="45">
        <f>SUM(D5:D24)</f>
        <v>3605.7670000000003</v>
      </c>
      <c r="E25" s="53"/>
    </row>
    <row r="26" spans="1:10" ht="15" customHeight="1" x14ac:dyDescent="0.25">
      <c r="B26" s="6" t="s">
        <v>1</v>
      </c>
      <c r="C26" s="7"/>
      <c r="D26" s="48">
        <v>103014.296</v>
      </c>
      <c r="E26" s="98">
        <f>+D26/E2</f>
        <v>0.5035157925607312</v>
      </c>
      <c r="F26" s="3"/>
    </row>
    <row r="27" spans="1:10" x14ac:dyDescent="0.25">
      <c r="D27" s="108">
        <f>+(E2/30)*15</f>
        <v>102295</v>
      </c>
      <c r="E27" s="98">
        <f>+D27/E2</f>
        <v>0.5</v>
      </c>
    </row>
    <row r="28" spans="1:10" x14ac:dyDescent="0.25">
      <c r="D28" s="138">
        <f>+D26-D27</f>
        <v>719.2960000000021</v>
      </c>
      <c r="E28" s="99">
        <f>+E26-E27</f>
        <v>3.5157925607312013E-3</v>
      </c>
    </row>
    <row r="29" spans="1:10" x14ac:dyDescent="0.25">
      <c r="G29" s="3"/>
    </row>
    <row r="30" spans="1:10" ht="15" customHeight="1" x14ac:dyDescent="0.25">
      <c r="B30" s="66" t="s">
        <v>60</v>
      </c>
      <c r="D30" s="109" t="s">
        <v>105</v>
      </c>
      <c r="E30" s="109" t="s">
        <v>80</v>
      </c>
      <c r="G30" s="3"/>
      <c r="I30" s="2" t="s">
        <v>92</v>
      </c>
    </row>
    <row r="31" spans="1:10" x14ac:dyDescent="0.25">
      <c r="B31" s="2" t="s">
        <v>61</v>
      </c>
      <c r="C31" s="2">
        <v>2022</v>
      </c>
      <c r="D31" s="108">
        <v>2142</v>
      </c>
      <c r="E31" s="57">
        <f>+C31/D31</f>
        <v>0.94397759103641454</v>
      </c>
      <c r="G31" s="86" t="s">
        <v>86</v>
      </c>
      <c r="H31" s="87">
        <v>12128</v>
      </c>
      <c r="I31" s="88">
        <v>303.2</v>
      </c>
    </row>
    <row r="32" spans="1:10" x14ac:dyDescent="0.25">
      <c r="B32" s="2" t="s">
        <v>62</v>
      </c>
      <c r="C32" s="2">
        <v>1197</v>
      </c>
      <c r="D32" s="108">
        <v>1890</v>
      </c>
      <c r="E32" s="57">
        <f>+C32/D32</f>
        <v>0.6333333333333333</v>
      </c>
      <c r="G32" s="86" t="s">
        <v>104</v>
      </c>
      <c r="H32" s="87">
        <v>6</v>
      </c>
      <c r="I32" s="88">
        <v>0.15000000000000002</v>
      </c>
    </row>
    <row r="33" spans="1:10" x14ac:dyDescent="0.25">
      <c r="B33" s="2" t="s">
        <v>63</v>
      </c>
      <c r="C33" s="67">
        <v>692</v>
      </c>
      <c r="D33" s="108">
        <v>3006</v>
      </c>
      <c r="E33" s="57">
        <f>+C33/D33</f>
        <v>0.23020625415834997</v>
      </c>
      <c r="G33" s="89" t="s">
        <v>87</v>
      </c>
      <c r="H33" s="87">
        <v>73</v>
      </c>
      <c r="I33" s="88">
        <v>109.5</v>
      </c>
    </row>
    <row r="34" spans="1:10" x14ac:dyDescent="0.25">
      <c r="C34" s="2">
        <f>+SUM(C31:C33)</f>
        <v>3911</v>
      </c>
      <c r="D34" s="110">
        <f>+SUM(D31:D33)</f>
        <v>7038</v>
      </c>
      <c r="E34" s="57">
        <f>+C34/D34</f>
        <v>0.55569764137539068</v>
      </c>
      <c r="G34" s="89" t="s">
        <v>91</v>
      </c>
      <c r="H34" s="87">
        <v>22</v>
      </c>
      <c r="I34" s="88">
        <v>33</v>
      </c>
    </row>
    <row r="35" spans="1:10" x14ac:dyDescent="0.25">
      <c r="G35" s="89" t="s">
        <v>112</v>
      </c>
      <c r="H35" s="87">
        <v>103</v>
      </c>
      <c r="I35" s="88">
        <v>154.5</v>
      </c>
    </row>
    <row r="36" spans="1:10" x14ac:dyDescent="0.25">
      <c r="B36" s="2" t="s">
        <v>66</v>
      </c>
      <c r="D36" s="2"/>
      <c r="G36" s="89" t="s">
        <v>96</v>
      </c>
      <c r="H36" s="87">
        <v>23</v>
      </c>
      <c r="I36" s="88">
        <v>34.5</v>
      </c>
    </row>
    <row r="37" spans="1:10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73</v>
      </c>
      <c r="I37" s="88">
        <v>193.5</v>
      </c>
      <c r="J37" s="129" t="s">
        <v>113</v>
      </c>
    </row>
    <row r="38" spans="1:10" ht="15" customHeight="1" x14ac:dyDescent="0.25">
      <c r="B38" s="73">
        <v>30</v>
      </c>
      <c r="C38" s="74">
        <v>3</v>
      </c>
      <c r="D38" s="74">
        <v>23</v>
      </c>
      <c r="E38" s="75">
        <f>+SUM(B38:D38)</f>
        <v>56</v>
      </c>
    </row>
    <row r="39" spans="1:10" x14ac:dyDescent="0.25">
      <c r="E39" s="66" t="s">
        <v>76</v>
      </c>
    </row>
    <row r="40" spans="1:10" x14ac:dyDescent="0.25">
      <c r="D40" s="2"/>
      <c r="F40" s="71" t="s">
        <v>90</v>
      </c>
      <c r="G40" s="71" t="s">
        <v>97</v>
      </c>
    </row>
    <row r="41" spans="1:10" x14ac:dyDescent="0.25">
      <c r="A41" s="2" t="s">
        <v>70</v>
      </c>
      <c r="B41" s="2">
        <v>0</v>
      </c>
      <c r="C41" s="2">
        <v>2243</v>
      </c>
      <c r="D41" s="68">
        <v>2400</v>
      </c>
      <c r="E41" s="57">
        <f t="shared" ref="E41:E46" si="3">+C41/D41</f>
        <v>0.93458333333333332</v>
      </c>
      <c r="F41" s="71">
        <v>7</v>
      </c>
      <c r="G41" s="71"/>
    </row>
    <row r="42" spans="1:10" x14ac:dyDescent="0.25">
      <c r="A42" s="2" t="s">
        <v>71</v>
      </c>
      <c r="B42" s="2">
        <v>5</v>
      </c>
      <c r="C42" s="2">
        <v>2023</v>
      </c>
      <c r="D42" s="68">
        <v>3600</v>
      </c>
      <c r="E42" s="57">
        <f t="shared" si="3"/>
        <v>0.56194444444444447</v>
      </c>
      <c r="F42" s="71">
        <v>12</v>
      </c>
      <c r="G42" s="71"/>
    </row>
    <row r="43" spans="1:10" x14ac:dyDescent="0.25">
      <c r="A43" s="2" t="s">
        <v>72</v>
      </c>
      <c r="B43" s="2">
        <v>5.6</v>
      </c>
      <c r="C43" s="2">
        <v>1974</v>
      </c>
      <c r="D43" s="68">
        <v>3600</v>
      </c>
      <c r="E43" s="57">
        <f t="shared" si="3"/>
        <v>0.54833333333333334</v>
      </c>
      <c r="F43" s="71">
        <v>12</v>
      </c>
      <c r="G43" s="71"/>
    </row>
    <row r="44" spans="1:10" x14ac:dyDescent="0.25">
      <c r="A44" s="2" t="s">
        <v>73</v>
      </c>
      <c r="B44" s="2">
        <v>10.8</v>
      </c>
      <c r="C44" s="2">
        <v>2966</v>
      </c>
      <c r="D44" s="68">
        <v>3900</v>
      </c>
      <c r="E44" s="57">
        <f t="shared" si="3"/>
        <v>0.76051282051282054</v>
      </c>
      <c r="F44" s="71">
        <v>11</v>
      </c>
      <c r="G44" s="71"/>
    </row>
    <row r="45" spans="1:10" x14ac:dyDescent="0.25">
      <c r="A45" s="2" t="s">
        <v>74</v>
      </c>
      <c r="B45" s="2">
        <v>10.94</v>
      </c>
      <c r="C45" s="2">
        <v>2611</v>
      </c>
      <c r="D45" s="68">
        <v>3900</v>
      </c>
      <c r="E45" s="57">
        <f t="shared" si="3"/>
        <v>0.66948717948717951</v>
      </c>
      <c r="F45" s="71">
        <v>12</v>
      </c>
      <c r="G45" s="71"/>
    </row>
    <row r="46" spans="1:10" x14ac:dyDescent="0.25">
      <c r="A46" s="2" t="s">
        <v>75</v>
      </c>
      <c r="B46" s="123">
        <v>7.91</v>
      </c>
      <c r="C46" s="124">
        <f>16101/B46</f>
        <v>2035.5246523388116</v>
      </c>
      <c r="D46" s="128">
        <v>4300</v>
      </c>
      <c r="E46" s="126">
        <f t="shared" si="3"/>
        <v>0.47337782612530505</v>
      </c>
      <c r="F46" s="71">
        <v>16</v>
      </c>
    </row>
    <row r="47" spans="1:10" x14ac:dyDescent="0.25">
      <c r="C47" s="71" t="s">
        <v>83</v>
      </c>
      <c r="D47" s="72" t="s">
        <v>79</v>
      </c>
    </row>
    <row r="48" spans="1:10" x14ac:dyDescent="0.25">
      <c r="B48" s="2" t="s">
        <v>78</v>
      </c>
      <c r="C48" s="71">
        <v>4</v>
      </c>
      <c r="D48" s="72"/>
    </row>
    <row r="49" spans="3:4" x14ac:dyDescent="0.25">
      <c r="C49" s="71">
        <v>5</v>
      </c>
      <c r="D49" s="108">
        <v>6</v>
      </c>
    </row>
    <row r="50" spans="3:4" x14ac:dyDescent="0.25">
      <c r="C50" s="71">
        <v>6</v>
      </c>
      <c r="D50" s="108">
        <v>6</v>
      </c>
    </row>
    <row r="51" spans="3:4" x14ac:dyDescent="0.25">
      <c r="C51" s="71">
        <v>8</v>
      </c>
    </row>
  </sheetData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19" workbookViewId="0">
      <selection activeCell="A27" sqref="A27:K52"/>
    </sheetView>
  </sheetViews>
  <sheetFormatPr baseColWidth="10" defaultColWidth="11.42578125" defaultRowHeight="15.75" x14ac:dyDescent="0.25"/>
  <cols>
    <col min="1" max="1" width="2.42578125" style="2" customWidth="1"/>
    <col min="2" max="2" width="50" style="2" bestFit="1" customWidth="1"/>
    <col min="3" max="3" width="15.28515625" style="2" customWidth="1"/>
    <col min="4" max="4" width="15.28515625" style="3" customWidth="1"/>
    <col min="5" max="5" width="22.42578125" style="2" customWidth="1"/>
    <col min="6" max="6" width="7.42578125" style="2" customWidth="1"/>
    <col min="7" max="8" width="11.42578125" style="2"/>
    <col min="9" max="9" width="9.5703125" style="2" customWidth="1"/>
    <col min="10" max="10" width="5.85546875" style="2" customWidth="1"/>
    <col min="11" max="16384" width="11.42578125" style="2"/>
  </cols>
  <sheetData>
    <row r="1" spans="1:10" ht="15" customHeight="1" x14ac:dyDescent="0.25">
      <c r="A1" s="1"/>
      <c r="B1" s="518">
        <v>45824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137"/>
      <c r="C4" s="137"/>
      <c r="D4" s="5">
        <f>D25</f>
        <v>6975.1299999999983</v>
      </c>
      <c r="F4" s="58" t="s">
        <v>51</v>
      </c>
      <c r="G4" s="59">
        <v>45824</v>
      </c>
      <c r="H4" s="58">
        <v>6956</v>
      </c>
      <c r="I4" s="141">
        <v>6975.1299999999983</v>
      </c>
      <c r="J4" s="60">
        <f>+I4/H4</f>
        <v>1.0027501437607818</v>
      </c>
    </row>
    <row r="5" spans="1:10" ht="15" customHeight="1" x14ac:dyDescent="0.25">
      <c r="A5" s="4"/>
      <c r="B5" s="8" t="s">
        <v>6</v>
      </c>
      <c r="C5" s="50">
        <v>4695</v>
      </c>
      <c r="D5" s="46">
        <v>200.20599999999999</v>
      </c>
      <c r="E5" s="80">
        <f>+D5/$D$4</f>
        <v>2.8702834212408948E-2</v>
      </c>
      <c r="F5" s="58" t="s">
        <v>52</v>
      </c>
      <c r="G5" s="59">
        <v>45825</v>
      </c>
      <c r="H5" s="58">
        <v>8342</v>
      </c>
      <c r="I5" s="141"/>
      <c r="J5" s="60">
        <f t="shared" ref="J5:J11" si="0">+I5/H5</f>
        <v>0</v>
      </c>
    </row>
    <row r="6" spans="1:10" ht="15" customHeight="1" x14ac:dyDescent="0.25">
      <c r="A6" s="4"/>
      <c r="B6" s="9" t="s">
        <v>10</v>
      </c>
      <c r="C6" s="51">
        <v>21646</v>
      </c>
      <c r="D6" s="47">
        <v>924.12199999999996</v>
      </c>
      <c r="E6" s="80">
        <f t="shared" ref="E6:E24" si="1">+D6/$D$4</f>
        <v>0.13248814000599274</v>
      </c>
      <c r="F6" s="58" t="s">
        <v>53</v>
      </c>
      <c r="G6" s="59">
        <v>45826</v>
      </c>
      <c r="H6" s="58">
        <v>8167</v>
      </c>
      <c r="I6" s="141"/>
      <c r="J6" s="60">
        <f t="shared" si="0"/>
        <v>0</v>
      </c>
    </row>
    <row r="7" spans="1:10" ht="15" customHeight="1" x14ac:dyDescent="0.25">
      <c r="A7" s="4"/>
      <c r="B7" s="9" t="s">
        <v>35</v>
      </c>
      <c r="C7" s="51">
        <v>14355</v>
      </c>
      <c r="D7" s="47">
        <v>612.53399999999999</v>
      </c>
      <c r="E7" s="80">
        <f t="shared" si="1"/>
        <v>8.7816857893688025E-2</v>
      </c>
      <c r="F7" s="58" t="s">
        <v>54</v>
      </c>
      <c r="G7" s="59">
        <v>45827</v>
      </c>
      <c r="H7" s="58">
        <v>8377</v>
      </c>
      <c r="I7" s="141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2360</v>
      </c>
      <c r="D8" s="47">
        <v>100.67</v>
      </c>
      <c r="E8" s="80">
        <f t="shared" si="1"/>
        <v>1.4432705913724909E-2</v>
      </c>
      <c r="F8" s="58" t="s">
        <v>55</v>
      </c>
      <c r="G8" s="59">
        <v>45828</v>
      </c>
      <c r="H8" s="58">
        <v>7647</v>
      </c>
      <c r="I8" s="141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f>27966+730</f>
        <v>28696</v>
      </c>
      <c r="D9" s="47">
        <f>1192.078+31.072</f>
        <v>1223.1499999999999</v>
      </c>
      <c r="E9" s="80">
        <f t="shared" si="1"/>
        <v>0.17535873883354147</v>
      </c>
      <c r="F9" s="58" t="s">
        <v>56</v>
      </c>
      <c r="G9" s="59">
        <v>45829</v>
      </c>
      <c r="H9" s="58">
        <v>6514</v>
      </c>
      <c r="I9" s="141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39166</v>
      </c>
      <c r="D10" s="47">
        <v>1670.7339999999999</v>
      </c>
      <c r="E10" s="80">
        <f t="shared" si="1"/>
        <v>0.23952729196445088</v>
      </c>
      <c r="F10" s="58" t="s">
        <v>57</v>
      </c>
      <c r="G10" s="59">
        <v>45830</v>
      </c>
      <c r="H10" s="58">
        <v>3318</v>
      </c>
      <c r="I10" s="141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10655</v>
      </c>
      <c r="D11" s="47">
        <v>455.09399999999999</v>
      </c>
      <c r="E11" s="80">
        <f t="shared" si="1"/>
        <v>6.524523557267034E-2</v>
      </c>
      <c r="H11" s="139">
        <f>+SUM(H4:H10)</f>
        <v>49321</v>
      </c>
      <c r="I11" s="142">
        <f>+SUM(I4:I10)</f>
        <v>6975.1299999999983</v>
      </c>
      <c r="J11" s="140">
        <f t="shared" si="0"/>
        <v>0.14142312605178317</v>
      </c>
    </row>
    <row r="12" spans="1:10" ht="15" customHeight="1" x14ac:dyDescent="0.25">
      <c r="A12" s="4"/>
      <c r="B12" s="9" t="s">
        <v>47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119</v>
      </c>
      <c r="C13" s="51"/>
      <c r="D13" s="47"/>
      <c r="E13" s="80">
        <f t="shared" si="1"/>
        <v>0</v>
      </c>
      <c r="G13" s="112"/>
      <c r="H13" s="113">
        <v>2024</v>
      </c>
      <c r="I13" s="113">
        <v>2025</v>
      </c>
    </row>
    <row r="14" spans="1:10" ht="15" customHeight="1" x14ac:dyDescent="0.25">
      <c r="A14" s="4"/>
      <c r="B14" s="9" t="s">
        <v>44</v>
      </c>
      <c r="C14" s="51">
        <v>20</v>
      </c>
      <c r="D14" s="47">
        <v>30.2</v>
      </c>
      <c r="E14" s="80">
        <f t="shared" si="1"/>
        <v>4.3296684076139088E-3</v>
      </c>
      <c r="F14" s="66"/>
      <c r="G14" s="112" t="s">
        <v>108</v>
      </c>
      <c r="H14" s="119">
        <v>204007.80300000001</v>
      </c>
      <c r="I14" s="119">
        <v>190629.128</v>
      </c>
      <c r="J14" s="93">
        <f t="shared" ref="J14:J19" si="2">+I14/H14</f>
        <v>0.93442076820953746</v>
      </c>
    </row>
    <row r="15" spans="1:10" ht="15" customHeight="1" x14ac:dyDescent="0.25">
      <c r="A15" s="4"/>
      <c r="B15" s="9" t="s">
        <v>39</v>
      </c>
      <c r="C15" s="51">
        <v>467</v>
      </c>
      <c r="D15" s="47">
        <v>705.82</v>
      </c>
      <c r="E15" s="80">
        <f t="shared" si="1"/>
        <v>0.10119094554510098</v>
      </c>
      <c r="G15" s="112" t="s">
        <v>109</v>
      </c>
      <c r="H15" s="119">
        <v>186305.94399999996</v>
      </c>
      <c r="I15" s="119">
        <v>182874.285</v>
      </c>
      <c r="J15" s="93">
        <f t="shared" si="2"/>
        <v>0.9815805179033904</v>
      </c>
    </row>
    <row r="16" spans="1:10" ht="15" customHeight="1" x14ac:dyDescent="0.25">
      <c r="A16" s="4"/>
      <c r="B16" s="9" t="s">
        <v>43</v>
      </c>
      <c r="C16" s="51">
        <v>203</v>
      </c>
      <c r="D16" s="47">
        <v>306.67</v>
      </c>
      <c r="E16" s="80">
        <f t="shared" si="1"/>
        <v>4.3966205647780053E-2</v>
      </c>
      <c r="G16" s="112" t="s">
        <v>110</v>
      </c>
      <c r="H16" s="119">
        <v>199570.19199999989</v>
      </c>
      <c r="I16" s="119">
        <v>197224.22099999999</v>
      </c>
      <c r="J16" s="93">
        <f t="shared" si="2"/>
        <v>0.98824488278289624</v>
      </c>
    </row>
    <row r="17" spans="1:10" ht="15" customHeight="1" x14ac:dyDescent="0.25">
      <c r="A17" s="4"/>
      <c r="B17" s="9" t="s">
        <v>49</v>
      </c>
      <c r="C17" s="51">
        <v>21</v>
      </c>
      <c r="D17" s="47">
        <v>31.84</v>
      </c>
      <c r="E17" s="80">
        <f t="shared" si="1"/>
        <v>4.5647894734578438E-3</v>
      </c>
      <c r="G17" s="112" t="s">
        <v>111</v>
      </c>
      <c r="H17" s="119">
        <v>205343.72800000012</v>
      </c>
      <c r="I17" s="119">
        <v>198970.75799999986</v>
      </c>
      <c r="J17" s="93">
        <f t="shared" si="2"/>
        <v>0.96896437956945902</v>
      </c>
    </row>
    <row r="18" spans="1:10" ht="15" customHeight="1" x14ac:dyDescent="0.25">
      <c r="A18" s="4"/>
      <c r="B18" s="9" t="s">
        <v>84</v>
      </c>
      <c r="C18" s="51"/>
      <c r="D18" s="47"/>
      <c r="E18" s="80">
        <f t="shared" si="1"/>
        <v>0</v>
      </c>
      <c r="G18" s="112" t="s">
        <v>102</v>
      </c>
      <c r="H18" s="119">
        <v>209473.77399999995</v>
      </c>
      <c r="I18" s="119">
        <v>212393.17300000001</v>
      </c>
      <c r="J18" s="93">
        <f t="shared" si="2"/>
        <v>1.0139368234230604</v>
      </c>
    </row>
    <row r="19" spans="1:10" ht="15" customHeight="1" x14ac:dyDescent="0.25">
      <c r="A19" s="4"/>
      <c r="B19" s="9" t="s">
        <v>45</v>
      </c>
      <c r="C19" s="51"/>
      <c r="D19" s="47"/>
      <c r="E19" s="80">
        <f t="shared" si="1"/>
        <v>0</v>
      </c>
      <c r="G19" s="3"/>
      <c r="H19" s="68">
        <f>+SUM(H14:H18)</f>
        <v>1004701.441</v>
      </c>
      <c r="I19" s="68">
        <f>+SUM(I14:I18)</f>
        <v>982091.56499999971</v>
      </c>
      <c r="J19" s="93">
        <f t="shared" si="2"/>
        <v>0.97749592557815368</v>
      </c>
    </row>
    <row r="20" spans="1:10" ht="15" customHeight="1" x14ac:dyDescent="0.25">
      <c r="A20" s="4"/>
      <c r="B20" s="9" t="s">
        <v>41</v>
      </c>
      <c r="C20" s="51">
        <v>87</v>
      </c>
      <c r="D20" s="47">
        <v>131.28</v>
      </c>
      <c r="E20" s="80">
        <f t="shared" si="1"/>
        <v>1.8821154587799802E-2</v>
      </c>
      <c r="G20" s="3"/>
      <c r="I20" s="68">
        <f>+I19-H19</f>
        <v>-22609.87600000028</v>
      </c>
    </row>
    <row r="21" spans="1:10" ht="15" customHeight="1" x14ac:dyDescent="0.25">
      <c r="A21" s="4"/>
      <c r="B21" s="9" t="s">
        <v>85</v>
      </c>
      <c r="C21" s="51">
        <v>43</v>
      </c>
      <c r="D21" s="47">
        <v>64.819999999999993</v>
      </c>
      <c r="E21" s="80">
        <f t="shared" si="1"/>
        <v>9.2930167609779329E-3</v>
      </c>
    </row>
    <row r="22" spans="1:10" ht="15" customHeight="1" x14ac:dyDescent="0.25">
      <c r="A22" s="4"/>
      <c r="B22" s="9" t="s">
        <v>40</v>
      </c>
      <c r="C22" s="51"/>
      <c r="D22" s="47">
        <v>363.65</v>
      </c>
      <c r="E22" s="80">
        <f t="shared" si="1"/>
        <v>5.2135229020821128E-2</v>
      </c>
    </row>
    <row r="23" spans="1:10" ht="15" customHeight="1" x14ac:dyDescent="0.25">
      <c r="A23" s="4"/>
      <c r="B23" s="9" t="s">
        <v>9</v>
      </c>
      <c r="C23" s="51"/>
      <c r="D23" s="47">
        <v>124.63</v>
      </c>
      <c r="E23" s="80">
        <f t="shared" si="1"/>
        <v>1.786776733910336E-2</v>
      </c>
    </row>
    <row r="24" spans="1:10" ht="15" customHeight="1" thickBot="1" x14ac:dyDescent="0.3">
      <c r="A24" s="4"/>
      <c r="B24" s="9" t="s">
        <v>46</v>
      </c>
      <c r="C24" s="51"/>
      <c r="D24" s="47">
        <v>29.71</v>
      </c>
      <c r="E24" s="80">
        <f t="shared" si="1"/>
        <v>4.2594188208678564E-3</v>
      </c>
    </row>
    <row r="25" spans="1:10" ht="15" customHeight="1" thickBot="1" x14ac:dyDescent="0.3">
      <c r="B25" s="52" t="s">
        <v>0</v>
      </c>
      <c r="C25" s="44"/>
      <c r="D25" s="45">
        <f>SUM(D5:D24)</f>
        <v>6975.1299999999983</v>
      </c>
      <c r="E25" s="53"/>
    </row>
    <row r="26" spans="1:10" ht="15" customHeight="1" x14ac:dyDescent="0.25">
      <c r="B26" s="6" t="s">
        <v>1</v>
      </c>
      <c r="C26" s="7"/>
      <c r="D26" s="48">
        <v>110052.876</v>
      </c>
      <c r="E26" s="98">
        <f>+D26/E2</f>
        <v>0.53791913583264095</v>
      </c>
      <c r="F26" s="3"/>
    </row>
    <row r="27" spans="1:10" x14ac:dyDescent="0.25">
      <c r="D27" s="108">
        <f>+(E2/30)*16</f>
        <v>109114.66666666667</v>
      </c>
      <c r="E27" s="98">
        <f>+D27/E2</f>
        <v>0.53333333333333333</v>
      </c>
    </row>
    <row r="28" spans="1:10" x14ac:dyDescent="0.25">
      <c r="D28" s="138">
        <f>+D26-D27</f>
        <v>938.20933333333232</v>
      </c>
      <c r="E28" s="99">
        <f>+E26-E27</f>
        <v>4.585802499307623E-3</v>
      </c>
    </row>
    <row r="29" spans="1:10" x14ac:dyDescent="0.25">
      <c r="G29" s="3"/>
    </row>
    <row r="30" spans="1:10" ht="15" customHeight="1" x14ac:dyDescent="0.25">
      <c r="B30" s="66" t="s">
        <v>60</v>
      </c>
      <c r="D30" s="109" t="s">
        <v>105</v>
      </c>
      <c r="E30" s="109" t="s">
        <v>80</v>
      </c>
      <c r="G30" s="3"/>
      <c r="I30" s="2" t="s">
        <v>92</v>
      </c>
    </row>
    <row r="31" spans="1:10" x14ac:dyDescent="0.25">
      <c r="B31" s="2" t="s">
        <v>61</v>
      </c>
      <c r="C31" s="2">
        <v>72</v>
      </c>
      <c r="D31" s="108">
        <v>2142</v>
      </c>
      <c r="E31" s="57">
        <f>+C31/D31</f>
        <v>3.3613445378151259E-2</v>
      </c>
      <c r="G31" s="86" t="s">
        <v>86</v>
      </c>
      <c r="H31" s="87">
        <v>12128</v>
      </c>
      <c r="I31" s="88">
        <v>303.2</v>
      </c>
    </row>
    <row r="32" spans="1:10" x14ac:dyDescent="0.25">
      <c r="B32" s="2" t="s">
        <v>62</v>
      </c>
      <c r="C32" s="2">
        <v>1035</v>
      </c>
      <c r="D32" s="108">
        <v>1890</v>
      </c>
      <c r="E32" s="57">
        <f>+C32/D32</f>
        <v>0.54761904761904767</v>
      </c>
      <c r="G32" s="86" t="s">
        <v>104</v>
      </c>
      <c r="H32" s="87">
        <v>6</v>
      </c>
      <c r="I32" s="88">
        <v>0.15000000000000002</v>
      </c>
    </row>
    <row r="33" spans="1:10" x14ac:dyDescent="0.25">
      <c r="B33" s="2" t="s">
        <v>63</v>
      </c>
      <c r="C33" s="67">
        <v>516</v>
      </c>
      <c r="D33" s="108">
        <v>3006</v>
      </c>
      <c r="E33" s="57">
        <f>+C33/D33</f>
        <v>0.17165668662674652</v>
      </c>
      <c r="G33" s="89" t="s">
        <v>87</v>
      </c>
      <c r="H33" s="87">
        <v>53</v>
      </c>
      <c r="I33" s="88">
        <v>79.5</v>
      </c>
    </row>
    <row r="34" spans="1:10" x14ac:dyDescent="0.25">
      <c r="C34" s="2">
        <f>+SUM(C31:C33)</f>
        <v>1623</v>
      </c>
      <c r="D34" s="110">
        <f>+SUM(D31:D33)</f>
        <v>7038</v>
      </c>
      <c r="E34" s="57">
        <f>+C34/D34</f>
        <v>0.23060528559249788</v>
      </c>
      <c r="G34" s="89" t="s">
        <v>91</v>
      </c>
      <c r="H34" s="87">
        <v>22</v>
      </c>
      <c r="I34" s="88">
        <v>33</v>
      </c>
    </row>
    <row r="35" spans="1:10" x14ac:dyDescent="0.25">
      <c r="G35" s="89" t="s">
        <v>123</v>
      </c>
      <c r="H35" s="87">
        <v>116</v>
      </c>
      <c r="I35" s="88">
        <v>174</v>
      </c>
    </row>
    <row r="36" spans="1:10" x14ac:dyDescent="0.25">
      <c r="B36" s="2" t="s">
        <v>66</v>
      </c>
      <c r="D36" s="2"/>
      <c r="G36" s="89" t="s">
        <v>96</v>
      </c>
      <c r="H36" s="87">
        <v>23</v>
      </c>
      <c r="I36" s="88">
        <v>34.5</v>
      </c>
    </row>
    <row r="37" spans="1:10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73</v>
      </c>
      <c r="I37" s="88">
        <v>193.5</v>
      </c>
      <c r="J37" s="129" t="s">
        <v>113</v>
      </c>
    </row>
    <row r="38" spans="1:10" ht="15" customHeight="1" x14ac:dyDescent="0.25">
      <c r="B38" s="73">
        <v>18</v>
      </c>
      <c r="C38" s="74">
        <v>0</v>
      </c>
      <c r="D38" s="74">
        <v>11</v>
      </c>
      <c r="E38" s="75">
        <f>+SUM(B38:D38)</f>
        <v>29</v>
      </c>
    </row>
    <row r="39" spans="1:10" x14ac:dyDescent="0.25">
      <c r="E39" s="66" t="s">
        <v>76</v>
      </c>
      <c r="G39" s="144" t="s">
        <v>124</v>
      </c>
      <c r="H39" s="145">
        <v>30</v>
      </c>
    </row>
    <row r="40" spans="1:10" x14ac:dyDescent="0.25">
      <c r="D40" s="2"/>
      <c r="F40" s="71" t="s">
        <v>90</v>
      </c>
      <c r="G40" s="144" t="s">
        <v>120</v>
      </c>
      <c r="H40" s="145">
        <v>33</v>
      </c>
    </row>
    <row r="41" spans="1:10" x14ac:dyDescent="0.25">
      <c r="A41" s="2" t="s">
        <v>70</v>
      </c>
      <c r="B41" s="2">
        <v>0</v>
      </c>
      <c r="C41" s="2">
        <v>2243</v>
      </c>
      <c r="D41" s="68">
        <v>2400</v>
      </c>
      <c r="E41" s="57">
        <f t="shared" ref="E41:E46" si="3">+C41/D41</f>
        <v>0.93458333333333332</v>
      </c>
      <c r="F41" s="71">
        <v>7</v>
      </c>
      <c r="G41" s="144" t="s">
        <v>121</v>
      </c>
      <c r="H41" s="146">
        <v>53</v>
      </c>
    </row>
    <row r="42" spans="1:10" x14ac:dyDescent="0.25">
      <c r="A42" s="2" t="s">
        <v>71</v>
      </c>
      <c r="B42" s="2">
        <v>5.88</v>
      </c>
      <c r="C42" s="2">
        <v>2232</v>
      </c>
      <c r="D42" s="68">
        <v>3600</v>
      </c>
      <c r="E42" s="57">
        <f t="shared" si="3"/>
        <v>0.62</v>
      </c>
      <c r="F42" s="71">
        <v>12</v>
      </c>
      <c r="G42" s="71"/>
    </row>
    <row r="43" spans="1:10" x14ac:dyDescent="0.25">
      <c r="A43" s="2" t="s">
        <v>72</v>
      </c>
      <c r="B43" s="2">
        <v>7.38</v>
      </c>
      <c r="C43" s="2">
        <v>2590</v>
      </c>
      <c r="D43" s="68">
        <v>3600</v>
      </c>
      <c r="E43" s="57">
        <f t="shared" si="3"/>
        <v>0.71944444444444444</v>
      </c>
      <c r="F43" s="71">
        <v>12</v>
      </c>
      <c r="G43" s="71"/>
    </row>
    <row r="44" spans="1:10" x14ac:dyDescent="0.25">
      <c r="A44" s="2" t="s">
        <v>73</v>
      </c>
      <c r="B44" s="2">
        <v>6.5</v>
      </c>
      <c r="C44" s="2">
        <v>3000</v>
      </c>
      <c r="D44" s="68">
        <v>3900</v>
      </c>
      <c r="E44" s="57">
        <f t="shared" si="3"/>
        <v>0.76923076923076927</v>
      </c>
      <c r="F44" s="71">
        <v>11</v>
      </c>
      <c r="G44" s="71"/>
    </row>
    <row r="45" spans="1:10" x14ac:dyDescent="0.25">
      <c r="A45" s="2" t="s">
        <v>74</v>
      </c>
      <c r="B45" s="2">
        <v>5.69</v>
      </c>
      <c r="C45" s="2">
        <v>2279</v>
      </c>
      <c r="D45" s="68">
        <v>3900</v>
      </c>
      <c r="E45" s="57">
        <f t="shared" si="3"/>
        <v>0.58435897435897433</v>
      </c>
      <c r="F45" s="71">
        <v>12</v>
      </c>
      <c r="G45" s="71"/>
    </row>
    <row r="46" spans="1:10" x14ac:dyDescent="0.25">
      <c r="A46" s="2" t="s">
        <v>75</v>
      </c>
      <c r="B46" s="123">
        <v>4.1500000000000004</v>
      </c>
      <c r="C46" s="124">
        <f>9914/B46</f>
        <v>2388.9156626506024</v>
      </c>
      <c r="D46" s="128">
        <v>4300</v>
      </c>
      <c r="E46" s="126">
        <f t="shared" si="3"/>
        <v>0.55556178201176798</v>
      </c>
      <c r="F46" s="71">
        <v>16</v>
      </c>
    </row>
    <row r="47" spans="1:10" x14ac:dyDescent="0.25">
      <c r="C47" s="71" t="s">
        <v>83</v>
      </c>
      <c r="D47" s="72" t="s">
        <v>79</v>
      </c>
    </row>
    <row r="48" spans="1:10" x14ac:dyDescent="0.25">
      <c r="B48" s="2" t="s">
        <v>78</v>
      </c>
      <c r="C48" s="71">
        <v>4</v>
      </c>
      <c r="D48" s="72"/>
    </row>
    <row r="49" spans="2:4" x14ac:dyDescent="0.25">
      <c r="C49" s="71">
        <v>5</v>
      </c>
      <c r="D49" s="108">
        <v>2</v>
      </c>
    </row>
    <row r="50" spans="2:4" x14ac:dyDescent="0.25">
      <c r="C50" s="71">
        <v>6</v>
      </c>
      <c r="D50" s="108">
        <v>3</v>
      </c>
    </row>
    <row r="51" spans="2:4" x14ac:dyDescent="0.25">
      <c r="C51" s="71">
        <v>8</v>
      </c>
    </row>
    <row r="54" spans="2:4" x14ac:dyDescent="0.25">
      <c r="B54" s="147" t="s">
        <v>122</v>
      </c>
    </row>
  </sheetData>
  <protectedRanges>
    <protectedRange password="D554" sqref="H39:H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activeCell="E15" sqref="E15"/>
    </sheetView>
  </sheetViews>
  <sheetFormatPr baseColWidth="10" defaultColWidth="11.42578125" defaultRowHeight="15.75" x14ac:dyDescent="0.25"/>
  <cols>
    <col min="1" max="1" width="2.42578125" style="2" customWidth="1"/>
    <col min="2" max="2" width="50" style="2" bestFit="1" customWidth="1"/>
    <col min="3" max="3" width="15.28515625" style="2" customWidth="1"/>
    <col min="4" max="4" width="15.28515625" style="3" customWidth="1"/>
    <col min="5" max="5" width="12.5703125" style="2" customWidth="1"/>
    <col min="6" max="9" width="11.42578125" style="2"/>
    <col min="10" max="10" width="9.42578125" style="2" customWidth="1"/>
    <col min="11" max="16384" width="11.42578125" style="2"/>
  </cols>
  <sheetData>
    <row r="1" spans="1:10" ht="15" customHeight="1" x14ac:dyDescent="0.25">
      <c r="A1" s="1"/>
      <c r="B1" s="518">
        <v>45825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143"/>
      <c r="C4" s="143"/>
      <c r="D4" s="5">
        <f>D25</f>
        <v>7563.101999999999</v>
      </c>
      <c r="F4" s="58" t="s">
        <v>51</v>
      </c>
      <c r="G4" s="59">
        <v>45824</v>
      </c>
      <c r="H4" s="58">
        <v>6956</v>
      </c>
      <c r="I4" s="141">
        <v>6975.1299999999983</v>
      </c>
      <c r="J4" s="60">
        <f>+I4/H4</f>
        <v>1.0027501437607818</v>
      </c>
    </row>
    <row r="5" spans="1:10" ht="15" customHeight="1" x14ac:dyDescent="0.25">
      <c r="A5" s="4"/>
      <c r="B5" s="8" t="s">
        <v>6</v>
      </c>
      <c r="C5" s="50">
        <v>2220</v>
      </c>
      <c r="D5" s="46">
        <v>94.691999999999993</v>
      </c>
      <c r="E5" s="80">
        <f>+D5/$D$4</f>
        <v>1.2520259544298095E-2</v>
      </c>
      <c r="F5" s="58" t="s">
        <v>52</v>
      </c>
      <c r="G5" s="59">
        <v>45825</v>
      </c>
      <c r="H5" s="58">
        <v>8342</v>
      </c>
      <c r="I5" s="141">
        <v>7563.101999999999</v>
      </c>
      <c r="J5" s="60">
        <f t="shared" ref="J5:J11" si="0">+I5/H5</f>
        <v>0.90662934548069996</v>
      </c>
    </row>
    <row r="6" spans="1:10" ht="15" customHeight="1" x14ac:dyDescent="0.25">
      <c r="A6" s="4"/>
      <c r="B6" s="9" t="s">
        <v>10</v>
      </c>
      <c r="C6" s="51">
        <v>14490</v>
      </c>
      <c r="D6" s="47">
        <v>618.55999999999995</v>
      </c>
      <c r="E6" s="80">
        <f t="shared" ref="E6:E24" si="1">+D6/$D$4</f>
        <v>8.178654737170013E-2</v>
      </c>
      <c r="F6" s="58" t="s">
        <v>53</v>
      </c>
      <c r="G6" s="59">
        <v>45826</v>
      </c>
      <c r="H6" s="58">
        <v>8167</v>
      </c>
      <c r="I6" s="141"/>
      <c r="J6" s="60">
        <f t="shared" si="0"/>
        <v>0</v>
      </c>
    </row>
    <row r="7" spans="1:10" ht="15" customHeight="1" x14ac:dyDescent="0.25">
      <c r="A7" s="4"/>
      <c r="B7" s="9" t="s">
        <v>35</v>
      </c>
      <c r="C7" s="51">
        <v>15359</v>
      </c>
      <c r="D7" s="47">
        <v>655.12</v>
      </c>
      <c r="E7" s="80">
        <f t="shared" si="1"/>
        <v>8.6620542734978337E-2</v>
      </c>
      <c r="F7" s="58" t="s">
        <v>54</v>
      </c>
      <c r="G7" s="59">
        <v>45827</v>
      </c>
      <c r="H7" s="58">
        <v>8377</v>
      </c>
      <c r="I7" s="141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5564</v>
      </c>
      <c r="D8" s="47">
        <v>237.21</v>
      </c>
      <c r="E8" s="80">
        <f t="shared" si="1"/>
        <v>3.1364114883020225E-2</v>
      </c>
      <c r="F8" s="58" t="s">
        <v>55</v>
      </c>
      <c r="G8" s="59">
        <v>45828</v>
      </c>
      <c r="H8" s="58">
        <v>7647</v>
      </c>
      <c r="I8" s="141"/>
      <c r="J8" s="60">
        <f t="shared" si="0"/>
        <v>0</v>
      </c>
    </row>
    <row r="9" spans="1:10" ht="15" customHeight="1" x14ac:dyDescent="0.25">
      <c r="A9" s="4"/>
      <c r="B9" s="9" t="s">
        <v>37</v>
      </c>
      <c r="C9" s="51">
        <v>35098</v>
      </c>
      <c r="D9" s="47">
        <v>1495.87</v>
      </c>
      <c r="E9" s="80">
        <f t="shared" si="1"/>
        <v>0.19778524737601055</v>
      </c>
      <c r="F9" s="58" t="s">
        <v>56</v>
      </c>
      <c r="G9" s="59">
        <v>45829</v>
      </c>
      <c r="H9" s="58">
        <v>6514</v>
      </c>
      <c r="I9" s="141"/>
      <c r="J9" s="60">
        <f t="shared" si="0"/>
        <v>0</v>
      </c>
    </row>
    <row r="10" spans="1:10" ht="15" customHeight="1" x14ac:dyDescent="0.25">
      <c r="A10" s="4"/>
      <c r="B10" s="9" t="s">
        <v>38</v>
      </c>
      <c r="C10" s="51">
        <v>37997</v>
      </c>
      <c r="D10" s="47">
        <v>1621.528</v>
      </c>
      <c r="E10" s="80">
        <f t="shared" si="1"/>
        <v>0.21439985868232378</v>
      </c>
      <c r="F10" s="58" t="s">
        <v>57</v>
      </c>
      <c r="G10" s="59">
        <v>45830</v>
      </c>
      <c r="H10" s="58">
        <v>3318</v>
      </c>
      <c r="I10" s="141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11650</v>
      </c>
      <c r="D11" s="47">
        <v>497.36200000000002</v>
      </c>
      <c r="E11" s="80">
        <f t="shared" si="1"/>
        <v>6.576164118902536E-2</v>
      </c>
      <c r="H11" s="139">
        <f>+SUM(H4:H10)</f>
        <v>49321</v>
      </c>
      <c r="I11" s="142">
        <f>+SUM(I4:I10)</f>
        <v>14538.231999999996</v>
      </c>
      <c r="J11" s="140">
        <f t="shared" si="0"/>
        <v>0.29476758378783879</v>
      </c>
    </row>
    <row r="12" spans="1:10" ht="15" customHeight="1" x14ac:dyDescent="0.25">
      <c r="A12" s="4"/>
      <c r="B12" s="9" t="s">
        <v>47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119</v>
      </c>
      <c r="C13" s="51"/>
      <c r="D13" s="47"/>
      <c r="E13" s="80">
        <f t="shared" si="1"/>
        <v>0</v>
      </c>
      <c r="G13" s="112"/>
      <c r="H13" s="113">
        <v>2024</v>
      </c>
      <c r="I13" s="113">
        <v>2025</v>
      </c>
    </row>
    <row r="14" spans="1:10" ht="15" customHeight="1" x14ac:dyDescent="0.25">
      <c r="A14" s="4"/>
      <c r="B14" s="9" t="s">
        <v>44</v>
      </c>
      <c r="C14" s="51">
        <v>21</v>
      </c>
      <c r="D14" s="47">
        <v>31.67</v>
      </c>
      <c r="E14" s="80">
        <f t="shared" si="1"/>
        <v>4.1874352613517586E-3</v>
      </c>
      <c r="F14" s="66"/>
      <c r="G14" s="112" t="s">
        <v>108</v>
      </c>
      <c r="H14" s="119">
        <v>204007.80300000001</v>
      </c>
      <c r="I14" s="119">
        <v>190629.128</v>
      </c>
      <c r="J14" s="93">
        <f t="shared" ref="J14:J19" si="2">+I14/H14</f>
        <v>0.93442076820953746</v>
      </c>
    </row>
    <row r="15" spans="1:10" ht="15" customHeight="1" x14ac:dyDescent="0.25">
      <c r="A15" s="4"/>
      <c r="B15" s="9" t="s">
        <v>39</v>
      </c>
      <c r="C15" s="51">
        <v>394</v>
      </c>
      <c r="D15" s="47">
        <v>595.15</v>
      </c>
      <c r="E15" s="80">
        <f t="shared" si="1"/>
        <v>7.8691256576997118E-2</v>
      </c>
      <c r="G15" s="112" t="s">
        <v>109</v>
      </c>
      <c r="H15" s="119">
        <v>186305.94399999996</v>
      </c>
      <c r="I15" s="119">
        <v>182874.285</v>
      </c>
      <c r="J15" s="93">
        <f t="shared" si="2"/>
        <v>0.9815805179033904</v>
      </c>
    </row>
    <row r="16" spans="1:10" ht="15" customHeight="1" x14ac:dyDescent="0.25">
      <c r="A16" s="4"/>
      <c r="B16" s="9" t="s">
        <v>43</v>
      </c>
      <c r="C16" s="51">
        <v>384</v>
      </c>
      <c r="D16" s="47">
        <v>580.5</v>
      </c>
      <c r="E16" s="80">
        <f t="shared" si="1"/>
        <v>7.6754220688812616E-2</v>
      </c>
      <c r="G16" s="112" t="s">
        <v>110</v>
      </c>
      <c r="H16" s="119">
        <v>199570.19199999989</v>
      </c>
      <c r="I16" s="119">
        <v>197224.22099999999</v>
      </c>
      <c r="J16" s="93">
        <f t="shared" si="2"/>
        <v>0.98824488278289624</v>
      </c>
    </row>
    <row r="17" spans="1:10" ht="15" customHeight="1" x14ac:dyDescent="0.25">
      <c r="A17" s="4"/>
      <c r="B17" s="9" t="s">
        <v>49</v>
      </c>
      <c r="C17" s="51">
        <v>42</v>
      </c>
      <c r="D17" s="47">
        <v>63.25</v>
      </c>
      <c r="E17" s="80">
        <f t="shared" si="1"/>
        <v>8.3629706435269565E-3</v>
      </c>
      <c r="G17" s="112" t="s">
        <v>111</v>
      </c>
      <c r="H17" s="119">
        <v>205343.72800000012</v>
      </c>
      <c r="I17" s="119">
        <v>198970.75799999986</v>
      </c>
      <c r="J17" s="93">
        <f t="shared" si="2"/>
        <v>0.96896437956945902</v>
      </c>
    </row>
    <row r="18" spans="1:10" ht="15" customHeight="1" x14ac:dyDescent="0.25">
      <c r="A18" s="4"/>
      <c r="B18" s="9" t="s">
        <v>84</v>
      </c>
      <c r="C18" s="51"/>
      <c r="D18" s="47"/>
      <c r="E18" s="80">
        <f t="shared" si="1"/>
        <v>0</v>
      </c>
      <c r="G18" s="112" t="s">
        <v>102</v>
      </c>
      <c r="H18" s="119">
        <v>209473.77399999995</v>
      </c>
      <c r="I18" s="119">
        <v>212393.17300000001</v>
      </c>
      <c r="J18" s="93">
        <f t="shared" si="2"/>
        <v>1.0139368234230604</v>
      </c>
    </row>
    <row r="19" spans="1:10" ht="15" customHeight="1" x14ac:dyDescent="0.25">
      <c r="A19" s="4"/>
      <c r="B19" s="9" t="s">
        <v>45</v>
      </c>
      <c r="C19" s="51"/>
      <c r="D19" s="47"/>
      <c r="E19" s="80">
        <f t="shared" si="1"/>
        <v>0</v>
      </c>
      <c r="G19" s="3"/>
      <c r="H19" s="68">
        <f>+SUM(H14:H18)</f>
        <v>1004701.441</v>
      </c>
      <c r="I19" s="68">
        <f>+SUM(I14:I18)</f>
        <v>982091.56499999971</v>
      </c>
      <c r="J19" s="93">
        <f t="shared" si="2"/>
        <v>0.97749592557815368</v>
      </c>
    </row>
    <row r="20" spans="1:10" ht="15" customHeight="1" x14ac:dyDescent="0.25">
      <c r="A20" s="4"/>
      <c r="B20" s="9" t="s">
        <v>41</v>
      </c>
      <c r="C20" s="51">
        <v>188</v>
      </c>
      <c r="D20" s="47">
        <v>284.08</v>
      </c>
      <c r="E20" s="80">
        <f t="shared" si="1"/>
        <v>3.7561307516413241E-2</v>
      </c>
      <c r="G20" s="3"/>
      <c r="I20" s="68">
        <f>+I19-H19</f>
        <v>-22609.87600000028</v>
      </c>
    </row>
    <row r="21" spans="1:10" ht="15" customHeight="1" x14ac:dyDescent="0.25">
      <c r="A21" s="4"/>
      <c r="B21" s="9" t="s">
        <v>88</v>
      </c>
      <c r="C21" s="51"/>
      <c r="D21" s="47">
        <v>29.61</v>
      </c>
      <c r="E21" s="80">
        <f t="shared" si="1"/>
        <v>3.9150602490882714E-3</v>
      </c>
    </row>
    <row r="22" spans="1:10" ht="15" customHeight="1" x14ac:dyDescent="0.25">
      <c r="A22" s="4"/>
      <c r="B22" s="9" t="s">
        <v>40</v>
      </c>
      <c r="C22" s="51"/>
      <c r="D22" s="47">
        <v>362.63</v>
      </c>
      <c r="E22" s="80">
        <f t="shared" si="1"/>
        <v>4.7947257619955413E-2</v>
      </c>
    </row>
    <row r="23" spans="1:10" ht="15" customHeight="1" x14ac:dyDescent="0.25">
      <c r="A23" s="4"/>
      <c r="B23" s="9" t="s">
        <v>9</v>
      </c>
      <c r="C23" s="51"/>
      <c r="D23" s="47">
        <v>218.01</v>
      </c>
      <c r="E23" s="80">
        <f t="shared" si="1"/>
        <v>2.8825473992020737E-2</v>
      </c>
    </row>
    <row r="24" spans="1:10" ht="15" customHeight="1" thickBot="1" x14ac:dyDescent="0.3">
      <c r="A24" s="4"/>
      <c r="B24" s="9" t="s">
        <v>46</v>
      </c>
      <c r="C24" s="51"/>
      <c r="D24" s="47">
        <v>177.86</v>
      </c>
      <c r="E24" s="80">
        <f t="shared" si="1"/>
        <v>2.3516805670477543E-2</v>
      </c>
    </row>
    <row r="25" spans="1:10" ht="15" customHeight="1" thickBot="1" x14ac:dyDescent="0.3">
      <c r="B25" s="52" t="s">
        <v>0</v>
      </c>
      <c r="C25" s="44"/>
      <c r="D25" s="45">
        <f>SUM(D5:D24)</f>
        <v>7563.101999999999</v>
      </c>
      <c r="E25" s="53"/>
    </row>
    <row r="26" spans="1:10" ht="15" customHeight="1" x14ac:dyDescent="0.25">
      <c r="B26" s="6" t="s">
        <v>1</v>
      </c>
      <c r="C26" s="7"/>
      <c r="D26" s="48">
        <v>117615.978</v>
      </c>
      <c r="E26" s="98">
        <f>+D26/E2</f>
        <v>0.5748862505498803</v>
      </c>
      <c r="F26" s="3"/>
    </row>
    <row r="27" spans="1:10" ht="15" customHeight="1" x14ac:dyDescent="0.25">
      <c r="D27" s="108">
        <f>+(E2/30)*17</f>
        <v>115934.33333333334</v>
      </c>
      <c r="E27" s="98">
        <f>+D27/E2</f>
        <v>0.56666666666666676</v>
      </c>
    </row>
    <row r="28" spans="1:10" ht="15" customHeight="1" x14ac:dyDescent="0.25">
      <c r="D28" s="138">
        <f>+D26-D27</f>
        <v>1681.6446666666598</v>
      </c>
      <c r="E28" s="99">
        <f>+E26-E27</f>
        <v>8.2195838832135326E-3</v>
      </c>
    </row>
    <row r="29" spans="1:10" ht="15" customHeight="1" x14ac:dyDescent="0.25">
      <c r="G29" s="3"/>
    </row>
    <row r="30" spans="1:10" x14ac:dyDescent="0.25">
      <c r="B30" s="66" t="s">
        <v>60</v>
      </c>
      <c r="D30" s="109" t="s">
        <v>105</v>
      </c>
      <c r="E30" s="109" t="s">
        <v>80</v>
      </c>
      <c r="G30" s="3"/>
      <c r="I30" s="2" t="s">
        <v>92</v>
      </c>
    </row>
    <row r="31" spans="1:10" x14ac:dyDescent="0.25">
      <c r="B31" s="2" t="s">
        <v>61</v>
      </c>
      <c r="C31" s="2">
        <v>718</v>
      </c>
      <c r="D31" s="108">
        <v>2142</v>
      </c>
      <c r="E31" s="57">
        <f>+C31/D31</f>
        <v>0.33520074696545282</v>
      </c>
      <c r="G31" s="86" t="s">
        <v>86</v>
      </c>
      <c r="H31" s="87">
        <v>12128</v>
      </c>
      <c r="I31" s="88">
        <v>303.2</v>
      </c>
    </row>
    <row r="32" spans="1:10" ht="15" customHeight="1" x14ac:dyDescent="0.25">
      <c r="B32" s="2" t="s">
        <v>62</v>
      </c>
      <c r="C32" s="2">
        <v>960</v>
      </c>
      <c r="D32" s="108">
        <v>1890</v>
      </c>
      <c r="E32" s="57">
        <f>+C32/D32</f>
        <v>0.50793650793650791</v>
      </c>
      <c r="G32" s="86" t="s">
        <v>104</v>
      </c>
      <c r="H32" s="87">
        <v>6</v>
      </c>
      <c r="I32" s="88">
        <v>0.15000000000000002</v>
      </c>
    </row>
    <row r="33" spans="1:10" ht="15" customHeight="1" x14ac:dyDescent="0.25">
      <c r="B33" s="2" t="s">
        <v>63</v>
      </c>
      <c r="C33" s="67">
        <v>706</v>
      </c>
      <c r="D33" s="108">
        <v>3006</v>
      </c>
      <c r="E33" s="57">
        <f>+C33/D33</f>
        <v>0.23486360612109114</v>
      </c>
      <c r="G33" s="89" t="s">
        <v>87</v>
      </c>
      <c r="H33" s="87">
        <v>53</v>
      </c>
      <c r="I33" s="88">
        <v>79.5</v>
      </c>
    </row>
    <row r="34" spans="1:10" x14ac:dyDescent="0.25">
      <c r="C34" s="2">
        <f>+SUM(C31:C33)</f>
        <v>2384</v>
      </c>
      <c r="D34" s="110">
        <f>+SUM(D31:D33)</f>
        <v>7038</v>
      </c>
      <c r="E34" s="57">
        <f>+C34/D34</f>
        <v>0.33873259448707022</v>
      </c>
      <c r="G34" s="89" t="s">
        <v>91</v>
      </c>
      <c r="H34" s="87">
        <v>22</v>
      </c>
      <c r="I34" s="88">
        <v>33</v>
      </c>
    </row>
    <row r="35" spans="1:10" x14ac:dyDescent="0.25">
      <c r="G35" s="89" t="s">
        <v>123</v>
      </c>
      <c r="H35" s="87">
        <v>116</v>
      </c>
      <c r="I35" s="88">
        <v>174</v>
      </c>
    </row>
    <row r="36" spans="1:10" ht="15" customHeight="1" x14ac:dyDescent="0.25">
      <c r="B36" s="2" t="s">
        <v>66</v>
      </c>
      <c r="D36" s="2"/>
      <c r="G36" s="89" t="s">
        <v>96</v>
      </c>
      <c r="H36" s="87">
        <v>23</v>
      </c>
      <c r="I36" s="88">
        <v>34.5</v>
      </c>
    </row>
    <row r="37" spans="1:10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73</v>
      </c>
      <c r="I37" s="88">
        <v>193.5</v>
      </c>
      <c r="J37" s="129" t="s">
        <v>113</v>
      </c>
    </row>
    <row r="38" spans="1:10" x14ac:dyDescent="0.25">
      <c r="B38" s="73">
        <v>26</v>
      </c>
      <c r="C38" s="74">
        <v>2</v>
      </c>
      <c r="D38" s="74">
        <v>10</v>
      </c>
      <c r="E38" s="75">
        <f>+SUM(B38:D38)</f>
        <v>38</v>
      </c>
    </row>
    <row r="39" spans="1:10" x14ac:dyDescent="0.25">
      <c r="E39" s="66" t="s">
        <v>76</v>
      </c>
      <c r="G39" s="144" t="s">
        <v>124</v>
      </c>
      <c r="H39" s="145">
        <v>30</v>
      </c>
    </row>
    <row r="40" spans="1:10" x14ac:dyDescent="0.25">
      <c r="D40" s="2"/>
      <c r="F40" s="71" t="s">
        <v>90</v>
      </c>
      <c r="G40" s="144" t="s">
        <v>120</v>
      </c>
      <c r="H40" s="145">
        <v>33</v>
      </c>
    </row>
    <row r="41" spans="1:10" x14ac:dyDescent="0.25">
      <c r="A41" s="2" t="s">
        <v>70</v>
      </c>
      <c r="B41" s="2">
        <v>0</v>
      </c>
      <c r="C41" s="2">
        <v>2243</v>
      </c>
      <c r="D41" s="68">
        <v>2400</v>
      </c>
      <c r="E41" s="57">
        <f t="shared" ref="E41:E46" si="3">+C41/D41</f>
        <v>0.93458333333333332</v>
      </c>
      <c r="F41" s="71">
        <v>7</v>
      </c>
      <c r="G41" s="144" t="s">
        <v>121</v>
      </c>
      <c r="H41" s="146">
        <v>53</v>
      </c>
    </row>
    <row r="42" spans="1:10" x14ac:dyDescent="0.25">
      <c r="A42" s="2" t="s">
        <v>71</v>
      </c>
      <c r="B42" s="2">
        <v>5.99</v>
      </c>
      <c r="C42" s="2">
        <v>2415</v>
      </c>
      <c r="D42" s="68">
        <v>3600</v>
      </c>
      <c r="E42" s="57">
        <f t="shared" si="3"/>
        <v>0.67083333333333328</v>
      </c>
      <c r="F42" s="71">
        <v>12</v>
      </c>
      <c r="G42" s="71"/>
    </row>
    <row r="43" spans="1:10" x14ac:dyDescent="0.25">
      <c r="A43" s="2" t="s">
        <v>72</v>
      </c>
      <c r="B43" s="2">
        <v>9.89</v>
      </c>
      <c r="C43" s="2">
        <v>2692</v>
      </c>
      <c r="D43" s="68">
        <v>3600</v>
      </c>
      <c r="E43" s="57">
        <f t="shared" si="3"/>
        <v>0.74777777777777776</v>
      </c>
      <c r="F43" s="71">
        <v>12</v>
      </c>
      <c r="G43" s="71"/>
    </row>
    <row r="44" spans="1:10" x14ac:dyDescent="0.25">
      <c r="A44" s="2" t="s">
        <v>73</v>
      </c>
      <c r="B44" s="2">
        <v>12.11</v>
      </c>
      <c r="C44" s="2">
        <v>2935</v>
      </c>
      <c r="D44" s="68">
        <v>3900</v>
      </c>
      <c r="E44" s="57">
        <f t="shared" si="3"/>
        <v>0.75256410256410255</v>
      </c>
      <c r="F44" s="71">
        <v>11</v>
      </c>
      <c r="G44" s="71"/>
    </row>
    <row r="45" spans="1:10" x14ac:dyDescent="0.25">
      <c r="A45" s="2" t="s">
        <v>74</v>
      </c>
      <c r="B45" s="2">
        <v>12.82</v>
      </c>
      <c r="C45" s="2">
        <v>2791</v>
      </c>
      <c r="D45" s="68">
        <v>3900</v>
      </c>
      <c r="E45" s="57">
        <f t="shared" si="3"/>
        <v>0.71564102564102561</v>
      </c>
      <c r="F45" s="71">
        <v>12</v>
      </c>
      <c r="G45" s="71"/>
    </row>
    <row r="46" spans="1:10" x14ac:dyDescent="0.25">
      <c r="A46" s="2" t="s">
        <v>75</v>
      </c>
      <c r="B46" s="123">
        <v>3.61</v>
      </c>
      <c r="C46" s="124">
        <v>2968</v>
      </c>
      <c r="D46" s="128">
        <v>4300</v>
      </c>
      <c r="E46" s="126">
        <f t="shared" si="3"/>
        <v>0.69023255813953488</v>
      </c>
      <c r="F46" s="71">
        <v>16</v>
      </c>
    </row>
    <row r="47" spans="1:10" x14ac:dyDescent="0.25">
      <c r="C47" s="71" t="s">
        <v>83</v>
      </c>
      <c r="D47" s="72" t="s">
        <v>79</v>
      </c>
    </row>
    <row r="48" spans="1:10" x14ac:dyDescent="0.25">
      <c r="B48" s="2" t="s">
        <v>78</v>
      </c>
      <c r="C48" s="71">
        <v>4</v>
      </c>
      <c r="D48" s="72"/>
    </row>
    <row r="49" spans="3:4" x14ac:dyDescent="0.25">
      <c r="C49" s="71">
        <v>5</v>
      </c>
      <c r="D49" s="108">
        <v>8</v>
      </c>
    </row>
    <row r="50" spans="3:4" x14ac:dyDescent="0.25">
      <c r="C50" s="71">
        <v>6</v>
      </c>
      <c r="D50" s="108">
        <v>10</v>
      </c>
    </row>
    <row r="51" spans="3:4" x14ac:dyDescent="0.25">
      <c r="C51" s="71">
        <v>8</v>
      </c>
    </row>
  </sheetData>
  <protectedRanges>
    <protectedRange password="D554" sqref="H39:H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activeCell="B1" sqref="B1:D1"/>
    </sheetView>
  </sheetViews>
  <sheetFormatPr baseColWidth="10" defaultColWidth="11.42578125" defaultRowHeight="15.75" x14ac:dyDescent="0.25"/>
  <cols>
    <col min="1" max="1" width="2.42578125" style="2" customWidth="1"/>
    <col min="2" max="2" width="50" style="2" bestFit="1" customWidth="1"/>
    <col min="3" max="3" width="15.28515625" style="2" customWidth="1"/>
    <col min="4" max="4" width="15.28515625" style="3" customWidth="1"/>
    <col min="5" max="5" width="12.5703125" style="2" customWidth="1"/>
    <col min="6" max="16384" width="11.42578125" style="2"/>
  </cols>
  <sheetData>
    <row r="1" spans="1:10" ht="15" customHeight="1" x14ac:dyDescent="0.25">
      <c r="A1" s="1"/>
      <c r="B1" s="518">
        <v>45826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148"/>
      <c r="C4" s="148"/>
      <c r="D4" s="5">
        <f>D25</f>
        <v>7752.6499999999978</v>
      </c>
      <c r="F4" s="58" t="s">
        <v>51</v>
      </c>
      <c r="G4" s="59">
        <v>45824</v>
      </c>
      <c r="H4" s="58">
        <v>6956</v>
      </c>
      <c r="I4" s="141">
        <v>6975.1299999999983</v>
      </c>
      <c r="J4" s="60">
        <f>+I4/H4</f>
        <v>1.0027501437607818</v>
      </c>
    </row>
    <row r="5" spans="1:10" ht="15" customHeight="1" x14ac:dyDescent="0.25">
      <c r="A5" s="4"/>
      <c r="B5" s="8" t="s">
        <v>6</v>
      </c>
      <c r="C5" s="50">
        <v>2160</v>
      </c>
      <c r="D5" s="46">
        <v>92.25800000000001</v>
      </c>
      <c r="E5" s="80">
        <f>+D5/$D$4</f>
        <v>1.1900188967643327E-2</v>
      </c>
      <c r="F5" s="58" t="s">
        <v>52</v>
      </c>
      <c r="G5" s="59">
        <v>45825</v>
      </c>
      <c r="H5" s="58">
        <v>8342</v>
      </c>
      <c r="I5" s="141">
        <v>7563.101999999999</v>
      </c>
      <c r="J5" s="60">
        <f t="shared" ref="J5:J11" si="0">+I5/H5</f>
        <v>0.90662934548069996</v>
      </c>
    </row>
    <row r="6" spans="1:10" ht="15" customHeight="1" x14ac:dyDescent="0.25">
      <c r="A6" s="4"/>
      <c r="B6" s="9" t="s">
        <v>10</v>
      </c>
      <c r="C6" s="51">
        <v>14969</v>
      </c>
      <c r="D6" s="47">
        <v>638.99</v>
      </c>
      <c r="E6" s="80">
        <f t="shared" ref="E6:E24" si="1">+D6/$D$4</f>
        <v>8.2422139526484514E-2</v>
      </c>
      <c r="F6" s="58" t="s">
        <v>53</v>
      </c>
      <c r="G6" s="59">
        <v>45826</v>
      </c>
      <c r="H6" s="58">
        <v>8167</v>
      </c>
      <c r="I6" s="141">
        <v>7752.6499999999978</v>
      </c>
      <c r="J6" s="60">
        <f t="shared" si="0"/>
        <v>0.94926533610872998</v>
      </c>
    </row>
    <row r="7" spans="1:10" ht="15" customHeight="1" x14ac:dyDescent="0.25">
      <c r="A7" s="4"/>
      <c r="B7" s="81" t="s">
        <v>35</v>
      </c>
      <c r="C7" s="82">
        <v>21523</v>
      </c>
      <c r="D7" s="83">
        <v>918.18799999999976</v>
      </c>
      <c r="E7" s="84">
        <f t="shared" si="1"/>
        <v>0.11843537371092465</v>
      </c>
      <c r="F7" s="58" t="s">
        <v>54</v>
      </c>
      <c r="G7" s="59">
        <v>45827</v>
      </c>
      <c r="H7" s="58">
        <v>8377</v>
      </c>
      <c r="I7" s="141"/>
      <c r="J7" s="60">
        <f t="shared" si="0"/>
        <v>0</v>
      </c>
    </row>
    <row r="8" spans="1:10" ht="15" customHeight="1" x14ac:dyDescent="0.25">
      <c r="A8" s="4"/>
      <c r="B8" s="9" t="s">
        <v>4</v>
      </c>
      <c r="C8" s="51">
        <v>1565</v>
      </c>
      <c r="D8" s="47">
        <v>66.72999999999999</v>
      </c>
      <c r="E8" s="80">
        <f t="shared" si="1"/>
        <v>8.6073794122009904E-3</v>
      </c>
      <c r="F8" s="58" t="s">
        <v>55</v>
      </c>
      <c r="G8" s="59">
        <v>45828</v>
      </c>
      <c r="H8" s="58">
        <v>7647</v>
      </c>
      <c r="I8" s="141"/>
      <c r="J8" s="60">
        <f t="shared" si="0"/>
        <v>0</v>
      </c>
    </row>
    <row r="9" spans="1:10" ht="15" customHeight="1" x14ac:dyDescent="0.25">
      <c r="A9" s="4"/>
      <c r="B9" s="81" t="s">
        <v>37</v>
      </c>
      <c r="C9" s="82">
        <v>28508</v>
      </c>
      <c r="D9" s="83">
        <v>1213.9179999999999</v>
      </c>
      <c r="E9" s="84">
        <f t="shared" si="1"/>
        <v>0.15658104003147313</v>
      </c>
      <c r="F9" s="58" t="s">
        <v>56</v>
      </c>
      <c r="G9" s="59">
        <v>45829</v>
      </c>
      <c r="H9" s="58">
        <v>6514</v>
      </c>
      <c r="I9" s="141"/>
      <c r="J9" s="60">
        <f t="shared" si="0"/>
        <v>0</v>
      </c>
    </row>
    <row r="10" spans="1:10" ht="15" customHeight="1" x14ac:dyDescent="0.25">
      <c r="A10" s="4"/>
      <c r="B10" s="81" t="s">
        <v>38</v>
      </c>
      <c r="C10" s="82">
        <v>42683</v>
      </c>
      <c r="D10" s="83">
        <v>1821.9879999999996</v>
      </c>
      <c r="E10" s="84">
        <f t="shared" si="1"/>
        <v>0.23501486588456852</v>
      </c>
      <c r="F10" s="58" t="s">
        <v>57</v>
      </c>
      <c r="G10" s="59">
        <v>45830</v>
      </c>
      <c r="H10" s="58">
        <v>3318</v>
      </c>
      <c r="I10" s="141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14053</v>
      </c>
      <c r="D11" s="47">
        <v>600.26799999999992</v>
      </c>
      <c r="E11" s="80">
        <f t="shared" si="1"/>
        <v>7.7427460287772573E-2</v>
      </c>
      <c r="H11" s="139">
        <f>+SUM(H4:H10)</f>
        <v>49321</v>
      </c>
      <c r="I11" s="142">
        <f>+SUM(I4:I10)</f>
        <v>22290.881999999994</v>
      </c>
      <c r="J11" s="140">
        <f t="shared" si="0"/>
        <v>0.45195519150057772</v>
      </c>
    </row>
    <row r="12" spans="1:10" ht="15" customHeight="1" x14ac:dyDescent="0.25">
      <c r="A12" s="4"/>
      <c r="B12" s="9" t="s">
        <v>47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119</v>
      </c>
      <c r="C13" s="51"/>
      <c r="D13" s="47"/>
      <c r="E13" s="80">
        <f t="shared" si="1"/>
        <v>0</v>
      </c>
      <c r="G13" s="112"/>
      <c r="H13" s="113">
        <v>2024</v>
      </c>
      <c r="I13" s="113">
        <v>2025</v>
      </c>
    </row>
    <row r="14" spans="1:10" ht="15" customHeight="1" x14ac:dyDescent="0.25">
      <c r="A14" s="4"/>
      <c r="B14" s="9" t="s">
        <v>44</v>
      </c>
      <c r="C14" s="51"/>
      <c r="D14" s="47"/>
      <c r="E14" s="80">
        <f t="shared" si="1"/>
        <v>0</v>
      </c>
      <c r="F14" s="66"/>
      <c r="G14" s="112" t="s">
        <v>108</v>
      </c>
      <c r="H14" s="119">
        <v>204007.80300000001</v>
      </c>
      <c r="I14" s="119">
        <v>190629.128</v>
      </c>
      <c r="J14" s="93">
        <f t="shared" ref="J14:J19" si="2">+I14/H14</f>
        <v>0.93442076820953746</v>
      </c>
    </row>
    <row r="15" spans="1:10" ht="15" customHeight="1" x14ac:dyDescent="0.25">
      <c r="A15" s="4"/>
      <c r="B15" s="9" t="s">
        <v>39</v>
      </c>
      <c r="C15" s="51">
        <v>410</v>
      </c>
      <c r="D15" s="47">
        <v>619.56999999999994</v>
      </c>
      <c r="E15" s="80">
        <f t="shared" si="1"/>
        <v>7.9917189606134698E-2</v>
      </c>
      <c r="G15" s="112" t="s">
        <v>109</v>
      </c>
      <c r="H15" s="119">
        <v>186305.94399999996</v>
      </c>
      <c r="I15" s="119">
        <v>182874.285</v>
      </c>
      <c r="J15" s="93">
        <f t="shared" si="2"/>
        <v>0.9815805179033904</v>
      </c>
    </row>
    <row r="16" spans="1:10" ht="15" customHeight="1" x14ac:dyDescent="0.25">
      <c r="A16" s="4"/>
      <c r="B16" s="9" t="s">
        <v>43</v>
      </c>
      <c r="C16" s="51">
        <v>362</v>
      </c>
      <c r="D16" s="47">
        <v>546.36</v>
      </c>
      <c r="E16" s="80">
        <f t="shared" si="1"/>
        <v>7.0473966966134186E-2</v>
      </c>
      <c r="G16" s="112" t="s">
        <v>110</v>
      </c>
      <c r="H16" s="119">
        <v>199570.19199999989</v>
      </c>
      <c r="I16" s="119">
        <v>197224.22099999999</v>
      </c>
      <c r="J16" s="93">
        <f t="shared" si="2"/>
        <v>0.98824488278289624</v>
      </c>
    </row>
    <row r="17" spans="1:10" ht="15" customHeight="1" x14ac:dyDescent="0.25">
      <c r="A17" s="4"/>
      <c r="B17" s="9" t="s">
        <v>44</v>
      </c>
      <c r="C17" s="51">
        <v>43</v>
      </c>
      <c r="D17" s="47">
        <v>65.069999999999993</v>
      </c>
      <c r="E17" s="80">
        <f t="shared" si="1"/>
        <v>8.3932590791535814E-3</v>
      </c>
      <c r="G17" s="112" t="s">
        <v>111</v>
      </c>
      <c r="H17" s="119">
        <v>205343.72800000012</v>
      </c>
      <c r="I17" s="119">
        <v>198970.75799999986</v>
      </c>
      <c r="J17" s="93">
        <f t="shared" si="2"/>
        <v>0.96896437956945902</v>
      </c>
    </row>
    <row r="18" spans="1:10" ht="15" customHeight="1" x14ac:dyDescent="0.25">
      <c r="A18" s="4"/>
      <c r="B18" s="9" t="s">
        <v>49</v>
      </c>
      <c r="C18" s="51">
        <v>43</v>
      </c>
      <c r="D18" s="47">
        <v>64.960000000000008</v>
      </c>
      <c r="E18" s="80">
        <f t="shared" si="1"/>
        <v>8.3790703823853809E-3</v>
      </c>
      <c r="G18" s="112" t="s">
        <v>102</v>
      </c>
      <c r="H18" s="119">
        <v>209473.77399999995</v>
      </c>
      <c r="I18" s="119">
        <v>212393.17300000001</v>
      </c>
      <c r="J18" s="93">
        <f t="shared" si="2"/>
        <v>1.0139368234230604</v>
      </c>
    </row>
    <row r="19" spans="1:10" ht="15" customHeight="1" x14ac:dyDescent="0.25">
      <c r="A19" s="4"/>
      <c r="B19" s="9" t="s">
        <v>45</v>
      </c>
      <c r="C19" s="51">
        <v>24</v>
      </c>
      <c r="D19" s="47">
        <v>36.29</v>
      </c>
      <c r="E19" s="80">
        <f t="shared" si="1"/>
        <v>4.6809800519822271E-3</v>
      </c>
      <c r="G19" s="3"/>
      <c r="H19" s="68">
        <f>+SUM(H14:H18)</f>
        <v>1004701.441</v>
      </c>
      <c r="I19" s="68">
        <f>+SUM(I14:I18)</f>
        <v>982091.56499999971</v>
      </c>
      <c r="J19" s="93">
        <f t="shared" si="2"/>
        <v>0.97749592557815368</v>
      </c>
    </row>
    <row r="20" spans="1:10" ht="15" customHeight="1" x14ac:dyDescent="0.25">
      <c r="A20" s="4"/>
      <c r="B20" s="9" t="s">
        <v>41</v>
      </c>
      <c r="C20" s="51">
        <v>223</v>
      </c>
      <c r="D20" s="47">
        <v>336.36</v>
      </c>
      <c r="E20" s="80">
        <f t="shared" si="1"/>
        <v>4.3386454954112481E-2</v>
      </c>
      <c r="G20" s="3"/>
      <c r="I20" s="68">
        <f>+I19-H19</f>
        <v>-22609.87600000028</v>
      </c>
    </row>
    <row r="21" spans="1:10" ht="15" customHeight="1" x14ac:dyDescent="0.25">
      <c r="A21" s="4"/>
      <c r="B21" s="9" t="s">
        <v>88</v>
      </c>
      <c r="C21" s="51"/>
      <c r="D21" s="47"/>
      <c r="E21" s="80">
        <f t="shared" si="1"/>
        <v>0</v>
      </c>
    </row>
    <row r="22" spans="1:10" ht="15" customHeight="1" x14ac:dyDescent="0.25">
      <c r="A22" s="4"/>
      <c r="B22" s="9" t="s">
        <v>40</v>
      </c>
      <c r="C22" s="51"/>
      <c r="D22" s="47">
        <v>547.7399999999999</v>
      </c>
      <c r="E22" s="80">
        <f t="shared" si="1"/>
        <v>7.0651970616498874E-2</v>
      </c>
    </row>
    <row r="23" spans="1:10" ht="15" customHeight="1" x14ac:dyDescent="0.25">
      <c r="A23" s="4"/>
      <c r="B23" s="9" t="s">
        <v>9</v>
      </c>
      <c r="C23" s="51"/>
      <c r="D23" s="47">
        <v>91.5</v>
      </c>
      <c r="E23" s="80">
        <f t="shared" si="1"/>
        <v>1.180241594809517E-2</v>
      </c>
    </row>
    <row r="24" spans="1:10" ht="15" customHeight="1" thickBot="1" x14ac:dyDescent="0.3">
      <c r="A24" s="4"/>
      <c r="B24" s="9" t="s">
        <v>46</v>
      </c>
      <c r="C24" s="51"/>
      <c r="D24" s="47">
        <v>92.460000000000008</v>
      </c>
      <c r="E24" s="80">
        <f t="shared" si="1"/>
        <v>1.1926244574435842E-2</v>
      </c>
    </row>
    <row r="25" spans="1:10" ht="15" customHeight="1" thickBot="1" x14ac:dyDescent="0.3">
      <c r="B25" s="52" t="s">
        <v>0</v>
      </c>
      <c r="C25" s="44"/>
      <c r="D25" s="45">
        <f>SUM(D5:D24)</f>
        <v>7752.6499999999978</v>
      </c>
      <c r="E25" s="53"/>
    </row>
    <row r="26" spans="1:10" ht="15" customHeight="1" x14ac:dyDescent="0.25">
      <c r="B26" s="6" t="s">
        <v>1</v>
      </c>
      <c r="C26" s="7"/>
      <c r="D26" s="48">
        <v>125368.637</v>
      </c>
      <c r="E26" s="98">
        <f>+D26/E2</f>
        <v>0.61277988660247329</v>
      </c>
      <c r="F26" s="3"/>
    </row>
    <row r="27" spans="1:10" x14ac:dyDescent="0.25">
      <c r="D27" s="108">
        <f>+(E2/30)*18</f>
        <v>122754</v>
      </c>
      <c r="E27" s="98">
        <f>+D27/E2</f>
        <v>0.6</v>
      </c>
    </row>
    <row r="28" spans="1:10" x14ac:dyDescent="0.25">
      <c r="D28" s="138">
        <f>+D26-D27</f>
        <v>2614.6370000000024</v>
      </c>
      <c r="E28" s="99">
        <f>+E26-E27</f>
        <v>1.2779886602473312E-2</v>
      </c>
    </row>
    <row r="29" spans="1:10" x14ac:dyDescent="0.25">
      <c r="G29" s="3"/>
    </row>
    <row r="30" spans="1:10" x14ac:dyDescent="0.25">
      <c r="B30" s="66" t="s">
        <v>60</v>
      </c>
      <c r="D30" s="109" t="s">
        <v>105</v>
      </c>
      <c r="E30" s="109" t="s">
        <v>80</v>
      </c>
      <c r="G30" s="3"/>
      <c r="I30" s="2" t="s">
        <v>92</v>
      </c>
    </row>
    <row r="31" spans="1:10" x14ac:dyDescent="0.25">
      <c r="B31" s="2" t="s">
        <v>61</v>
      </c>
      <c r="C31" s="2">
        <v>471</v>
      </c>
      <c r="D31" s="108">
        <v>2142</v>
      </c>
      <c r="E31" s="57">
        <f>+C31/D31</f>
        <v>0.21988795518207283</v>
      </c>
      <c r="G31" s="86" t="s">
        <v>86</v>
      </c>
      <c r="H31" s="87">
        <v>8358</v>
      </c>
      <c r="I31" s="88">
        <v>208.95000000000002</v>
      </c>
    </row>
    <row r="32" spans="1:10" ht="15" customHeight="1" x14ac:dyDescent="0.25">
      <c r="B32" s="2" t="s">
        <v>62</v>
      </c>
      <c r="C32" s="2">
        <v>950</v>
      </c>
      <c r="D32" s="108">
        <v>1890</v>
      </c>
      <c r="E32" s="57">
        <f>+C32/D32</f>
        <v>0.50264550264550267</v>
      </c>
      <c r="G32" s="86" t="s">
        <v>104</v>
      </c>
      <c r="H32" s="87">
        <v>6</v>
      </c>
      <c r="I32" s="88">
        <v>0.15000000000000002</v>
      </c>
    </row>
    <row r="33" spans="1:10" ht="15" customHeight="1" x14ac:dyDescent="0.25">
      <c r="B33" s="2" t="s">
        <v>63</v>
      </c>
      <c r="C33" s="67">
        <v>458</v>
      </c>
      <c r="D33" s="108">
        <v>3006</v>
      </c>
      <c r="E33" s="57">
        <f>+C33/D33</f>
        <v>0.15236194278110446</v>
      </c>
      <c r="G33" s="89" t="s">
        <v>87</v>
      </c>
      <c r="H33" s="87">
        <v>53</v>
      </c>
      <c r="I33" s="88">
        <v>79.5</v>
      </c>
    </row>
    <row r="34" spans="1:10" x14ac:dyDescent="0.25">
      <c r="C34" s="2">
        <f>+SUM(C31:C33)</f>
        <v>1879</v>
      </c>
      <c r="D34" s="110">
        <f>+SUM(D31:D33)</f>
        <v>7038</v>
      </c>
      <c r="E34" s="57">
        <f>+C34/D34</f>
        <v>0.26697925547030404</v>
      </c>
      <c r="G34" s="89" t="s">
        <v>91</v>
      </c>
      <c r="H34" s="87">
        <v>22</v>
      </c>
      <c r="I34" s="88">
        <v>33</v>
      </c>
    </row>
    <row r="35" spans="1:10" x14ac:dyDescent="0.25">
      <c r="G35" s="89" t="s">
        <v>123</v>
      </c>
      <c r="H35" s="87">
        <v>116</v>
      </c>
      <c r="I35" s="88">
        <v>174</v>
      </c>
    </row>
    <row r="36" spans="1:10" ht="15" customHeight="1" x14ac:dyDescent="0.25">
      <c r="B36" s="2" t="s">
        <v>66</v>
      </c>
      <c r="D36" s="2"/>
      <c r="G36" s="89" t="s">
        <v>96</v>
      </c>
      <c r="H36" s="87">
        <v>23</v>
      </c>
      <c r="I36" s="88">
        <v>34.5</v>
      </c>
    </row>
    <row r="37" spans="1:10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73</v>
      </c>
      <c r="I37" s="88">
        <v>193.5</v>
      </c>
      <c r="J37" s="129" t="s">
        <v>113</v>
      </c>
    </row>
    <row r="38" spans="1:10" x14ac:dyDescent="0.25">
      <c r="B38" s="73">
        <v>26</v>
      </c>
      <c r="C38" s="74">
        <v>7</v>
      </c>
      <c r="D38" s="74">
        <v>20</v>
      </c>
      <c r="E38" s="75">
        <f>+SUM(B38:D38)</f>
        <v>53</v>
      </c>
    </row>
    <row r="39" spans="1:10" x14ac:dyDescent="0.25">
      <c r="E39" s="66" t="s">
        <v>76</v>
      </c>
      <c r="G39" s="144" t="s">
        <v>124</v>
      </c>
      <c r="H39" s="145">
        <v>30</v>
      </c>
    </row>
    <row r="40" spans="1:10" x14ac:dyDescent="0.25">
      <c r="D40" s="2"/>
      <c r="F40" s="71" t="s">
        <v>90</v>
      </c>
      <c r="G40" s="144" t="s">
        <v>120</v>
      </c>
      <c r="H40" s="145">
        <v>11</v>
      </c>
    </row>
    <row r="41" spans="1:10" x14ac:dyDescent="0.25">
      <c r="A41" s="2" t="s">
        <v>70</v>
      </c>
      <c r="B41" s="2">
        <v>0</v>
      </c>
      <c r="C41" s="2">
        <v>2243</v>
      </c>
      <c r="D41" s="68">
        <v>2400</v>
      </c>
      <c r="E41" s="57">
        <f t="shared" ref="E41:E46" si="3">+C41/D41</f>
        <v>0.93458333333333332</v>
      </c>
      <c r="F41" s="71">
        <v>7</v>
      </c>
      <c r="G41" s="144" t="s">
        <v>121</v>
      </c>
      <c r="H41" s="146">
        <v>53</v>
      </c>
    </row>
    <row r="42" spans="1:10" x14ac:dyDescent="0.25">
      <c r="A42" s="2" t="s">
        <v>71</v>
      </c>
      <c r="B42" s="2">
        <v>7</v>
      </c>
      <c r="C42" s="2">
        <v>2478</v>
      </c>
      <c r="D42" s="68">
        <v>3600</v>
      </c>
      <c r="E42" s="57">
        <f t="shared" si="3"/>
        <v>0.68833333333333335</v>
      </c>
      <c r="F42" s="71">
        <v>12</v>
      </c>
      <c r="G42" s="71"/>
    </row>
    <row r="43" spans="1:10" x14ac:dyDescent="0.25">
      <c r="A43" s="2" t="s">
        <v>72</v>
      </c>
      <c r="B43" s="2">
        <v>10</v>
      </c>
      <c r="C43" s="2">
        <v>2929</v>
      </c>
      <c r="D43" s="68">
        <v>3600</v>
      </c>
      <c r="E43" s="57">
        <f t="shared" si="3"/>
        <v>0.81361111111111106</v>
      </c>
      <c r="F43" s="71">
        <v>12</v>
      </c>
      <c r="G43" s="71"/>
    </row>
    <row r="44" spans="1:10" x14ac:dyDescent="0.25">
      <c r="A44" s="2" t="s">
        <v>73</v>
      </c>
      <c r="B44" s="2">
        <v>12.8</v>
      </c>
      <c r="C44" s="2">
        <v>2847</v>
      </c>
      <c r="D44" s="68">
        <v>3900</v>
      </c>
      <c r="E44" s="57">
        <f t="shared" si="3"/>
        <v>0.73</v>
      </c>
      <c r="F44" s="71">
        <v>11</v>
      </c>
      <c r="G44" s="71"/>
    </row>
    <row r="45" spans="1:10" x14ac:dyDescent="0.25">
      <c r="A45" s="2" t="s">
        <v>74</v>
      </c>
      <c r="B45" s="2">
        <v>12.86</v>
      </c>
      <c r="C45" s="2">
        <v>2751</v>
      </c>
      <c r="D45" s="68">
        <v>3900</v>
      </c>
      <c r="E45" s="57">
        <f t="shared" si="3"/>
        <v>0.70538461538461539</v>
      </c>
      <c r="F45" s="71">
        <v>12</v>
      </c>
      <c r="G45" s="71"/>
    </row>
    <row r="46" spans="1:10" x14ac:dyDescent="0.25">
      <c r="A46" s="2" t="s">
        <v>75</v>
      </c>
      <c r="B46" s="123">
        <v>0</v>
      </c>
      <c r="C46" s="124">
        <v>0</v>
      </c>
      <c r="D46" s="128">
        <v>4300</v>
      </c>
      <c r="E46" s="126">
        <f t="shared" si="3"/>
        <v>0</v>
      </c>
      <c r="F46" s="71">
        <v>16</v>
      </c>
    </row>
    <row r="47" spans="1:10" x14ac:dyDescent="0.25">
      <c r="C47" s="71" t="s">
        <v>83</v>
      </c>
      <c r="D47" s="72" t="s">
        <v>79</v>
      </c>
    </row>
    <row r="48" spans="1:10" x14ac:dyDescent="0.25">
      <c r="B48" s="2" t="s">
        <v>78</v>
      </c>
      <c r="C48" s="71">
        <v>4</v>
      </c>
      <c r="D48" s="72"/>
    </row>
    <row r="49" spans="3:4" x14ac:dyDescent="0.25">
      <c r="C49" s="71">
        <v>5</v>
      </c>
      <c r="D49" s="108">
        <v>8</v>
      </c>
    </row>
    <row r="50" spans="3:4" x14ac:dyDescent="0.25">
      <c r="C50" s="71">
        <v>6</v>
      </c>
      <c r="D50" s="108">
        <v>10</v>
      </c>
    </row>
    <row r="51" spans="3:4" x14ac:dyDescent="0.25">
      <c r="C51" s="71">
        <v>8</v>
      </c>
    </row>
  </sheetData>
  <protectedRanges>
    <protectedRange password="D554" sqref="H39:H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B1" sqref="B1:D1"/>
    </sheetView>
  </sheetViews>
  <sheetFormatPr baseColWidth="10" defaultColWidth="11.42578125" defaultRowHeight="15.75" x14ac:dyDescent="0.25"/>
  <cols>
    <col min="1" max="1" width="2.42578125" style="2" customWidth="1"/>
    <col min="2" max="2" width="50" style="2" bestFit="1" customWidth="1"/>
    <col min="3" max="3" width="15.28515625" style="2" customWidth="1"/>
    <col min="4" max="4" width="15.28515625" style="3" customWidth="1"/>
    <col min="5" max="5" width="12.5703125" style="2" customWidth="1"/>
    <col min="6" max="16384" width="11.42578125" style="2"/>
  </cols>
  <sheetData>
    <row r="1" spans="1:10" ht="15" customHeight="1" x14ac:dyDescent="0.25">
      <c r="A1" s="1"/>
      <c r="B1" s="518">
        <v>45827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4"/>
      <c r="B4" s="149"/>
      <c r="C4" s="149"/>
      <c r="D4" s="5">
        <f>D25</f>
        <v>7966.5510000000013</v>
      </c>
      <c r="F4" s="58" t="s">
        <v>51</v>
      </c>
      <c r="G4" s="59">
        <v>45824</v>
      </c>
      <c r="H4" s="58">
        <v>6956</v>
      </c>
      <c r="I4" s="141">
        <v>6975.1299999999983</v>
      </c>
      <c r="J4" s="60">
        <f>+I4/H4</f>
        <v>1.0027501437607818</v>
      </c>
    </row>
    <row r="5" spans="1:10" ht="15" customHeight="1" x14ac:dyDescent="0.25">
      <c r="A5" s="4"/>
      <c r="B5" s="8" t="s">
        <v>6</v>
      </c>
      <c r="C5" s="50">
        <v>5352</v>
      </c>
      <c r="D5" s="46">
        <v>228.05399999999997</v>
      </c>
      <c r="E5" s="80">
        <f>+D5/$D$4</f>
        <v>2.8626440726984604E-2</v>
      </c>
      <c r="F5" s="58" t="s">
        <v>52</v>
      </c>
      <c r="G5" s="59">
        <v>45825</v>
      </c>
      <c r="H5" s="58">
        <v>8342</v>
      </c>
      <c r="I5" s="141">
        <v>7563.101999999999</v>
      </c>
      <c r="J5" s="60">
        <f t="shared" ref="J5:J11" si="0">+I5/H5</f>
        <v>0.90662934548069996</v>
      </c>
    </row>
    <row r="6" spans="1:10" ht="15" customHeight="1" x14ac:dyDescent="0.25">
      <c r="A6" s="4"/>
      <c r="B6" s="81" t="s">
        <v>10</v>
      </c>
      <c r="C6" s="82">
        <v>22194</v>
      </c>
      <c r="D6" s="83">
        <v>947.18200000000013</v>
      </c>
      <c r="E6" s="84">
        <f t="shared" ref="E6:E24" si="1">+D6/$D$4</f>
        <v>0.11889486428945223</v>
      </c>
      <c r="F6" s="58" t="s">
        <v>53</v>
      </c>
      <c r="G6" s="59">
        <v>45826</v>
      </c>
      <c r="H6" s="58">
        <v>8167</v>
      </c>
      <c r="I6" s="141">
        <v>7752.6499999999978</v>
      </c>
      <c r="J6" s="60">
        <f t="shared" si="0"/>
        <v>0.94926533610872998</v>
      </c>
    </row>
    <row r="7" spans="1:10" ht="15" customHeight="1" x14ac:dyDescent="0.25">
      <c r="A7" s="4"/>
      <c r="B7" s="9" t="s">
        <v>35</v>
      </c>
      <c r="C7" s="51">
        <v>18603</v>
      </c>
      <c r="D7" s="47">
        <v>793.78199999999981</v>
      </c>
      <c r="E7" s="80">
        <f t="shared" si="1"/>
        <v>9.9639354596487192E-2</v>
      </c>
      <c r="F7" s="58" t="s">
        <v>54</v>
      </c>
      <c r="G7" s="59">
        <v>45827</v>
      </c>
      <c r="H7" s="58">
        <v>8377</v>
      </c>
      <c r="I7" s="141">
        <v>7966.5510000000013</v>
      </c>
      <c r="J7" s="60">
        <f t="shared" si="0"/>
        <v>0.95100286498746578</v>
      </c>
    </row>
    <row r="8" spans="1:10" ht="15" customHeight="1" x14ac:dyDescent="0.25">
      <c r="A8" s="4"/>
      <c r="B8" s="9" t="s">
        <v>4</v>
      </c>
      <c r="C8" s="51">
        <v>2480</v>
      </c>
      <c r="D8" s="47">
        <v>105.76</v>
      </c>
      <c r="E8" s="80">
        <f t="shared" si="1"/>
        <v>1.3275506552333624E-2</v>
      </c>
      <c r="F8" s="58" t="s">
        <v>55</v>
      </c>
      <c r="G8" s="59">
        <v>45828</v>
      </c>
      <c r="H8" s="58">
        <v>7647</v>
      </c>
      <c r="I8" s="141"/>
      <c r="J8" s="60">
        <f t="shared" si="0"/>
        <v>0</v>
      </c>
    </row>
    <row r="9" spans="1:10" ht="15" customHeight="1" x14ac:dyDescent="0.25">
      <c r="A9" s="4"/>
      <c r="B9" s="150" t="s">
        <v>37</v>
      </c>
      <c r="C9" s="151">
        <v>34733</v>
      </c>
      <c r="D9" s="152">
        <v>1480.0200000000002</v>
      </c>
      <c r="E9" s="153">
        <f t="shared" si="1"/>
        <v>0.18577926633495473</v>
      </c>
      <c r="F9" s="58" t="s">
        <v>56</v>
      </c>
      <c r="G9" s="59">
        <v>45829</v>
      </c>
      <c r="H9" s="58">
        <v>6514</v>
      </c>
      <c r="I9" s="141"/>
      <c r="J9" s="60">
        <f t="shared" si="0"/>
        <v>0</v>
      </c>
    </row>
    <row r="10" spans="1:10" ht="15" customHeight="1" x14ac:dyDescent="0.25">
      <c r="A10" s="4"/>
      <c r="B10" s="150" t="s">
        <v>38</v>
      </c>
      <c r="C10" s="151">
        <v>45056</v>
      </c>
      <c r="D10" s="152">
        <v>1922.2880000000002</v>
      </c>
      <c r="E10" s="153">
        <f t="shared" si="1"/>
        <v>0.24129488407216623</v>
      </c>
      <c r="F10" s="58" t="s">
        <v>57</v>
      </c>
      <c r="G10" s="59">
        <v>45830</v>
      </c>
      <c r="H10" s="58">
        <v>3318</v>
      </c>
      <c r="I10" s="141"/>
      <c r="J10" s="60">
        <f t="shared" si="0"/>
        <v>0</v>
      </c>
    </row>
    <row r="11" spans="1:10" ht="15" customHeight="1" x14ac:dyDescent="0.25">
      <c r="A11" s="4"/>
      <c r="B11" s="9" t="s">
        <v>42</v>
      </c>
      <c r="C11" s="51">
        <v>7694</v>
      </c>
      <c r="D11" s="47">
        <v>328.49</v>
      </c>
      <c r="E11" s="80">
        <f t="shared" si="1"/>
        <v>4.1233653057640623E-2</v>
      </c>
      <c r="H11" s="139">
        <f>+SUM(H4:H10)</f>
        <v>49321</v>
      </c>
      <c r="I11" s="142">
        <f>+SUM(I4:I10)</f>
        <v>30257.432999999997</v>
      </c>
      <c r="J11" s="140">
        <f t="shared" si="0"/>
        <v>0.61347971452322536</v>
      </c>
    </row>
    <row r="12" spans="1:10" ht="15" customHeight="1" x14ac:dyDescent="0.25">
      <c r="A12" s="4"/>
      <c r="B12" s="9" t="s">
        <v>47</v>
      </c>
      <c r="C12" s="51"/>
      <c r="D12" s="47"/>
      <c r="E12" s="80">
        <f t="shared" si="1"/>
        <v>0</v>
      </c>
    </row>
    <row r="13" spans="1:10" ht="15" customHeight="1" x14ac:dyDescent="0.25">
      <c r="A13" s="4"/>
      <c r="B13" s="9" t="s">
        <v>95</v>
      </c>
      <c r="C13" s="51">
        <v>301</v>
      </c>
      <c r="D13" s="47">
        <v>7.5650000000000004</v>
      </c>
      <c r="E13" s="80">
        <f t="shared" si="1"/>
        <v>9.4959537697053586E-4</v>
      </c>
      <c r="G13" s="112"/>
      <c r="H13" s="113">
        <v>2024</v>
      </c>
      <c r="I13" s="113">
        <v>2025</v>
      </c>
    </row>
    <row r="14" spans="1:10" ht="15" customHeight="1" x14ac:dyDescent="0.25">
      <c r="A14" s="4"/>
      <c r="B14" s="9" t="s">
        <v>44</v>
      </c>
      <c r="C14" s="51"/>
      <c r="D14" s="47"/>
      <c r="E14" s="80">
        <f t="shared" si="1"/>
        <v>0</v>
      </c>
      <c r="F14" s="66"/>
      <c r="G14" s="112" t="s">
        <v>108</v>
      </c>
      <c r="H14" s="119">
        <v>204007.80300000001</v>
      </c>
      <c r="I14" s="119">
        <v>190629.128</v>
      </c>
      <c r="J14" s="93">
        <f>+I14/H14</f>
        <v>0.93442076820953746</v>
      </c>
    </row>
    <row r="15" spans="1:10" ht="15" customHeight="1" x14ac:dyDescent="0.25">
      <c r="A15" s="4"/>
      <c r="B15" s="9" t="s">
        <v>39</v>
      </c>
      <c r="C15" s="51">
        <v>410</v>
      </c>
      <c r="D15" s="47">
        <v>619.41</v>
      </c>
      <c r="E15" s="80">
        <f t="shared" si="1"/>
        <v>7.7751338063360154E-2</v>
      </c>
      <c r="G15" s="112" t="s">
        <v>109</v>
      </c>
      <c r="H15" s="119">
        <v>186305.94399999996</v>
      </c>
      <c r="I15" s="119">
        <v>182874.285</v>
      </c>
      <c r="J15" s="93">
        <f>+I15/H15</f>
        <v>0.9815805179033904</v>
      </c>
    </row>
    <row r="16" spans="1:10" ht="15" customHeight="1" x14ac:dyDescent="0.25">
      <c r="A16" s="4"/>
      <c r="B16" s="9" t="s">
        <v>43</v>
      </c>
      <c r="C16" s="51">
        <v>338</v>
      </c>
      <c r="D16" s="47">
        <v>510.54</v>
      </c>
      <c r="E16" s="80">
        <f t="shared" si="1"/>
        <v>6.4085449274096151E-2</v>
      </c>
      <c r="G16" s="112" t="s">
        <v>110</v>
      </c>
      <c r="H16" s="119">
        <v>199570.19199999989</v>
      </c>
      <c r="I16" s="119">
        <v>197224.22099999999</v>
      </c>
      <c r="J16" s="93">
        <f>+I16/H16</f>
        <v>0.98824488278289624</v>
      </c>
    </row>
    <row r="17" spans="1:10" ht="15" customHeight="1" x14ac:dyDescent="0.25">
      <c r="A17" s="4"/>
      <c r="B17" s="9" t="s">
        <v>44</v>
      </c>
      <c r="C17" s="51">
        <v>20</v>
      </c>
      <c r="D17" s="47">
        <v>30.35</v>
      </c>
      <c r="E17" s="80">
        <f t="shared" si="1"/>
        <v>3.8096787430344694E-3</v>
      </c>
      <c r="G17" s="112" t="s">
        <v>111</v>
      </c>
      <c r="H17" s="119">
        <v>205343.72800000012</v>
      </c>
      <c r="I17" s="119">
        <v>198970.75799999986</v>
      </c>
      <c r="J17" s="93">
        <f>+I17/H17</f>
        <v>0.96896437956945902</v>
      </c>
    </row>
    <row r="18" spans="1:10" ht="15" customHeight="1" x14ac:dyDescent="0.25">
      <c r="A18" s="4"/>
      <c r="B18" s="9" t="s">
        <v>49</v>
      </c>
      <c r="C18" s="51">
        <v>44</v>
      </c>
      <c r="D18" s="47">
        <v>66.34</v>
      </c>
      <c r="E18" s="80">
        <f t="shared" si="1"/>
        <v>8.3273175556147182E-3</v>
      </c>
      <c r="G18" s="112" t="s">
        <v>102</v>
      </c>
      <c r="H18" s="119">
        <v>209473.77399999995</v>
      </c>
      <c r="I18" s="119">
        <v>212393.17300000001</v>
      </c>
      <c r="J18" s="93">
        <f>+I18/H18</f>
        <v>1.0139368234230604</v>
      </c>
    </row>
    <row r="19" spans="1:10" ht="15" customHeight="1" x14ac:dyDescent="0.25">
      <c r="A19" s="4"/>
      <c r="B19" s="9" t="s">
        <v>45</v>
      </c>
      <c r="C19" s="51">
        <v>23</v>
      </c>
      <c r="D19" s="47">
        <v>34.630000000000003</v>
      </c>
      <c r="E19" s="80">
        <f t="shared" si="1"/>
        <v>4.3469250369450969E-3</v>
      </c>
      <c r="G19" s="112" t="s">
        <v>125</v>
      </c>
      <c r="J19" s="93">
        <f>+I20/H20</f>
        <v>0.97749592557815368</v>
      </c>
    </row>
    <row r="20" spans="1:10" ht="15" customHeight="1" x14ac:dyDescent="0.25">
      <c r="A20" s="4"/>
      <c r="B20" s="9" t="s">
        <v>41</v>
      </c>
      <c r="C20" s="51">
        <v>86</v>
      </c>
      <c r="D20" s="47">
        <v>129.72</v>
      </c>
      <c r="E20" s="80">
        <f t="shared" si="1"/>
        <v>1.6283081599552929E-2</v>
      </c>
      <c r="G20" s="3"/>
      <c r="H20" s="68">
        <f>+SUM(H14:H18)</f>
        <v>1004701.441</v>
      </c>
      <c r="I20" s="68">
        <f>+SUM(I14:I18)</f>
        <v>982091.56499999971</v>
      </c>
    </row>
    <row r="21" spans="1:10" ht="15" customHeight="1" x14ac:dyDescent="0.25">
      <c r="A21" s="4"/>
      <c r="B21" s="9" t="s">
        <v>88</v>
      </c>
      <c r="C21" s="51"/>
      <c r="D21" s="47">
        <v>30.18</v>
      </c>
      <c r="E21" s="80">
        <f t="shared" si="1"/>
        <v>3.7883395210800753E-3</v>
      </c>
      <c r="I21" s="68">
        <f>+I20-H20</f>
        <v>-22609.87600000028</v>
      </c>
    </row>
    <row r="22" spans="1:10" ht="15" customHeight="1" x14ac:dyDescent="0.25">
      <c r="A22" s="4"/>
      <c r="B22" s="9" t="s">
        <v>40</v>
      </c>
      <c r="C22" s="51"/>
      <c r="D22" s="47">
        <v>550.11999999999989</v>
      </c>
      <c r="E22" s="80">
        <f t="shared" si="1"/>
        <v>6.9053722244419177E-2</v>
      </c>
    </row>
    <row r="23" spans="1:10" ht="15" customHeight="1" x14ac:dyDescent="0.25">
      <c r="A23" s="4"/>
      <c r="B23" s="9" t="s">
        <v>9</v>
      </c>
      <c r="C23" s="51"/>
      <c r="D23" s="47">
        <v>122.91000000000001</v>
      </c>
      <c r="E23" s="80">
        <f t="shared" si="1"/>
        <v>1.5428257473026908E-2</v>
      </c>
    </row>
    <row r="24" spans="1:10" ht="15" customHeight="1" thickBot="1" x14ac:dyDescent="0.3">
      <c r="A24" s="4"/>
      <c r="B24" s="9" t="s">
        <v>46</v>
      </c>
      <c r="C24" s="51"/>
      <c r="D24" s="47">
        <v>59.21</v>
      </c>
      <c r="E24" s="80">
        <f t="shared" si="1"/>
        <v>7.4323254818804262E-3</v>
      </c>
    </row>
    <row r="25" spans="1:10" ht="15" customHeight="1" thickBot="1" x14ac:dyDescent="0.3">
      <c r="B25" s="52" t="s">
        <v>0</v>
      </c>
      <c r="C25" s="44"/>
      <c r="D25" s="45">
        <f>SUM(D5:D24)</f>
        <v>7966.5510000000013</v>
      </c>
      <c r="E25" s="53"/>
    </row>
    <row r="26" spans="1:10" ht="15" customHeight="1" x14ac:dyDescent="0.25">
      <c r="B26" s="6" t="s">
        <v>1</v>
      </c>
      <c r="C26" s="7"/>
      <c r="D26" s="48">
        <v>133335.18799999999</v>
      </c>
      <c r="E26" s="98">
        <f>+D26/E2</f>
        <v>0.65171898919790794</v>
      </c>
      <c r="F26" s="3"/>
    </row>
    <row r="27" spans="1:10" x14ac:dyDescent="0.25">
      <c r="D27" s="108">
        <f>+(E2/30)*19</f>
        <v>129573.66666666667</v>
      </c>
      <c r="E27" s="98">
        <f>+D27/E2</f>
        <v>0.6333333333333333</v>
      </c>
    </row>
    <row r="28" spans="1:10" x14ac:dyDescent="0.25">
      <c r="D28" s="138">
        <f>+D26-D27</f>
        <v>3761.5213333333231</v>
      </c>
      <c r="E28" s="99">
        <f>+E26-E27</f>
        <v>1.8385655864574635E-2</v>
      </c>
    </row>
    <row r="29" spans="1:10" ht="15" customHeight="1" x14ac:dyDescent="0.25">
      <c r="G29" s="3"/>
    </row>
    <row r="30" spans="1:10" ht="15" customHeight="1" x14ac:dyDescent="0.25">
      <c r="B30" s="66" t="s">
        <v>60</v>
      </c>
      <c r="D30" s="109" t="s">
        <v>105</v>
      </c>
      <c r="E30" s="109" t="s">
        <v>80</v>
      </c>
      <c r="G30" s="3"/>
      <c r="I30" s="2" t="s">
        <v>92</v>
      </c>
    </row>
    <row r="31" spans="1:10" x14ac:dyDescent="0.25">
      <c r="B31" s="2" t="s">
        <v>61</v>
      </c>
      <c r="C31" s="2">
        <v>471</v>
      </c>
      <c r="D31" s="108">
        <v>2142</v>
      </c>
      <c r="E31" s="57">
        <f>+C31/D31</f>
        <v>0.21988795518207283</v>
      </c>
      <c r="G31" s="86" t="s">
        <v>86</v>
      </c>
      <c r="H31" s="87">
        <v>8421</v>
      </c>
      <c r="I31" s="88">
        <v>210.52500000000001</v>
      </c>
    </row>
    <row r="32" spans="1:10" x14ac:dyDescent="0.25">
      <c r="B32" s="2" t="s">
        <v>62</v>
      </c>
      <c r="C32" s="2">
        <v>1317</v>
      </c>
      <c r="D32" s="108">
        <v>1890</v>
      </c>
      <c r="E32" s="57">
        <f>+C32/D32</f>
        <v>0.69682539682539679</v>
      </c>
      <c r="G32" s="86" t="s">
        <v>104</v>
      </c>
      <c r="H32" s="87">
        <v>6</v>
      </c>
      <c r="I32" s="88">
        <v>0.15000000000000002</v>
      </c>
    </row>
    <row r="33" spans="1:11" ht="15" customHeight="1" x14ac:dyDescent="0.25">
      <c r="B33" s="2" t="s">
        <v>63</v>
      </c>
      <c r="C33" s="67">
        <v>447</v>
      </c>
      <c r="D33" s="108">
        <v>3006</v>
      </c>
      <c r="E33" s="57">
        <f>+C33/D33</f>
        <v>0.14870259481037923</v>
      </c>
      <c r="G33" s="89" t="s">
        <v>87</v>
      </c>
      <c r="H33" s="87">
        <v>65</v>
      </c>
      <c r="I33" s="88">
        <v>97.5</v>
      </c>
    </row>
    <row r="34" spans="1:11" ht="15" customHeight="1" x14ac:dyDescent="0.25">
      <c r="C34" s="2">
        <f>+SUM(C31:C33)</f>
        <v>2235</v>
      </c>
      <c r="D34" s="110">
        <f>+SUM(D31:D33)</f>
        <v>7038</v>
      </c>
      <c r="E34" s="57">
        <f>+C34/D34</f>
        <v>0.31756180733162831</v>
      </c>
      <c r="G34" s="89" t="s">
        <v>91</v>
      </c>
      <c r="H34" s="87">
        <v>29</v>
      </c>
      <c r="I34" s="88">
        <v>43.5</v>
      </c>
    </row>
    <row r="35" spans="1:11" x14ac:dyDescent="0.25">
      <c r="G35" s="89" t="s">
        <v>123</v>
      </c>
      <c r="H35" s="87">
        <v>95</v>
      </c>
      <c r="I35" s="88">
        <v>142.5</v>
      </c>
    </row>
    <row r="36" spans="1:11" x14ac:dyDescent="0.25">
      <c r="B36" s="2" t="s">
        <v>66</v>
      </c>
      <c r="D36" s="2"/>
      <c r="G36" s="89" t="s">
        <v>96</v>
      </c>
      <c r="H36" s="87">
        <v>22</v>
      </c>
      <c r="I36" s="88">
        <v>33</v>
      </c>
    </row>
    <row r="37" spans="1:1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206</v>
      </c>
      <c r="I37" s="88">
        <f>+H37*1.5</f>
        <v>309</v>
      </c>
      <c r="J37" s="129" t="s">
        <v>113</v>
      </c>
    </row>
    <row r="38" spans="1:11" x14ac:dyDescent="0.25">
      <c r="B38" s="73">
        <v>18</v>
      </c>
      <c r="C38" s="74">
        <v>3</v>
      </c>
      <c r="D38" s="74">
        <v>27</v>
      </c>
      <c r="E38" s="75">
        <f>+SUM(B38:D38)</f>
        <v>48</v>
      </c>
    </row>
    <row r="39" spans="1:11" x14ac:dyDescent="0.25">
      <c r="E39" s="66" t="s">
        <v>76</v>
      </c>
      <c r="G39" s="144" t="s">
        <v>124</v>
      </c>
      <c r="H39" s="145">
        <v>30</v>
      </c>
    </row>
    <row r="40" spans="1:11" x14ac:dyDescent="0.25">
      <c r="D40" s="2"/>
      <c r="F40" s="71" t="s">
        <v>90</v>
      </c>
      <c r="G40" s="144" t="s">
        <v>120</v>
      </c>
      <c r="H40" s="145">
        <v>12</v>
      </c>
    </row>
    <row r="41" spans="1:11" x14ac:dyDescent="0.25">
      <c r="A41" s="2" t="s">
        <v>70</v>
      </c>
      <c r="B41" s="2">
        <v>0</v>
      </c>
      <c r="C41" s="2">
        <v>2243</v>
      </c>
      <c r="D41" s="68">
        <v>2400</v>
      </c>
      <c r="E41" s="57">
        <f t="shared" ref="E41:E46" si="2">+C41/D41</f>
        <v>0.93458333333333332</v>
      </c>
      <c r="F41" s="71">
        <v>7</v>
      </c>
      <c r="G41" s="144" t="s">
        <v>121</v>
      </c>
      <c r="H41" s="146">
        <v>53</v>
      </c>
    </row>
    <row r="42" spans="1:11" x14ac:dyDescent="0.25">
      <c r="A42" s="2" t="s">
        <v>71</v>
      </c>
      <c r="B42" s="2">
        <v>5.39</v>
      </c>
      <c r="C42" s="2">
        <v>2424</v>
      </c>
      <c r="D42" s="68">
        <v>3600</v>
      </c>
      <c r="E42" s="57">
        <f t="shared" si="2"/>
        <v>0.67333333333333334</v>
      </c>
      <c r="F42" s="71">
        <v>12</v>
      </c>
      <c r="G42" s="71"/>
    </row>
    <row r="43" spans="1:11" x14ac:dyDescent="0.25">
      <c r="A43" s="2" t="s">
        <v>72</v>
      </c>
      <c r="B43" s="2">
        <v>13.71</v>
      </c>
      <c r="C43" s="2">
        <v>3009</v>
      </c>
      <c r="D43" s="68">
        <v>3600</v>
      </c>
      <c r="E43" s="57">
        <f t="shared" si="2"/>
        <v>0.83583333333333332</v>
      </c>
      <c r="F43" s="71">
        <v>12</v>
      </c>
      <c r="G43" s="160" t="s">
        <v>128</v>
      </c>
    </row>
    <row r="44" spans="1:11" x14ac:dyDescent="0.25">
      <c r="A44" s="2" t="s">
        <v>73</v>
      </c>
      <c r="B44" s="2">
        <v>14.28</v>
      </c>
      <c r="C44" s="2">
        <v>3000</v>
      </c>
      <c r="D44" s="68">
        <v>3900</v>
      </c>
      <c r="E44" s="57">
        <f t="shared" si="2"/>
        <v>0.76923076923076927</v>
      </c>
      <c r="F44" s="71">
        <v>11</v>
      </c>
      <c r="G44" s="154">
        <v>45811</v>
      </c>
      <c r="H44" s="155">
        <v>73</v>
      </c>
    </row>
    <row r="45" spans="1:11" x14ac:dyDescent="0.25">
      <c r="A45" s="2" t="s">
        <v>74</v>
      </c>
      <c r="B45" s="2">
        <v>13.36</v>
      </c>
      <c r="C45" s="2">
        <v>2537</v>
      </c>
      <c r="D45" s="68">
        <v>3900</v>
      </c>
      <c r="E45" s="57">
        <f t="shared" si="2"/>
        <v>0.65051282051282056</v>
      </c>
      <c r="F45" s="71">
        <v>12</v>
      </c>
      <c r="G45" s="156">
        <v>45826</v>
      </c>
      <c r="H45" s="157">
        <v>29</v>
      </c>
      <c r="I45" s="520">
        <f>+SUM(H45:H47)</f>
        <v>133</v>
      </c>
    </row>
    <row r="46" spans="1:11" x14ac:dyDescent="0.25">
      <c r="A46" s="2" t="s">
        <v>75</v>
      </c>
      <c r="B46" s="123">
        <v>2.2599999999999998</v>
      </c>
      <c r="C46" s="124">
        <f>5267/B46</f>
        <v>2330.5309734513276</v>
      </c>
      <c r="D46" s="128">
        <v>4300</v>
      </c>
      <c r="E46" s="126">
        <f t="shared" si="2"/>
        <v>0.54198394731426225</v>
      </c>
      <c r="F46" s="71">
        <v>16</v>
      </c>
      <c r="G46" s="156">
        <v>45826</v>
      </c>
      <c r="H46" s="157">
        <v>72</v>
      </c>
      <c r="I46" s="520"/>
      <c r="K46" s="2">
        <f>+I45*1.5</f>
        <v>199.5</v>
      </c>
    </row>
    <row r="47" spans="1:11" x14ac:dyDescent="0.25">
      <c r="C47" s="71" t="s">
        <v>83</v>
      </c>
      <c r="D47" s="72" t="s">
        <v>79</v>
      </c>
      <c r="G47" s="144">
        <v>45827</v>
      </c>
      <c r="H47" s="146">
        <v>32</v>
      </c>
      <c r="I47" s="520"/>
    </row>
    <row r="48" spans="1:11" x14ac:dyDescent="0.25">
      <c r="B48" s="2" t="s">
        <v>78</v>
      </c>
      <c r="C48" s="71">
        <v>4</v>
      </c>
      <c r="D48" s="72"/>
      <c r="I48" s="159" t="s">
        <v>127</v>
      </c>
    </row>
    <row r="49" spans="3:11" x14ac:dyDescent="0.25">
      <c r="C49" s="71">
        <v>5</v>
      </c>
      <c r="D49" s="108">
        <v>9</v>
      </c>
      <c r="G49" s="112" t="s">
        <v>126</v>
      </c>
      <c r="H49" s="112">
        <v>260</v>
      </c>
      <c r="I49" s="158">
        <f>+H49-I45</f>
        <v>127</v>
      </c>
      <c r="K49" s="2">
        <f>+I49*1.5</f>
        <v>190.5</v>
      </c>
    </row>
    <row r="50" spans="3:11" x14ac:dyDescent="0.25">
      <c r="C50" s="71">
        <v>6</v>
      </c>
      <c r="D50" s="108">
        <v>9</v>
      </c>
    </row>
    <row r="51" spans="3:11" x14ac:dyDescent="0.25">
      <c r="C51" s="71">
        <v>8</v>
      </c>
    </row>
  </sheetData>
  <protectedRanges>
    <protectedRange password="D554" sqref="H39:H40" name="Rango1_1_2" securityDescriptor="O:WDG:WDD:(A;;CC;;;S-1-5-21-602234756-1814372317-3751740159-65568)(A;;CC;;;S-1-5-21-602234756-1814372317-3751740159-104412)"/>
  </protectedRanges>
  <mergeCells count="3">
    <mergeCell ref="B1:D1"/>
    <mergeCell ref="B3:D3"/>
    <mergeCell ref="I45:I47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F17" sqref="F17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2.5703125" style="162" customWidth="1"/>
    <col min="6" max="16384" width="11.42578125" style="162"/>
  </cols>
  <sheetData>
    <row r="1" spans="1:10" ht="15" customHeight="1" x14ac:dyDescent="0.25">
      <c r="A1" s="161"/>
      <c r="B1" s="518">
        <v>45830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16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75"/>
      <c r="C4" s="175"/>
      <c r="D4" s="165">
        <f>D25</f>
        <v>4328.5840000000007</v>
      </c>
      <c r="F4" s="58" t="s">
        <v>51</v>
      </c>
      <c r="G4" s="59">
        <v>45824</v>
      </c>
      <c r="H4" s="58">
        <v>6956</v>
      </c>
      <c r="I4" s="141">
        <v>6975.1299999999983</v>
      </c>
      <c r="J4" s="60">
        <f>+I4/H4</f>
        <v>1.0027501437607818</v>
      </c>
    </row>
    <row r="5" spans="1:10" ht="15" customHeight="1" x14ac:dyDescent="0.25">
      <c r="A5" s="164"/>
      <c r="B5" s="168" t="s">
        <v>6</v>
      </c>
      <c r="C5" s="176">
        <v>717</v>
      </c>
      <c r="D5" s="172">
        <v>30.62</v>
      </c>
      <c r="E5" s="80">
        <f>+D5/$D$4</f>
        <v>7.0739068480593185E-3</v>
      </c>
      <c r="F5" s="58" t="s">
        <v>52</v>
      </c>
      <c r="G5" s="59">
        <v>45825</v>
      </c>
      <c r="H5" s="58">
        <v>8342</v>
      </c>
      <c r="I5" s="141">
        <v>7563.101999999999</v>
      </c>
      <c r="J5" s="60">
        <f t="shared" ref="J5:J11" si="0">+I5/H5</f>
        <v>0.90662934548069996</v>
      </c>
    </row>
    <row r="6" spans="1:10" ht="15" customHeight="1" x14ac:dyDescent="0.25">
      <c r="A6" s="164"/>
      <c r="B6" s="169" t="s">
        <v>10</v>
      </c>
      <c r="C6" s="177">
        <v>12443</v>
      </c>
      <c r="D6" s="173">
        <v>531.05400000000009</v>
      </c>
      <c r="E6" s="84">
        <f t="shared" ref="E6:E24" si="1">+D6/$D$4</f>
        <v>0.12268538626026433</v>
      </c>
      <c r="F6" s="58" t="s">
        <v>53</v>
      </c>
      <c r="G6" s="59">
        <v>45826</v>
      </c>
      <c r="H6" s="58">
        <v>8167</v>
      </c>
      <c r="I6" s="141">
        <v>7752.6499999999978</v>
      </c>
      <c r="J6" s="60">
        <f t="shared" si="0"/>
        <v>0.94926533610872998</v>
      </c>
    </row>
    <row r="7" spans="1:10" ht="15" customHeight="1" x14ac:dyDescent="0.25">
      <c r="A7" s="164"/>
      <c r="B7" s="169" t="s">
        <v>35</v>
      </c>
      <c r="C7" s="177">
        <v>9154</v>
      </c>
      <c r="D7" s="173">
        <v>391.04</v>
      </c>
      <c r="E7" s="80">
        <f t="shared" si="1"/>
        <v>9.0339011556666099E-2</v>
      </c>
      <c r="F7" s="58" t="s">
        <v>54</v>
      </c>
      <c r="G7" s="59">
        <v>45827</v>
      </c>
      <c r="H7" s="58">
        <v>8377</v>
      </c>
      <c r="I7" s="141">
        <v>7966.5510000000013</v>
      </c>
      <c r="J7" s="60">
        <f t="shared" si="0"/>
        <v>0.95100286498746578</v>
      </c>
    </row>
    <row r="8" spans="1:10" ht="15" customHeight="1" x14ac:dyDescent="0.25">
      <c r="A8" s="164"/>
      <c r="B8" s="169" t="s">
        <v>4</v>
      </c>
      <c r="C8" s="177">
        <v>6976</v>
      </c>
      <c r="D8" s="173">
        <v>297.37</v>
      </c>
      <c r="E8" s="80">
        <f t="shared" si="1"/>
        <v>6.8699140411737414E-2</v>
      </c>
      <c r="F8" s="58" t="s">
        <v>55</v>
      </c>
      <c r="G8" s="59">
        <v>45828</v>
      </c>
      <c r="H8" s="58">
        <v>7647</v>
      </c>
      <c r="I8" s="141">
        <v>7914.11</v>
      </c>
      <c r="J8" s="60">
        <f t="shared" si="0"/>
        <v>1.0349300379233686</v>
      </c>
    </row>
    <row r="9" spans="1:10" ht="15" customHeight="1" x14ac:dyDescent="0.25">
      <c r="A9" s="164"/>
      <c r="B9" s="169" t="s">
        <v>37</v>
      </c>
      <c r="C9" s="177">
        <v>13884</v>
      </c>
      <c r="D9" s="173">
        <v>593.19600000000003</v>
      </c>
      <c r="E9" s="153">
        <f t="shared" si="1"/>
        <v>0.13704158218946424</v>
      </c>
      <c r="F9" s="58" t="s">
        <v>56</v>
      </c>
      <c r="G9" s="59">
        <v>45829</v>
      </c>
      <c r="H9" s="58">
        <v>6514</v>
      </c>
      <c r="I9" s="141">
        <v>5434.35</v>
      </c>
      <c r="J9" s="60">
        <f t="shared" si="0"/>
        <v>0.83425698495548051</v>
      </c>
    </row>
    <row r="10" spans="1:10" ht="15" customHeight="1" x14ac:dyDescent="0.25">
      <c r="A10" s="164"/>
      <c r="B10" s="169" t="s">
        <v>38</v>
      </c>
      <c r="C10" s="177">
        <v>16532</v>
      </c>
      <c r="D10" s="173">
        <v>705.87400000000002</v>
      </c>
      <c r="E10" s="153">
        <f t="shared" si="1"/>
        <v>0.16307272770956965</v>
      </c>
      <c r="F10" s="58" t="s">
        <v>57</v>
      </c>
      <c r="G10" s="59">
        <v>45830</v>
      </c>
      <c r="H10" s="58">
        <v>3318</v>
      </c>
      <c r="I10" s="141">
        <v>4328.5840000000007</v>
      </c>
      <c r="J10" s="60">
        <f t="shared" si="0"/>
        <v>1.3045762507534662</v>
      </c>
    </row>
    <row r="11" spans="1:10" ht="15" customHeight="1" x14ac:dyDescent="0.25">
      <c r="A11" s="164"/>
      <c r="B11" s="169" t="s">
        <v>42</v>
      </c>
      <c r="C11" s="177">
        <v>9113</v>
      </c>
      <c r="D11" s="173">
        <v>388.91999999999996</v>
      </c>
      <c r="E11" s="80">
        <f t="shared" si="1"/>
        <v>8.9849244002195613E-2</v>
      </c>
      <c r="H11" s="139">
        <f>+SUM(H4:H10)</f>
        <v>49321</v>
      </c>
      <c r="I11" s="142">
        <f>+SUM(I4:I10)</f>
        <v>47934.476999999999</v>
      </c>
      <c r="J11" s="140">
        <f t="shared" si="0"/>
        <v>0.97188777599805354</v>
      </c>
    </row>
    <row r="12" spans="1:10" ht="15" customHeight="1" x14ac:dyDescent="0.25">
      <c r="A12" s="164"/>
      <c r="B12" s="169" t="s">
        <v>47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34</v>
      </c>
      <c r="C13" s="177">
        <v>1224</v>
      </c>
      <c r="D13" s="173">
        <v>30.83</v>
      </c>
      <c r="E13" s="80">
        <f t="shared" si="1"/>
        <v>7.1224215586436568E-3</v>
      </c>
      <c r="G13" s="112"/>
      <c r="H13" s="113">
        <v>2024</v>
      </c>
      <c r="I13" s="113">
        <v>2025</v>
      </c>
    </row>
    <row r="14" spans="1:10" ht="15" customHeight="1" x14ac:dyDescent="0.25">
      <c r="A14" s="164"/>
      <c r="B14" s="169" t="s">
        <v>43</v>
      </c>
      <c r="C14" s="177">
        <v>224</v>
      </c>
      <c r="D14" s="173">
        <v>338.90000000000003</v>
      </c>
      <c r="E14" s="80">
        <f t="shared" si="1"/>
        <v>7.8293501985868819E-2</v>
      </c>
      <c r="F14" s="66"/>
      <c r="G14" s="112" t="s">
        <v>108</v>
      </c>
      <c r="H14" s="119">
        <v>204007.80300000001</v>
      </c>
      <c r="I14" s="119">
        <v>190629.128</v>
      </c>
      <c r="J14" s="93">
        <f>+I14/H14</f>
        <v>0.93442076820953746</v>
      </c>
    </row>
    <row r="15" spans="1:10" ht="15" customHeight="1" x14ac:dyDescent="0.25">
      <c r="A15" s="164"/>
      <c r="B15" s="169" t="s">
        <v>44</v>
      </c>
      <c r="C15" s="177">
        <v>22</v>
      </c>
      <c r="D15" s="173">
        <v>33.26</v>
      </c>
      <c r="E15" s="80">
        <f t="shared" si="1"/>
        <v>7.6838060668338636E-3</v>
      </c>
      <c r="G15" s="112" t="s">
        <v>109</v>
      </c>
      <c r="H15" s="119">
        <v>186305.94399999996</v>
      </c>
      <c r="I15" s="119">
        <v>182874.285</v>
      </c>
      <c r="J15" s="93">
        <f>+I15/H15</f>
        <v>0.9815805179033904</v>
      </c>
    </row>
    <row r="16" spans="1:10" ht="15" customHeight="1" x14ac:dyDescent="0.25">
      <c r="A16" s="164"/>
      <c r="B16" s="169" t="s">
        <v>49</v>
      </c>
      <c r="C16" s="177">
        <v>40</v>
      </c>
      <c r="D16" s="173">
        <v>60.28</v>
      </c>
      <c r="E16" s="80">
        <f t="shared" si="1"/>
        <v>1.3926032162018801E-2</v>
      </c>
      <c r="G16" s="112" t="s">
        <v>110</v>
      </c>
      <c r="H16" s="119">
        <v>199570.19199999989</v>
      </c>
      <c r="I16" s="119">
        <v>197224.22099999999</v>
      </c>
      <c r="J16" s="93">
        <f>+I16/H16</f>
        <v>0.98824488278289624</v>
      </c>
    </row>
    <row r="17" spans="1:10" ht="15" customHeight="1" x14ac:dyDescent="0.25">
      <c r="A17" s="164"/>
      <c r="B17" s="169" t="s">
        <v>41</v>
      </c>
      <c r="C17" s="177">
        <v>82</v>
      </c>
      <c r="D17" s="173">
        <v>123.5</v>
      </c>
      <c r="E17" s="80">
        <f t="shared" si="1"/>
        <v>2.8531270272218346E-2</v>
      </c>
      <c r="G17" s="112" t="s">
        <v>111</v>
      </c>
      <c r="H17" s="119">
        <v>205343.72800000012</v>
      </c>
      <c r="I17" s="119">
        <v>198970.75799999986</v>
      </c>
      <c r="J17" s="93">
        <f>+I17/H17</f>
        <v>0.96896437956945902</v>
      </c>
    </row>
    <row r="18" spans="1:10" ht="15" customHeight="1" x14ac:dyDescent="0.25">
      <c r="A18" s="164"/>
      <c r="B18" s="169" t="s">
        <v>39</v>
      </c>
      <c r="C18" s="177">
        <v>171</v>
      </c>
      <c r="D18" s="173">
        <v>258.79000000000002</v>
      </c>
      <c r="E18" s="80">
        <f t="shared" si="1"/>
        <v>5.9786295010100292E-2</v>
      </c>
      <c r="G18" s="112" t="s">
        <v>102</v>
      </c>
      <c r="H18" s="119">
        <v>209473.77399999995</v>
      </c>
      <c r="I18" s="119">
        <v>212393.17300000001</v>
      </c>
      <c r="J18" s="93">
        <f>+I18/H18</f>
        <v>1.0139368234230604</v>
      </c>
    </row>
    <row r="19" spans="1:10" ht="15" customHeight="1" x14ac:dyDescent="0.25">
      <c r="A19" s="164"/>
      <c r="B19" s="169" t="s">
        <v>85</v>
      </c>
      <c r="C19" s="177">
        <v>21</v>
      </c>
      <c r="D19" s="173">
        <v>31.67</v>
      </c>
      <c r="E19" s="80">
        <f t="shared" si="1"/>
        <v>7.3164804009810125E-3</v>
      </c>
      <c r="G19" s="112" t="s">
        <v>125</v>
      </c>
    </row>
    <row r="20" spans="1:10" ht="15" customHeight="1" x14ac:dyDescent="0.25">
      <c r="A20" s="164"/>
      <c r="B20" s="169" t="s">
        <v>41</v>
      </c>
      <c r="C20" s="177"/>
      <c r="D20" s="173"/>
      <c r="E20" s="80">
        <f t="shared" si="1"/>
        <v>0</v>
      </c>
      <c r="G20" s="163"/>
      <c r="H20" s="68">
        <f>+SUM(H14:H18)</f>
        <v>1004701.441</v>
      </c>
      <c r="I20" s="68">
        <f>+SUM(I14:I18)</f>
        <v>982091.56499999971</v>
      </c>
      <c r="J20" s="93">
        <f>+I20/H20</f>
        <v>0.97749592557815368</v>
      </c>
    </row>
    <row r="21" spans="1:10" ht="15" customHeight="1" x14ac:dyDescent="0.25">
      <c r="A21" s="164"/>
      <c r="B21" s="169" t="s">
        <v>88</v>
      </c>
      <c r="C21" s="177"/>
      <c r="D21" s="173"/>
      <c r="E21" s="80">
        <f t="shared" si="1"/>
        <v>0</v>
      </c>
      <c r="I21" s="68">
        <f>+I20-H20</f>
        <v>-22609.87600000028</v>
      </c>
    </row>
    <row r="22" spans="1:10" ht="15" customHeight="1" x14ac:dyDescent="0.25">
      <c r="A22" s="164"/>
      <c r="B22" s="169" t="s">
        <v>9</v>
      </c>
      <c r="C22" s="177"/>
      <c r="D22" s="173">
        <v>149.48000000000002</v>
      </c>
      <c r="E22" s="80">
        <f t="shared" si="1"/>
        <v>3.453323303879513E-2</v>
      </c>
    </row>
    <row r="23" spans="1:10" ht="15" customHeight="1" x14ac:dyDescent="0.25">
      <c r="A23" s="164"/>
      <c r="B23" s="169" t="s">
        <v>46</v>
      </c>
      <c r="C23" s="177"/>
      <c r="D23" s="173">
        <v>31.7</v>
      </c>
      <c r="E23" s="80">
        <f t="shared" si="1"/>
        <v>7.323411073921632E-3</v>
      </c>
    </row>
    <row r="24" spans="1:10" ht="15" customHeight="1" thickBot="1" x14ac:dyDescent="0.3">
      <c r="A24" s="164"/>
      <c r="B24" s="169" t="s">
        <v>40</v>
      </c>
      <c r="C24" s="177"/>
      <c r="D24" s="173">
        <v>332.1</v>
      </c>
      <c r="E24" s="80">
        <f t="shared" si="1"/>
        <v>7.6722549452661645E-2</v>
      </c>
    </row>
    <row r="25" spans="1:10" ht="15" customHeight="1" thickBot="1" x14ac:dyDescent="0.3">
      <c r="B25" s="178" t="s">
        <v>0</v>
      </c>
      <c r="C25" s="170"/>
      <c r="D25" s="171">
        <f>SUM(D5:D24)</f>
        <v>4328.5840000000007</v>
      </c>
      <c r="E25" s="179"/>
    </row>
    <row r="26" spans="1:10" ht="15" customHeight="1" x14ac:dyDescent="0.25">
      <c r="B26" s="166" t="s">
        <v>1</v>
      </c>
      <c r="C26" s="167"/>
      <c r="D26" s="174">
        <v>151048.489</v>
      </c>
      <c r="E26" s="98">
        <f>+D26/E2</f>
        <v>0.73829849455007579</v>
      </c>
      <c r="F26" s="163"/>
    </row>
    <row r="27" spans="1:10" x14ac:dyDescent="0.25">
      <c r="D27" s="108">
        <f>+(E2/30)*22</f>
        <v>150032.66666666669</v>
      </c>
      <c r="E27" s="98">
        <f>+D27/E2</f>
        <v>0.73333333333333339</v>
      </c>
    </row>
    <row r="28" spans="1:10" x14ac:dyDescent="0.25">
      <c r="D28" s="138">
        <f>+D26-D27</f>
        <v>1015.8223333333153</v>
      </c>
      <c r="E28" s="99">
        <f>+E26-E27</f>
        <v>4.9651612167423975E-3</v>
      </c>
    </row>
    <row r="29" spans="1:10" x14ac:dyDescent="0.25">
      <c r="G29" s="163"/>
    </row>
    <row r="30" spans="1:10" x14ac:dyDescent="0.25">
      <c r="B30" s="66" t="s">
        <v>60</v>
      </c>
      <c r="D30" s="109" t="s">
        <v>105</v>
      </c>
      <c r="E30" s="109" t="s">
        <v>80</v>
      </c>
      <c r="G30" s="163"/>
      <c r="I30" s="162" t="s">
        <v>92</v>
      </c>
    </row>
    <row r="31" spans="1:10" x14ac:dyDescent="0.25">
      <c r="B31" s="162" t="s">
        <v>61</v>
      </c>
      <c r="C31" s="162">
        <v>932</v>
      </c>
      <c r="D31" s="108">
        <v>2142</v>
      </c>
      <c r="E31" s="57">
        <f>+C31/D31</f>
        <v>0.43510737628384688</v>
      </c>
      <c r="G31" s="86" t="s">
        <v>86</v>
      </c>
      <c r="H31" s="87">
        <v>8421</v>
      </c>
      <c r="I31" s="88">
        <v>210.52500000000001</v>
      </c>
    </row>
    <row r="32" spans="1:10" x14ac:dyDescent="0.25">
      <c r="B32" s="162" t="s">
        <v>62</v>
      </c>
      <c r="C32" s="162">
        <v>1364</v>
      </c>
      <c r="D32" s="108">
        <v>1890</v>
      </c>
      <c r="E32" s="57">
        <f>+C32/D32</f>
        <v>0.72169312169312172</v>
      </c>
      <c r="G32" s="86" t="s">
        <v>104</v>
      </c>
      <c r="H32" s="87">
        <v>6</v>
      </c>
      <c r="I32" s="88">
        <v>0.15000000000000002</v>
      </c>
    </row>
    <row r="33" spans="1:10" ht="15" customHeight="1" x14ac:dyDescent="0.25">
      <c r="B33" s="162" t="s">
        <v>63</v>
      </c>
      <c r="C33" s="67">
        <v>2338</v>
      </c>
      <c r="D33" s="108">
        <v>3006</v>
      </c>
      <c r="E33" s="57">
        <f>+C33/D33</f>
        <v>0.77777777777777779</v>
      </c>
      <c r="G33" s="89" t="s">
        <v>87</v>
      </c>
      <c r="H33" s="87">
        <v>47</v>
      </c>
      <c r="I33" s="88">
        <v>70.5</v>
      </c>
    </row>
    <row r="34" spans="1:10" ht="15" customHeight="1" x14ac:dyDescent="0.25">
      <c r="C34" s="162">
        <f>+SUM(C31:C33)</f>
        <v>4634</v>
      </c>
      <c r="D34" s="110">
        <f>+SUM(D31:D33)</f>
        <v>7038</v>
      </c>
      <c r="E34" s="57">
        <f>+C34/D34</f>
        <v>0.65842568911622623</v>
      </c>
      <c r="G34" s="89" t="s">
        <v>91</v>
      </c>
      <c r="H34" s="87">
        <v>248</v>
      </c>
      <c r="I34" s="88">
        <v>372</v>
      </c>
    </row>
    <row r="35" spans="1:10" x14ac:dyDescent="0.25">
      <c r="G35" s="89" t="s">
        <v>123</v>
      </c>
      <c r="H35" s="87">
        <v>95</v>
      </c>
      <c r="I35" s="88">
        <v>142.5</v>
      </c>
    </row>
    <row r="36" spans="1:10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</row>
    <row r="37" spans="1:10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129" t="s">
        <v>113</v>
      </c>
    </row>
    <row r="38" spans="1:10" ht="15" customHeight="1" x14ac:dyDescent="0.25">
      <c r="B38" s="73">
        <v>9</v>
      </c>
      <c r="C38" s="74">
        <v>0</v>
      </c>
      <c r="D38" s="74">
        <v>1</v>
      </c>
      <c r="E38" s="75">
        <f>+SUM(B38:D38)</f>
        <v>10</v>
      </c>
    </row>
    <row r="39" spans="1:10" x14ac:dyDescent="0.25">
      <c r="E39" s="66" t="s">
        <v>76</v>
      </c>
      <c r="G39" s="144" t="s">
        <v>124</v>
      </c>
      <c r="H39" s="145">
        <v>30</v>
      </c>
    </row>
    <row r="40" spans="1:10" x14ac:dyDescent="0.25">
      <c r="D40" s="162"/>
      <c r="F40" s="71" t="s">
        <v>90</v>
      </c>
      <c r="G40" s="144" t="s">
        <v>120</v>
      </c>
      <c r="H40" s="145">
        <v>12</v>
      </c>
    </row>
    <row r="41" spans="1:10" x14ac:dyDescent="0.25">
      <c r="A41" s="162" t="s">
        <v>70</v>
      </c>
      <c r="B41" s="162">
        <v>0</v>
      </c>
      <c r="C41" s="162">
        <v>2243</v>
      </c>
      <c r="D41" s="68">
        <v>2400</v>
      </c>
      <c r="E41" s="57">
        <f t="shared" ref="E41:E46" si="2">+C41/D41</f>
        <v>0.93458333333333332</v>
      </c>
      <c r="F41" s="71">
        <v>7</v>
      </c>
      <c r="G41" s="144" t="s">
        <v>121</v>
      </c>
      <c r="H41" s="146">
        <v>53</v>
      </c>
    </row>
    <row r="42" spans="1:10" x14ac:dyDescent="0.25">
      <c r="A42" s="162" t="s">
        <v>71</v>
      </c>
      <c r="B42" s="162">
        <v>6.73</v>
      </c>
      <c r="C42" s="162">
        <v>2204</v>
      </c>
      <c r="D42" s="68">
        <v>3600</v>
      </c>
      <c r="E42" s="57">
        <f t="shared" si="2"/>
        <v>0.61222222222222222</v>
      </c>
      <c r="F42" s="71">
        <v>12</v>
      </c>
      <c r="G42" s="71"/>
    </row>
    <row r="43" spans="1:10" x14ac:dyDescent="0.25">
      <c r="A43" s="162" t="s">
        <v>72</v>
      </c>
      <c r="B43" s="162">
        <v>6.19</v>
      </c>
      <c r="C43" s="162">
        <v>2890</v>
      </c>
      <c r="D43" s="68">
        <v>3600</v>
      </c>
      <c r="E43" s="57">
        <f t="shared" si="2"/>
        <v>0.80277777777777781</v>
      </c>
      <c r="F43" s="71">
        <v>12</v>
      </c>
      <c r="G43" s="160" t="s">
        <v>128</v>
      </c>
    </row>
    <row r="44" spans="1:10" x14ac:dyDescent="0.25">
      <c r="A44" s="162" t="s">
        <v>73</v>
      </c>
      <c r="B44" s="162">
        <v>6.09</v>
      </c>
      <c r="C44" s="162">
        <v>2432</v>
      </c>
      <c r="D44" s="68">
        <v>3900</v>
      </c>
      <c r="E44" s="57">
        <f t="shared" si="2"/>
        <v>0.62358974358974362</v>
      </c>
      <c r="F44" s="71">
        <v>10</v>
      </c>
      <c r="G44" s="154">
        <v>45811</v>
      </c>
      <c r="H44" s="155">
        <v>73</v>
      </c>
    </row>
    <row r="45" spans="1:10" x14ac:dyDescent="0.25">
      <c r="A45" s="162" t="s">
        <v>74</v>
      </c>
      <c r="B45" s="162">
        <v>10.45</v>
      </c>
      <c r="C45" s="162">
        <v>2443</v>
      </c>
      <c r="D45" s="68">
        <v>3900</v>
      </c>
      <c r="E45" s="57">
        <f t="shared" si="2"/>
        <v>0.62641025641025638</v>
      </c>
      <c r="F45" s="71">
        <v>12</v>
      </c>
      <c r="G45" s="156">
        <v>45826</v>
      </c>
      <c r="H45" s="157">
        <v>29</v>
      </c>
      <c r="I45" s="520">
        <f>+SUM(H45:H47)</f>
        <v>133</v>
      </c>
    </row>
    <row r="46" spans="1:10" x14ac:dyDescent="0.25">
      <c r="A46" s="162" t="s">
        <v>75</v>
      </c>
      <c r="B46" s="123">
        <v>4.25</v>
      </c>
      <c r="C46" s="124">
        <f>12622/B46</f>
        <v>2969.8823529411766</v>
      </c>
      <c r="D46" s="128">
        <v>4300</v>
      </c>
      <c r="E46" s="126">
        <f t="shared" si="2"/>
        <v>0.69067031463748296</v>
      </c>
      <c r="F46" s="71">
        <v>16</v>
      </c>
      <c r="G46" s="156">
        <v>45826</v>
      </c>
      <c r="H46" s="157">
        <v>72</v>
      </c>
      <c r="I46" s="520"/>
      <c r="J46" s="162">
        <f>+I45*1.5</f>
        <v>199.5</v>
      </c>
    </row>
    <row r="47" spans="1:10" x14ac:dyDescent="0.25">
      <c r="C47" s="71" t="s">
        <v>83</v>
      </c>
      <c r="D47" s="72" t="s">
        <v>79</v>
      </c>
      <c r="G47" s="156">
        <v>45827</v>
      </c>
      <c r="H47" s="157">
        <v>32</v>
      </c>
      <c r="I47" s="520"/>
    </row>
    <row r="48" spans="1:10" x14ac:dyDescent="0.25">
      <c r="B48" s="162" t="s">
        <v>78</v>
      </c>
      <c r="C48" s="71">
        <v>4</v>
      </c>
      <c r="D48" s="72"/>
      <c r="G48" s="144">
        <v>45828</v>
      </c>
      <c r="H48" s="146">
        <v>6</v>
      </c>
      <c r="I48" s="520">
        <f>+SUM(H48:H50)</f>
        <v>38</v>
      </c>
    </row>
    <row r="49" spans="3:10" x14ac:dyDescent="0.25">
      <c r="C49" s="71">
        <v>5</v>
      </c>
      <c r="D49" s="108">
        <v>5</v>
      </c>
      <c r="G49" s="144">
        <v>45829</v>
      </c>
      <c r="H49" s="146">
        <v>12</v>
      </c>
      <c r="I49" s="520"/>
      <c r="J49" s="162">
        <f>+I48*1.5</f>
        <v>57</v>
      </c>
    </row>
    <row r="50" spans="3:10" x14ac:dyDescent="0.25">
      <c r="C50" s="71">
        <v>6</v>
      </c>
      <c r="D50" s="108">
        <v>6</v>
      </c>
      <c r="G50" s="144">
        <v>45830</v>
      </c>
      <c r="H50" s="146">
        <v>20</v>
      </c>
      <c r="I50" s="520"/>
    </row>
    <row r="51" spans="3:10" x14ac:dyDescent="0.25">
      <c r="C51" s="71">
        <v>8</v>
      </c>
      <c r="I51" s="162">
        <f>+I45+I48</f>
        <v>171</v>
      </c>
      <c r="J51" s="162">
        <f>+J49+J46</f>
        <v>256.5</v>
      </c>
    </row>
    <row r="52" spans="3:10" x14ac:dyDescent="0.25">
      <c r="I52" s="159" t="s">
        <v>127</v>
      </c>
    </row>
    <row r="53" spans="3:10" x14ac:dyDescent="0.25">
      <c r="G53" s="112" t="s">
        <v>126</v>
      </c>
      <c r="H53" s="112">
        <v>260</v>
      </c>
      <c r="I53" s="158">
        <f>+H53-I45+I48</f>
        <v>165</v>
      </c>
    </row>
  </sheetData>
  <protectedRanges>
    <protectedRange password="D554" sqref="H39:H40" name="Rango1_1_2" securityDescriptor="O:WDG:WDD:(A;;CC;;;S-1-5-21-602234756-1814372317-3751740159-65568)(A;;CC;;;S-1-5-21-602234756-1814372317-3751740159-104412)"/>
  </protectedRanges>
  <mergeCells count="4">
    <mergeCell ref="B1:D1"/>
    <mergeCell ref="B3:D3"/>
    <mergeCell ref="I45:I47"/>
    <mergeCell ref="I48:I50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opLeftCell="A19" workbookViewId="0">
      <selection activeCell="F37" sqref="F37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9" width="11.42578125" style="162"/>
    <col min="10" max="10" width="7.5703125" style="162" customWidth="1"/>
    <col min="11" max="11" width="3" style="162" bestFit="1" customWidth="1"/>
    <col min="12" max="16384" width="11.42578125" style="162"/>
  </cols>
  <sheetData>
    <row r="1" spans="1:10" ht="15" customHeight="1" x14ac:dyDescent="0.25">
      <c r="A1" s="161"/>
      <c r="B1" s="518">
        <v>45831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16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75"/>
      <c r="C4" s="175"/>
      <c r="D4" s="165">
        <f>D25</f>
        <v>6157.8720000000003</v>
      </c>
      <c r="F4" s="58" t="s">
        <v>51</v>
      </c>
      <c r="G4" s="59">
        <v>45831</v>
      </c>
      <c r="H4" s="58">
        <v>7024</v>
      </c>
      <c r="I4" s="141">
        <v>6157.8720000000003</v>
      </c>
      <c r="J4" s="60">
        <f>+I4/H4</f>
        <v>0.87669020501138961</v>
      </c>
    </row>
    <row r="5" spans="1:10" ht="15" customHeight="1" x14ac:dyDescent="0.25">
      <c r="A5" s="164"/>
      <c r="B5" s="168" t="s">
        <v>6</v>
      </c>
      <c r="C5" s="176">
        <v>3870</v>
      </c>
      <c r="D5" s="172">
        <v>164.99799999999999</v>
      </c>
      <c r="E5" s="80">
        <f>+D5/$D$4</f>
        <v>2.6794645942624332E-2</v>
      </c>
      <c r="F5" s="58" t="s">
        <v>52</v>
      </c>
      <c r="G5" s="59">
        <v>45832</v>
      </c>
      <c r="H5" s="58">
        <v>8158</v>
      </c>
      <c r="I5" s="141"/>
      <c r="J5" s="60">
        <f t="shared" ref="J5:J11" si="0">+I5/H5</f>
        <v>0</v>
      </c>
    </row>
    <row r="6" spans="1:10" ht="15" customHeight="1" x14ac:dyDescent="0.25">
      <c r="A6" s="164"/>
      <c r="B6" s="169" t="s">
        <v>95</v>
      </c>
      <c r="C6" s="177">
        <v>2400</v>
      </c>
      <c r="D6" s="173">
        <v>60.72</v>
      </c>
      <c r="E6" s="80">
        <f t="shared" ref="E6:E24" si="1">+D6/$D$4</f>
        <v>9.8605492286945873E-3</v>
      </c>
      <c r="F6" s="58" t="s">
        <v>53</v>
      </c>
      <c r="G6" s="59">
        <v>45833</v>
      </c>
      <c r="H6" s="58">
        <v>8013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10</v>
      </c>
      <c r="C7" s="177">
        <v>15894</v>
      </c>
      <c r="D7" s="173">
        <v>678.71600000000001</v>
      </c>
      <c r="E7" s="84">
        <f t="shared" si="1"/>
        <v>0.11021924457020217</v>
      </c>
      <c r="F7" s="58" t="s">
        <v>54</v>
      </c>
      <c r="G7" s="59">
        <v>45834</v>
      </c>
      <c r="H7" s="58">
        <v>8289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35</v>
      </c>
      <c r="C8" s="177">
        <v>11562</v>
      </c>
      <c r="D8" s="173">
        <v>493.42000000000007</v>
      </c>
      <c r="E8" s="80">
        <f t="shared" si="1"/>
        <v>8.0128330046483592E-2</v>
      </c>
      <c r="F8" s="58" t="s">
        <v>55</v>
      </c>
      <c r="G8" s="59">
        <v>45835</v>
      </c>
      <c r="H8" s="58">
        <v>7748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20214</v>
      </c>
      <c r="D9" s="173">
        <v>863.73399999999992</v>
      </c>
      <c r="E9" s="153">
        <f t="shared" si="1"/>
        <v>0.1402650136280845</v>
      </c>
      <c r="F9" s="58" t="s">
        <v>56</v>
      </c>
      <c r="G9" s="59">
        <v>45836</v>
      </c>
      <c r="H9" s="58">
        <v>5954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39124</v>
      </c>
      <c r="D10" s="173">
        <v>1668.7660000000001</v>
      </c>
      <c r="E10" s="153">
        <f t="shared" si="1"/>
        <v>0.27099718863919225</v>
      </c>
      <c r="F10" s="58" t="s">
        <v>57</v>
      </c>
      <c r="G10" s="59">
        <v>45837</v>
      </c>
      <c r="H10" s="58">
        <v>3370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8548</v>
      </c>
      <c r="D11" s="173">
        <v>365.00799999999992</v>
      </c>
      <c r="E11" s="80">
        <f t="shared" si="1"/>
        <v>5.9275022280424132E-2</v>
      </c>
      <c r="H11" s="139">
        <f>+SUM(H4:H10)</f>
        <v>48556</v>
      </c>
      <c r="I11" s="142">
        <f>+SUM(I4:I10)</f>
        <v>6157.8720000000003</v>
      </c>
      <c r="J11" s="140">
        <f t="shared" si="0"/>
        <v>0.12682000164758217</v>
      </c>
    </row>
    <row r="12" spans="1:10" ht="15" customHeight="1" x14ac:dyDescent="0.25">
      <c r="A12" s="164"/>
      <c r="B12" s="169" t="s">
        <v>34</v>
      </c>
      <c r="C12" s="177">
        <v>4</v>
      </c>
      <c r="D12" s="173">
        <v>0.1</v>
      </c>
      <c r="E12" s="80">
        <f t="shared" si="1"/>
        <v>1.6239376200089901E-5</v>
      </c>
    </row>
    <row r="13" spans="1:10" ht="15" customHeight="1" x14ac:dyDescent="0.25">
      <c r="A13" s="164"/>
      <c r="B13" s="169" t="s">
        <v>43</v>
      </c>
      <c r="C13" s="177">
        <v>312</v>
      </c>
      <c r="D13" s="173">
        <v>471.70999999999992</v>
      </c>
      <c r="E13" s="80">
        <f t="shared" si="1"/>
        <v>7.6602761473444053E-2</v>
      </c>
      <c r="G13" s="112"/>
      <c r="H13" s="113">
        <v>2024</v>
      </c>
      <c r="I13" s="113">
        <v>2025</v>
      </c>
    </row>
    <row r="14" spans="1:10" ht="15" customHeight="1" x14ac:dyDescent="0.25">
      <c r="A14" s="164"/>
      <c r="B14" s="169" t="s">
        <v>49</v>
      </c>
      <c r="C14" s="177">
        <v>105</v>
      </c>
      <c r="D14" s="173">
        <v>158.03</v>
      </c>
      <c r="E14" s="80">
        <f t="shared" si="1"/>
        <v>2.5663086209002071E-2</v>
      </c>
      <c r="F14" s="66"/>
      <c r="G14" s="112" t="s">
        <v>108</v>
      </c>
      <c r="H14" s="119">
        <v>204007.80300000001</v>
      </c>
      <c r="I14" s="119">
        <v>190629.128</v>
      </c>
      <c r="J14" s="93">
        <f>+I14/H14</f>
        <v>0.93442076820953746</v>
      </c>
    </row>
    <row r="15" spans="1:10" ht="15" customHeight="1" x14ac:dyDescent="0.25">
      <c r="A15" s="164"/>
      <c r="B15" s="169" t="s">
        <v>41</v>
      </c>
      <c r="C15" s="177">
        <v>167</v>
      </c>
      <c r="D15" s="173">
        <v>251.26</v>
      </c>
      <c r="E15" s="80">
        <f t="shared" si="1"/>
        <v>4.0803056640345885E-2</v>
      </c>
      <c r="G15" s="112" t="s">
        <v>109</v>
      </c>
      <c r="H15" s="119">
        <v>186305.94399999996</v>
      </c>
      <c r="I15" s="119">
        <v>182874.285</v>
      </c>
      <c r="J15" s="93">
        <f>+I15/H15</f>
        <v>0.9815805179033904</v>
      </c>
    </row>
    <row r="16" spans="1:10" ht="15" customHeight="1" x14ac:dyDescent="0.25">
      <c r="A16" s="164"/>
      <c r="B16" s="169" t="s">
        <v>39</v>
      </c>
      <c r="C16" s="177">
        <v>326</v>
      </c>
      <c r="D16" s="173">
        <v>492.83</v>
      </c>
      <c r="E16" s="80">
        <f t="shared" si="1"/>
        <v>8.0032517726903049E-2</v>
      </c>
      <c r="G16" s="112" t="s">
        <v>110</v>
      </c>
      <c r="H16" s="119">
        <v>199570.19199999989</v>
      </c>
      <c r="I16" s="119">
        <v>197224.22099999999</v>
      </c>
      <c r="J16" s="93">
        <f>+I16/H16</f>
        <v>0.98824488278289624</v>
      </c>
    </row>
    <row r="17" spans="1:10" ht="15" customHeight="1" x14ac:dyDescent="0.25">
      <c r="A17" s="164"/>
      <c r="B17" s="169" t="s">
        <v>41</v>
      </c>
      <c r="C17" s="177"/>
      <c r="D17" s="173"/>
      <c r="E17" s="80">
        <f t="shared" si="1"/>
        <v>0</v>
      </c>
      <c r="G17" s="112" t="s">
        <v>111</v>
      </c>
      <c r="H17" s="119">
        <v>205343.72800000012</v>
      </c>
      <c r="I17" s="119">
        <v>198970.75799999986</v>
      </c>
      <c r="J17" s="93">
        <f>+I17/H17</f>
        <v>0.96896437956945902</v>
      </c>
    </row>
    <row r="18" spans="1:10" ht="15" customHeight="1" x14ac:dyDescent="0.25">
      <c r="A18" s="164"/>
      <c r="B18" s="169" t="s">
        <v>39</v>
      </c>
      <c r="C18" s="177"/>
      <c r="D18" s="173"/>
      <c r="E18" s="80">
        <f t="shared" si="1"/>
        <v>0</v>
      </c>
      <c r="G18" s="112" t="s">
        <v>102</v>
      </c>
      <c r="H18" s="119">
        <v>209473.77399999995</v>
      </c>
      <c r="I18" s="119">
        <v>212393.17300000001</v>
      </c>
      <c r="J18" s="93">
        <f>+I18/H18</f>
        <v>1.0139368234230604</v>
      </c>
    </row>
    <row r="19" spans="1:10" ht="15" customHeight="1" x14ac:dyDescent="0.25">
      <c r="A19" s="164"/>
      <c r="B19" s="169" t="s">
        <v>85</v>
      </c>
      <c r="C19" s="177"/>
      <c r="D19" s="173"/>
      <c r="E19" s="80">
        <f t="shared" si="1"/>
        <v>0</v>
      </c>
      <c r="G19" s="112" t="s">
        <v>125</v>
      </c>
    </row>
    <row r="20" spans="1:10" ht="15" customHeight="1" x14ac:dyDescent="0.25">
      <c r="A20" s="164"/>
      <c r="B20" s="169" t="s">
        <v>41</v>
      </c>
      <c r="C20" s="177"/>
      <c r="D20" s="173"/>
      <c r="E20" s="80">
        <f t="shared" si="1"/>
        <v>0</v>
      </c>
      <c r="G20" s="163"/>
      <c r="H20" s="68">
        <f>+SUM(H14:H18)</f>
        <v>1004701.441</v>
      </c>
      <c r="I20" s="68">
        <f>+SUM(I14:I18)</f>
        <v>982091.56499999971</v>
      </c>
      <c r="J20" s="93">
        <f>+I20/H20</f>
        <v>0.97749592557815368</v>
      </c>
    </row>
    <row r="21" spans="1:10" ht="15" customHeight="1" x14ac:dyDescent="0.25">
      <c r="A21" s="164"/>
      <c r="B21" s="169" t="s">
        <v>88</v>
      </c>
      <c r="C21" s="177"/>
      <c r="D21" s="173"/>
      <c r="E21" s="80">
        <f t="shared" si="1"/>
        <v>0</v>
      </c>
      <c r="I21" s="68">
        <f>+I20-H20</f>
        <v>-22609.87600000028</v>
      </c>
    </row>
    <row r="22" spans="1:10" ht="15" customHeight="1" x14ac:dyDescent="0.25">
      <c r="A22" s="164"/>
      <c r="B22" s="169" t="s">
        <v>46</v>
      </c>
      <c r="C22" s="177"/>
      <c r="D22" s="173">
        <v>93.86</v>
      </c>
      <c r="E22" s="80">
        <f t="shared" si="1"/>
        <v>1.5242278501404381E-2</v>
      </c>
    </row>
    <row r="23" spans="1:10" ht="15" customHeight="1" x14ac:dyDescent="0.25">
      <c r="A23" s="164"/>
      <c r="B23" s="169" t="s">
        <v>9</v>
      </c>
      <c r="C23" s="177"/>
      <c r="D23" s="173">
        <v>155.29</v>
      </c>
      <c r="E23" s="80">
        <f t="shared" si="1"/>
        <v>2.5218127301119605E-2</v>
      </c>
    </row>
    <row r="24" spans="1:10" ht="15" customHeight="1" thickBot="1" x14ac:dyDescent="0.3">
      <c r="A24" s="164"/>
      <c r="B24" s="169" t="s">
        <v>40</v>
      </c>
      <c r="C24" s="177"/>
      <c r="D24" s="173">
        <v>239.42999999999998</v>
      </c>
      <c r="E24" s="80">
        <f t="shared" si="1"/>
        <v>3.8881938435875243E-2</v>
      </c>
    </row>
    <row r="25" spans="1:10" ht="15" customHeight="1" thickBot="1" x14ac:dyDescent="0.3">
      <c r="B25" s="178" t="s">
        <v>0</v>
      </c>
      <c r="C25" s="170"/>
      <c r="D25" s="171">
        <f>SUM(D5:D24)</f>
        <v>6157.8720000000003</v>
      </c>
      <c r="E25" s="179"/>
    </row>
    <row r="26" spans="1:10" ht="15" customHeight="1" x14ac:dyDescent="0.25">
      <c r="B26" s="166" t="s">
        <v>1</v>
      </c>
      <c r="C26" s="167"/>
      <c r="D26" s="174">
        <v>157206.361</v>
      </c>
      <c r="E26" s="98">
        <f>+D26/E2</f>
        <v>0.76839709174446458</v>
      </c>
      <c r="F26" s="163"/>
    </row>
    <row r="27" spans="1:10" x14ac:dyDescent="0.25">
      <c r="D27" s="108">
        <f>+(E2/30)*23</f>
        <v>156852.33333333334</v>
      </c>
      <c r="E27" s="98">
        <f>+D27/E2</f>
        <v>0.76666666666666672</v>
      </c>
    </row>
    <row r="28" spans="1:10" x14ac:dyDescent="0.25">
      <c r="D28" s="138">
        <f>+D26-D27</f>
        <v>354.02766666666139</v>
      </c>
      <c r="E28" s="99">
        <f>+E26-E27</f>
        <v>1.7304250777978591E-3</v>
      </c>
    </row>
    <row r="29" spans="1:10" x14ac:dyDescent="0.25">
      <c r="G29" s="163"/>
    </row>
    <row r="30" spans="1:10" x14ac:dyDescent="0.25">
      <c r="B30" s="66" t="s">
        <v>60</v>
      </c>
      <c r="D30" s="109" t="s">
        <v>105</v>
      </c>
      <c r="E30" s="109" t="s">
        <v>80</v>
      </c>
      <c r="G30" s="163"/>
      <c r="I30" s="162" t="s">
        <v>92</v>
      </c>
    </row>
    <row r="31" spans="1:10" x14ac:dyDescent="0.25">
      <c r="B31" s="162" t="s">
        <v>61</v>
      </c>
      <c r="C31" s="162">
        <v>743</v>
      </c>
      <c r="D31" s="108">
        <v>2142</v>
      </c>
      <c r="E31" s="57">
        <f>+C31/D31</f>
        <v>0.3468720821661998</v>
      </c>
      <c r="G31" s="86" t="s">
        <v>86</v>
      </c>
      <c r="H31" s="87">
        <v>6010</v>
      </c>
      <c r="I31" s="88">
        <v>150.25</v>
      </c>
    </row>
    <row r="32" spans="1:10" x14ac:dyDescent="0.25">
      <c r="B32" s="162" t="s">
        <v>62</v>
      </c>
      <c r="C32" s="162">
        <v>1385</v>
      </c>
      <c r="D32" s="108">
        <v>1890</v>
      </c>
      <c r="E32" s="57">
        <f>+C32/D32</f>
        <v>0.73280423280423279</v>
      </c>
      <c r="G32" s="86" t="s">
        <v>104</v>
      </c>
      <c r="H32" s="87">
        <v>6</v>
      </c>
      <c r="I32" s="88">
        <v>0.15000000000000002</v>
      </c>
    </row>
    <row r="33" spans="1:11" x14ac:dyDescent="0.25">
      <c r="B33" s="162" t="s">
        <v>63</v>
      </c>
      <c r="C33" s="67">
        <v>1136</v>
      </c>
      <c r="D33" s="108">
        <v>3006</v>
      </c>
      <c r="E33" s="57">
        <f>+C33/D33</f>
        <v>0.37791084497671323</v>
      </c>
      <c r="G33" s="89" t="s">
        <v>87</v>
      </c>
      <c r="H33" s="87">
        <v>52</v>
      </c>
      <c r="I33" s="88">
        <v>78</v>
      </c>
      <c r="J33" s="144">
        <v>45831</v>
      </c>
      <c r="K33" s="146">
        <v>50</v>
      </c>
    </row>
    <row r="34" spans="1:11" x14ac:dyDescent="0.25">
      <c r="C34" s="162">
        <f>+SUM(C31:C33)</f>
        <v>3264</v>
      </c>
      <c r="D34" s="110">
        <f>+SUM(D31:D33)</f>
        <v>7038</v>
      </c>
      <c r="E34" s="57">
        <f>+C34/D34</f>
        <v>0.46376811594202899</v>
      </c>
      <c r="G34" s="89" t="s">
        <v>91</v>
      </c>
      <c r="H34" s="87">
        <v>248</v>
      </c>
      <c r="I34" s="88">
        <v>372</v>
      </c>
    </row>
    <row r="35" spans="1:11" x14ac:dyDescent="0.25">
      <c r="G35" s="89" t="s">
        <v>123</v>
      </c>
      <c r="H35" s="87">
        <v>95</v>
      </c>
      <c r="I35" s="88">
        <v>142.5</v>
      </c>
    </row>
    <row r="36" spans="1:11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</row>
    <row r="37" spans="1:1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129" t="s">
        <v>113</v>
      </c>
    </row>
    <row r="38" spans="1:11" x14ac:dyDescent="0.25">
      <c r="B38" s="73">
        <v>28</v>
      </c>
      <c r="C38" s="74">
        <v>6</v>
      </c>
      <c r="D38" s="74">
        <v>12</v>
      </c>
      <c r="E38" s="75">
        <f>+SUM(B38:D38)</f>
        <v>46</v>
      </c>
    </row>
    <row r="39" spans="1:11" x14ac:dyDescent="0.25">
      <c r="E39" s="66" t="s">
        <v>76</v>
      </c>
      <c r="G39" s="144" t="s">
        <v>124</v>
      </c>
      <c r="H39" s="145">
        <v>30</v>
      </c>
    </row>
    <row r="40" spans="1:11" x14ac:dyDescent="0.25">
      <c r="D40" s="162"/>
      <c r="F40" s="71" t="s">
        <v>90</v>
      </c>
      <c r="G40" s="144" t="s">
        <v>120</v>
      </c>
      <c r="H40" s="145">
        <v>12</v>
      </c>
    </row>
    <row r="41" spans="1:11" x14ac:dyDescent="0.25">
      <c r="A41" s="162" t="s">
        <v>70</v>
      </c>
      <c r="B41" s="162">
        <v>0</v>
      </c>
      <c r="C41" s="162">
        <v>2243</v>
      </c>
      <c r="D41" s="68">
        <v>2400</v>
      </c>
      <c r="E41" s="57">
        <f t="shared" ref="E41:E46" si="2">+C41/D41</f>
        <v>0.93458333333333332</v>
      </c>
      <c r="F41" s="71">
        <v>7</v>
      </c>
      <c r="G41" s="144" t="s">
        <v>121</v>
      </c>
      <c r="H41" s="146">
        <v>53</v>
      </c>
    </row>
    <row r="42" spans="1:11" x14ac:dyDescent="0.25">
      <c r="A42" s="162" t="s">
        <v>71</v>
      </c>
      <c r="B42" s="162">
        <v>4.28</v>
      </c>
      <c r="C42" s="162">
        <v>2168</v>
      </c>
      <c r="D42" s="68">
        <v>3600</v>
      </c>
      <c r="E42" s="57">
        <f t="shared" si="2"/>
        <v>0.60222222222222221</v>
      </c>
      <c r="F42" s="71">
        <v>12</v>
      </c>
      <c r="G42" s="71"/>
    </row>
    <row r="43" spans="1:11" x14ac:dyDescent="0.25">
      <c r="A43" s="162" t="s">
        <v>72</v>
      </c>
      <c r="B43" s="162">
        <v>5.79</v>
      </c>
      <c r="C43" s="162">
        <v>2749</v>
      </c>
      <c r="D43" s="68">
        <v>3600</v>
      </c>
      <c r="E43" s="57">
        <f t="shared" si="2"/>
        <v>0.76361111111111113</v>
      </c>
      <c r="F43" s="71">
        <v>12</v>
      </c>
      <c r="G43" s="160" t="s">
        <v>128</v>
      </c>
    </row>
    <row r="44" spans="1:11" x14ac:dyDescent="0.25">
      <c r="A44" s="162" t="s">
        <v>73</v>
      </c>
      <c r="B44" s="162">
        <v>12.45</v>
      </c>
      <c r="C44" s="162">
        <v>2838</v>
      </c>
      <c r="D44" s="68">
        <v>3900</v>
      </c>
      <c r="E44" s="57">
        <f t="shared" si="2"/>
        <v>0.72769230769230764</v>
      </c>
      <c r="F44" s="71">
        <v>10</v>
      </c>
      <c r="G44" s="154">
        <v>45811</v>
      </c>
      <c r="H44" s="155">
        <v>73</v>
      </c>
    </row>
    <row r="45" spans="1:11" x14ac:dyDescent="0.25">
      <c r="A45" s="162" t="s">
        <v>74</v>
      </c>
      <c r="B45" s="162">
        <v>3.37</v>
      </c>
      <c r="C45" s="162">
        <v>1404</v>
      </c>
      <c r="D45" s="68">
        <v>3900</v>
      </c>
      <c r="E45" s="57">
        <f t="shared" si="2"/>
        <v>0.36</v>
      </c>
      <c r="F45" s="71">
        <v>12</v>
      </c>
      <c r="G45" s="156">
        <v>45826</v>
      </c>
      <c r="H45" s="157">
        <v>29</v>
      </c>
      <c r="I45" s="520">
        <f>+SUM(H45:H47)</f>
        <v>133</v>
      </c>
    </row>
    <row r="46" spans="1:11" x14ac:dyDescent="0.25">
      <c r="A46" s="162" t="s">
        <v>75</v>
      </c>
      <c r="B46" s="123">
        <v>4.1900000000000004</v>
      </c>
      <c r="C46" s="124">
        <f>13611/B46</f>
        <v>3248.4486873508349</v>
      </c>
      <c r="D46" s="128">
        <v>4300</v>
      </c>
      <c r="E46" s="126">
        <f t="shared" si="2"/>
        <v>0.75545318310484533</v>
      </c>
      <c r="F46" s="71">
        <v>16</v>
      </c>
      <c r="G46" s="156">
        <v>45826</v>
      </c>
      <c r="H46" s="157">
        <v>72</v>
      </c>
      <c r="I46" s="520"/>
      <c r="J46" s="162">
        <f>+I45*1.5</f>
        <v>199.5</v>
      </c>
    </row>
    <row r="47" spans="1:11" x14ac:dyDescent="0.25">
      <c r="C47" s="71" t="s">
        <v>83</v>
      </c>
      <c r="D47" s="72" t="s">
        <v>79</v>
      </c>
      <c r="G47" s="156">
        <v>45827</v>
      </c>
      <c r="H47" s="157">
        <v>32</v>
      </c>
      <c r="I47" s="520"/>
    </row>
    <row r="48" spans="1:11" x14ac:dyDescent="0.25">
      <c r="B48" s="162" t="s">
        <v>78</v>
      </c>
      <c r="C48" s="71">
        <v>4</v>
      </c>
      <c r="D48" s="72"/>
      <c r="G48" s="144">
        <v>45828</v>
      </c>
      <c r="H48" s="146">
        <v>6</v>
      </c>
      <c r="I48" s="520">
        <f>+SUM(H48:H50)</f>
        <v>38</v>
      </c>
    </row>
    <row r="49" spans="3:10" x14ac:dyDescent="0.25">
      <c r="C49" s="71">
        <v>5</v>
      </c>
      <c r="D49" s="108">
        <v>2</v>
      </c>
      <c r="G49" s="144">
        <v>45829</v>
      </c>
      <c r="H49" s="146">
        <v>12</v>
      </c>
      <c r="I49" s="520"/>
      <c r="J49" s="162">
        <f>+I48*1.5</f>
        <v>57</v>
      </c>
    </row>
    <row r="50" spans="3:10" x14ac:dyDescent="0.25">
      <c r="C50" s="71">
        <v>6</v>
      </c>
      <c r="D50" s="108">
        <v>2</v>
      </c>
      <c r="G50" s="144">
        <v>45830</v>
      </c>
      <c r="H50" s="146">
        <v>20</v>
      </c>
      <c r="I50" s="520"/>
    </row>
    <row r="51" spans="3:10" x14ac:dyDescent="0.25">
      <c r="C51" s="71">
        <v>8</v>
      </c>
      <c r="I51" s="162">
        <f>+I45+I48</f>
        <v>171</v>
      </c>
      <c r="J51" s="162">
        <f>+J49+J46</f>
        <v>256.5</v>
      </c>
    </row>
  </sheetData>
  <protectedRanges>
    <protectedRange password="D554" sqref="H39:H40" name="Rango1_1_2" securityDescriptor="O:WDG:WDD:(A;;CC;;;S-1-5-21-602234756-1814372317-3751740159-65568)(A;;CC;;;S-1-5-21-602234756-1814372317-3751740159-104412)"/>
  </protectedRanges>
  <mergeCells count="4">
    <mergeCell ref="B1:D1"/>
    <mergeCell ref="B3:D3"/>
    <mergeCell ref="I45:I47"/>
    <mergeCell ref="I48:I50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opLeftCell="A16" workbookViewId="0">
      <selection activeCell="A27" sqref="A27:K51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1.42578125" style="162"/>
    <col min="6" max="6" width="10.85546875" style="162" customWidth="1"/>
    <col min="7" max="9" width="11.42578125" style="162"/>
    <col min="10" max="10" width="8.28515625" style="162" customWidth="1"/>
    <col min="11" max="11" width="5.5703125" style="162" customWidth="1"/>
    <col min="12" max="16384" width="11.42578125" style="162"/>
  </cols>
  <sheetData>
    <row r="1" spans="1:10" ht="15" customHeight="1" x14ac:dyDescent="0.25">
      <c r="A1" s="161"/>
      <c r="B1" s="518">
        <v>45832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16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80"/>
      <c r="C4" s="180"/>
      <c r="D4" s="165">
        <f>D25</f>
        <v>8534.0529999999999</v>
      </c>
      <c r="F4" s="58" t="s">
        <v>51</v>
      </c>
      <c r="G4" s="59">
        <v>45831</v>
      </c>
      <c r="H4" s="58">
        <v>7024</v>
      </c>
      <c r="I4" s="141">
        <v>6157.8720000000003</v>
      </c>
      <c r="J4" s="60">
        <f>+I4/H4</f>
        <v>0.87669020501138961</v>
      </c>
    </row>
    <row r="5" spans="1:10" ht="15" customHeight="1" x14ac:dyDescent="0.25">
      <c r="A5" s="164"/>
      <c r="B5" s="168" t="s">
        <v>6</v>
      </c>
      <c r="C5" s="176">
        <v>2360</v>
      </c>
      <c r="D5" s="172">
        <v>100.71000000000001</v>
      </c>
      <c r="E5" s="80">
        <f>+D5/$D$4</f>
        <v>1.1800957880153781E-2</v>
      </c>
      <c r="F5" s="58" t="s">
        <v>52</v>
      </c>
      <c r="G5" s="59">
        <v>45832</v>
      </c>
      <c r="H5" s="58">
        <v>8158</v>
      </c>
      <c r="I5" s="141">
        <v>8534.0529999999999</v>
      </c>
      <c r="J5" s="60">
        <f t="shared" ref="J5:J11" si="0">+I5/H5</f>
        <v>1.0460962245648444</v>
      </c>
    </row>
    <row r="6" spans="1:10" ht="15" customHeight="1" x14ac:dyDescent="0.25">
      <c r="A6" s="164"/>
      <c r="B6" s="169" t="s">
        <v>10</v>
      </c>
      <c r="C6" s="177">
        <v>11645</v>
      </c>
      <c r="D6" s="173">
        <v>497.45999999999992</v>
      </c>
      <c r="E6" s="80">
        <f t="shared" ref="E6:E24" si="1">+D6/$D$4</f>
        <v>5.8291177708879933E-2</v>
      </c>
      <c r="F6" s="58" t="s">
        <v>53</v>
      </c>
      <c r="G6" s="59">
        <v>45833</v>
      </c>
      <c r="H6" s="58">
        <v>8013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24743</v>
      </c>
      <c r="D7" s="173">
        <v>1054.8090000000002</v>
      </c>
      <c r="E7" s="84">
        <f t="shared" si="1"/>
        <v>0.12360000576513881</v>
      </c>
      <c r="F7" s="58" t="s">
        <v>54</v>
      </c>
      <c r="G7" s="59">
        <v>45834</v>
      </c>
      <c r="H7" s="58">
        <v>8289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2420</v>
      </c>
      <c r="D8" s="173">
        <v>103.16999999999999</v>
      </c>
      <c r="E8" s="80">
        <f t="shared" si="1"/>
        <v>1.2089214819734538E-2</v>
      </c>
      <c r="F8" s="58" t="s">
        <v>55</v>
      </c>
      <c r="G8" s="59">
        <v>45835</v>
      </c>
      <c r="H8" s="58">
        <v>7748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35900</v>
      </c>
      <c r="D9" s="173">
        <v>1533.3599999999997</v>
      </c>
      <c r="E9" s="153">
        <f t="shared" si="1"/>
        <v>0.17967547190063146</v>
      </c>
      <c r="F9" s="58" t="s">
        <v>56</v>
      </c>
      <c r="G9" s="59">
        <v>45836</v>
      </c>
      <c r="H9" s="58">
        <v>5954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51412</v>
      </c>
      <c r="D10" s="173">
        <v>2194.8919999999994</v>
      </c>
      <c r="E10" s="153">
        <f t="shared" si="1"/>
        <v>0.25719221570337086</v>
      </c>
      <c r="F10" s="58" t="s">
        <v>57</v>
      </c>
      <c r="G10" s="59">
        <v>45837</v>
      </c>
      <c r="H10" s="58">
        <v>3370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13314</v>
      </c>
      <c r="D11" s="173">
        <v>568.66199999999992</v>
      </c>
      <c r="E11" s="80">
        <f t="shared" si="1"/>
        <v>6.663445844547719E-2</v>
      </c>
      <c r="H11" s="139">
        <f>+SUM(H4:H5)</f>
        <v>15182</v>
      </c>
      <c r="I11" s="142">
        <f>+SUM(I4:I10)</f>
        <v>14691.924999999999</v>
      </c>
      <c r="J11" s="140">
        <f t="shared" si="0"/>
        <v>0.96771999736530101</v>
      </c>
    </row>
    <row r="12" spans="1:10" ht="15" customHeight="1" x14ac:dyDescent="0.25">
      <c r="A12" s="164"/>
      <c r="B12" s="169" t="s">
        <v>34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39</v>
      </c>
      <c r="C13" s="177">
        <v>508</v>
      </c>
      <c r="D13" s="173">
        <v>769.5200000000001</v>
      </c>
      <c r="E13" s="80">
        <f t="shared" si="1"/>
        <v>9.0170520384628514E-2</v>
      </c>
      <c r="G13" s="112"/>
      <c r="H13" s="113">
        <v>2024</v>
      </c>
      <c r="I13" s="113">
        <v>2025</v>
      </c>
    </row>
    <row r="14" spans="1:10" ht="15" customHeight="1" x14ac:dyDescent="0.25">
      <c r="A14" s="164"/>
      <c r="B14" s="169" t="s">
        <v>41</v>
      </c>
      <c r="C14" s="177">
        <v>246</v>
      </c>
      <c r="D14" s="173">
        <v>370.80000000000007</v>
      </c>
      <c r="E14" s="80">
        <f t="shared" si="1"/>
        <v>4.3449460649002306E-2</v>
      </c>
      <c r="F14" s="66"/>
      <c r="G14" s="112" t="s">
        <v>108</v>
      </c>
      <c r="H14" s="119">
        <v>204007.80300000001</v>
      </c>
      <c r="I14" s="119">
        <v>190629.128</v>
      </c>
      <c r="J14" s="93">
        <f>+I14/H14</f>
        <v>0.93442076820953746</v>
      </c>
    </row>
    <row r="15" spans="1:10" ht="15" customHeight="1" x14ac:dyDescent="0.25">
      <c r="A15" s="164"/>
      <c r="B15" s="169" t="s">
        <v>43</v>
      </c>
      <c r="C15" s="177">
        <v>23</v>
      </c>
      <c r="D15" s="173">
        <v>34.74</v>
      </c>
      <c r="E15" s="80">
        <f t="shared" si="1"/>
        <v>4.0707504394453609E-3</v>
      </c>
      <c r="G15" s="112" t="s">
        <v>109</v>
      </c>
      <c r="H15" s="119">
        <v>186305.94399999996</v>
      </c>
      <c r="I15" s="119">
        <v>182874.285</v>
      </c>
      <c r="J15" s="93">
        <f>+I15/H15</f>
        <v>0.9815805179033904</v>
      </c>
    </row>
    <row r="16" spans="1:10" ht="15" customHeight="1" x14ac:dyDescent="0.25">
      <c r="A16" s="164"/>
      <c r="B16" s="169" t="s">
        <v>44</v>
      </c>
      <c r="C16" s="177">
        <v>44</v>
      </c>
      <c r="D16" s="173">
        <v>66.72</v>
      </c>
      <c r="E16" s="80">
        <f t="shared" si="1"/>
        <v>7.8180906539952345E-3</v>
      </c>
      <c r="G16" s="112" t="s">
        <v>110</v>
      </c>
      <c r="H16" s="119">
        <v>199570.19199999989</v>
      </c>
      <c r="I16" s="119">
        <v>197224.22099999999</v>
      </c>
      <c r="J16" s="93">
        <f>+I16/H16</f>
        <v>0.98824488278289624</v>
      </c>
    </row>
    <row r="17" spans="1:11" ht="15" customHeight="1" x14ac:dyDescent="0.25">
      <c r="A17" s="164"/>
      <c r="B17" s="169" t="s">
        <v>49</v>
      </c>
      <c r="C17" s="177">
        <v>21</v>
      </c>
      <c r="D17" s="173">
        <v>31.73</v>
      </c>
      <c r="E17" s="80">
        <f t="shared" si="1"/>
        <v>3.7180458101209357E-3</v>
      </c>
      <c r="G17" s="112" t="s">
        <v>111</v>
      </c>
      <c r="H17" s="119">
        <v>205343.72800000012</v>
      </c>
      <c r="I17" s="119">
        <v>198970.75799999986</v>
      </c>
      <c r="J17" s="93">
        <f>+I17/H17</f>
        <v>0.96896437956945902</v>
      </c>
    </row>
    <row r="18" spans="1:11" ht="15" customHeight="1" x14ac:dyDescent="0.25">
      <c r="A18" s="164"/>
      <c r="B18" s="169" t="s">
        <v>84</v>
      </c>
      <c r="C18" s="177">
        <v>150</v>
      </c>
      <c r="D18" s="173">
        <v>226.89000000000004</v>
      </c>
      <c r="E18" s="80">
        <f t="shared" si="1"/>
        <v>2.6586429683527868E-2</v>
      </c>
      <c r="G18" s="112" t="s">
        <v>102</v>
      </c>
      <c r="H18" s="119">
        <v>209473.77399999995</v>
      </c>
      <c r="I18" s="119">
        <v>212393.17300000001</v>
      </c>
      <c r="J18" s="93">
        <f>+I18/H18</f>
        <v>1.0139368234230604</v>
      </c>
    </row>
    <row r="19" spans="1:11" ht="15" customHeight="1" x14ac:dyDescent="0.25">
      <c r="A19" s="164"/>
      <c r="B19" s="169" t="s">
        <v>85</v>
      </c>
      <c r="C19" s="177">
        <v>23</v>
      </c>
      <c r="D19" s="173">
        <v>34.75</v>
      </c>
      <c r="E19" s="80">
        <f t="shared" si="1"/>
        <v>4.0719222156225185E-3</v>
      </c>
      <c r="G19" s="112" t="s">
        <v>125</v>
      </c>
    </row>
    <row r="20" spans="1:11" ht="15" customHeight="1" x14ac:dyDescent="0.25">
      <c r="A20" s="164"/>
      <c r="B20" s="169" t="s">
        <v>88</v>
      </c>
      <c r="C20" s="177">
        <v>20</v>
      </c>
      <c r="D20" s="173">
        <v>30.28</v>
      </c>
      <c r="E20" s="80">
        <f t="shared" si="1"/>
        <v>3.5481382644330897E-3</v>
      </c>
      <c r="G20" s="163"/>
      <c r="H20" s="68">
        <f>+SUM(H14:H18)</f>
        <v>1004701.441</v>
      </c>
      <c r="I20" s="68">
        <f>+SUM(I14:I18)</f>
        <v>982091.56499999971</v>
      </c>
      <c r="J20" s="93">
        <f>+I20/H20</f>
        <v>0.97749592557815368</v>
      </c>
    </row>
    <row r="21" spans="1:11" ht="15" customHeight="1" x14ac:dyDescent="0.25">
      <c r="A21" s="164"/>
      <c r="B21" s="169" t="s">
        <v>88</v>
      </c>
      <c r="C21" s="177"/>
      <c r="D21" s="173"/>
      <c r="E21" s="80">
        <f t="shared" si="1"/>
        <v>0</v>
      </c>
      <c r="I21" s="68">
        <f>+I20-H20</f>
        <v>-22609.87600000028</v>
      </c>
    </row>
    <row r="22" spans="1:11" ht="15" customHeight="1" x14ac:dyDescent="0.25">
      <c r="A22" s="164"/>
      <c r="B22" s="169" t="s">
        <v>9</v>
      </c>
      <c r="C22" s="177"/>
      <c r="D22" s="173">
        <v>187.04</v>
      </c>
      <c r="E22" s="80">
        <f t="shared" si="1"/>
        <v>2.1916901617554989E-2</v>
      </c>
    </row>
    <row r="23" spans="1:11" ht="15" customHeight="1" x14ac:dyDescent="0.25">
      <c r="A23" s="164"/>
      <c r="B23" s="169" t="s">
        <v>46</v>
      </c>
      <c r="C23" s="177"/>
      <c r="D23" s="173">
        <v>61.84</v>
      </c>
      <c r="E23" s="80">
        <f t="shared" si="1"/>
        <v>7.2462638795423471E-3</v>
      </c>
    </row>
    <row r="24" spans="1:11" ht="15" customHeight="1" thickBot="1" x14ac:dyDescent="0.3">
      <c r="A24" s="164"/>
      <c r="B24" s="169" t="s">
        <v>40</v>
      </c>
      <c r="C24" s="177"/>
      <c r="D24" s="173">
        <v>666.68000000000006</v>
      </c>
      <c r="E24" s="80">
        <f t="shared" si="1"/>
        <v>7.811997417874017E-2</v>
      </c>
    </row>
    <row r="25" spans="1:11" ht="15" customHeight="1" thickBot="1" x14ac:dyDescent="0.3">
      <c r="B25" s="178" t="s">
        <v>0</v>
      </c>
      <c r="C25" s="170"/>
      <c r="D25" s="171">
        <f>SUM(D5:D24)</f>
        <v>8534.0529999999999</v>
      </c>
      <c r="E25" s="179"/>
    </row>
    <row r="26" spans="1:11" ht="15" customHeight="1" x14ac:dyDescent="0.25">
      <c r="B26" s="166" t="s">
        <v>1</v>
      </c>
      <c r="C26" s="167"/>
      <c r="D26" s="174">
        <v>165740.41399999999</v>
      </c>
      <c r="E26" s="98">
        <f>+D26/E2</f>
        <v>0.81011004447920221</v>
      </c>
      <c r="F26" s="163"/>
    </row>
    <row r="27" spans="1:11" x14ac:dyDescent="0.25">
      <c r="D27" s="108">
        <f>+(E2/30)*24</f>
        <v>163672</v>
      </c>
      <c r="E27" s="98">
        <f>+D27/E2</f>
        <v>0.8</v>
      </c>
    </row>
    <row r="28" spans="1:11" x14ac:dyDescent="0.25">
      <c r="D28" s="138">
        <f>+D26-D27</f>
        <v>2068.4139999999898</v>
      </c>
      <c r="E28" s="99">
        <f>+E26-E27</f>
        <v>1.0110044479202163E-2</v>
      </c>
    </row>
    <row r="29" spans="1:11" x14ac:dyDescent="0.25">
      <c r="G29" s="163"/>
    </row>
    <row r="30" spans="1:11" x14ac:dyDescent="0.25">
      <c r="B30" s="66" t="s">
        <v>60</v>
      </c>
      <c r="D30" s="109" t="s">
        <v>105</v>
      </c>
      <c r="E30" s="109" t="s">
        <v>80</v>
      </c>
      <c r="G30" s="163"/>
      <c r="I30" s="162" t="s">
        <v>92</v>
      </c>
    </row>
    <row r="31" spans="1:11" x14ac:dyDescent="0.25">
      <c r="B31" s="162" t="s">
        <v>61</v>
      </c>
      <c r="C31" s="162">
        <v>837</v>
      </c>
      <c r="D31" s="108">
        <v>2142</v>
      </c>
      <c r="E31" s="57">
        <f>+C31/D31</f>
        <v>0.3907563025210084</v>
      </c>
      <c r="G31" s="86" t="s">
        <v>86</v>
      </c>
      <c r="H31" s="87">
        <v>8915</v>
      </c>
      <c r="I31" s="88">
        <v>222.875</v>
      </c>
      <c r="J31" s="144">
        <v>45832</v>
      </c>
      <c r="K31" s="145">
        <v>2905</v>
      </c>
    </row>
    <row r="32" spans="1:11" x14ac:dyDescent="0.25">
      <c r="B32" s="162" t="s">
        <v>62</v>
      </c>
      <c r="C32" s="162">
        <v>1397</v>
      </c>
      <c r="D32" s="108">
        <v>1890</v>
      </c>
      <c r="E32" s="57">
        <f>+C32/D32</f>
        <v>0.73915343915343912</v>
      </c>
      <c r="G32" s="86" t="s">
        <v>104</v>
      </c>
      <c r="H32" s="87">
        <v>6</v>
      </c>
      <c r="I32" s="88">
        <v>0.15000000000000002</v>
      </c>
    </row>
    <row r="33" spans="1:11" x14ac:dyDescent="0.25">
      <c r="B33" s="162" t="s">
        <v>63</v>
      </c>
      <c r="C33" s="67">
        <v>1056</v>
      </c>
      <c r="D33" s="108">
        <v>3006</v>
      </c>
      <c r="E33" s="57">
        <f>+C33/D33</f>
        <v>0.35129740518962077</v>
      </c>
      <c r="G33" s="89" t="s">
        <v>87</v>
      </c>
      <c r="H33" s="87">
        <v>33</v>
      </c>
      <c r="I33" s="88">
        <v>49.5</v>
      </c>
      <c r="J33" s="144">
        <v>45831</v>
      </c>
      <c r="K33" s="146">
        <v>50</v>
      </c>
    </row>
    <row r="34" spans="1:11" x14ac:dyDescent="0.25">
      <c r="C34" s="162">
        <f>+SUM(C31:C33)</f>
        <v>3290</v>
      </c>
      <c r="D34" s="110">
        <f>+SUM(D31:D33)</f>
        <v>7038</v>
      </c>
      <c r="E34" s="57">
        <f>+C34/D34</f>
        <v>0.46746234725774366</v>
      </c>
      <c r="G34" s="89" t="s">
        <v>91</v>
      </c>
      <c r="H34" s="87">
        <v>248</v>
      </c>
      <c r="I34" s="88">
        <v>372</v>
      </c>
    </row>
    <row r="35" spans="1:11" x14ac:dyDescent="0.25">
      <c r="G35" s="89" t="s">
        <v>123</v>
      </c>
      <c r="H35" s="87">
        <v>95</v>
      </c>
      <c r="I35" s="88">
        <v>142.5</v>
      </c>
    </row>
    <row r="36" spans="1:11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</row>
    <row r="37" spans="1:1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129" t="s">
        <v>113</v>
      </c>
    </row>
    <row r="38" spans="1:11" x14ac:dyDescent="0.25">
      <c r="B38" s="73">
        <v>15</v>
      </c>
      <c r="C38" s="74">
        <v>0</v>
      </c>
      <c r="D38" s="74">
        <v>8</v>
      </c>
      <c r="E38" s="75">
        <f>+SUM(B38:D38)</f>
        <v>23</v>
      </c>
    </row>
    <row r="39" spans="1:11" x14ac:dyDescent="0.25">
      <c r="E39" s="66" t="s">
        <v>76</v>
      </c>
      <c r="G39" s="144" t="s">
        <v>124</v>
      </c>
      <c r="H39" s="145">
        <v>30</v>
      </c>
    </row>
    <row r="40" spans="1:11" x14ac:dyDescent="0.25">
      <c r="D40" s="162"/>
      <c r="F40" s="71" t="s">
        <v>90</v>
      </c>
      <c r="G40" s="144" t="s">
        <v>120</v>
      </c>
      <c r="H40" s="145">
        <v>12</v>
      </c>
    </row>
    <row r="41" spans="1:11" x14ac:dyDescent="0.25">
      <c r="A41" s="162" t="s">
        <v>70</v>
      </c>
      <c r="B41" s="162">
        <v>0</v>
      </c>
      <c r="C41" s="162">
        <v>2243</v>
      </c>
      <c r="D41" s="68">
        <v>2400</v>
      </c>
      <c r="E41" s="57">
        <f t="shared" ref="E41:E46" si="2">+C41/D41</f>
        <v>0.93458333333333332</v>
      </c>
      <c r="F41" s="71">
        <v>7</v>
      </c>
      <c r="G41" s="144" t="s">
        <v>121</v>
      </c>
      <c r="H41" s="146">
        <v>53</v>
      </c>
    </row>
    <row r="42" spans="1:11" x14ac:dyDescent="0.25">
      <c r="A42" s="162" t="s">
        <v>71</v>
      </c>
      <c r="B42" s="162">
        <v>6.91</v>
      </c>
      <c r="C42" s="162">
        <v>2164</v>
      </c>
      <c r="D42" s="68">
        <v>3600</v>
      </c>
      <c r="E42" s="57">
        <f t="shared" si="2"/>
        <v>0.60111111111111115</v>
      </c>
      <c r="F42" s="71">
        <v>12</v>
      </c>
      <c r="G42" s="71"/>
    </row>
    <row r="43" spans="1:11" x14ac:dyDescent="0.25">
      <c r="A43" s="162" t="s">
        <v>72</v>
      </c>
      <c r="B43" s="162">
        <v>9.5500000000000007</v>
      </c>
      <c r="C43" s="162">
        <v>2838</v>
      </c>
      <c r="D43" s="68">
        <v>3600</v>
      </c>
      <c r="E43" s="57">
        <f t="shared" si="2"/>
        <v>0.78833333333333333</v>
      </c>
      <c r="F43" s="71">
        <v>12</v>
      </c>
      <c r="G43" s="160" t="s">
        <v>128</v>
      </c>
    </row>
    <row r="44" spans="1:11" x14ac:dyDescent="0.25">
      <c r="A44" s="162" t="s">
        <v>73</v>
      </c>
      <c r="B44" s="162">
        <v>11.81</v>
      </c>
      <c r="C44" s="162">
        <v>3034</v>
      </c>
      <c r="D44" s="68">
        <v>3900</v>
      </c>
      <c r="E44" s="57">
        <f t="shared" si="2"/>
        <v>0.77794871794871789</v>
      </c>
      <c r="F44" s="71">
        <v>10</v>
      </c>
      <c r="G44" s="154">
        <v>45811</v>
      </c>
      <c r="H44" s="155">
        <v>73</v>
      </c>
    </row>
    <row r="45" spans="1:11" x14ac:dyDescent="0.25">
      <c r="A45" s="162" t="s">
        <v>74</v>
      </c>
      <c r="B45" s="162">
        <v>12.64</v>
      </c>
      <c r="C45" s="162">
        <v>2584</v>
      </c>
      <c r="D45" s="68">
        <v>3900</v>
      </c>
      <c r="E45" s="57">
        <f t="shared" si="2"/>
        <v>0.66256410256410259</v>
      </c>
      <c r="F45" s="71">
        <v>12</v>
      </c>
      <c r="G45" s="156">
        <v>45826</v>
      </c>
      <c r="H45" s="157">
        <v>29</v>
      </c>
      <c r="I45" s="520">
        <f>+SUM(H45:H47)</f>
        <v>133</v>
      </c>
    </row>
    <row r="46" spans="1:11" x14ac:dyDescent="0.25">
      <c r="A46" s="162" t="s">
        <v>75</v>
      </c>
      <c r="B46" s="123">
        <v>7.22</v>
      </c>
      <c r="C46" s="124">
        <f>23392/B46</f>
        <v>3239.8891966759002</v>
      </c>
      <c r="D46" s="128">
        <v>4300</v>
      </c>
      <c r="E46" s="126">
        <f t="shared" si="2"/>
        <v>0.75346260387811637</v>
      </c>
      <c r="F46" s="71">
        <v>16</v>
      </c>
      <c r="G46" s="156">
        <v>45826</v>
      </c>
      <c r="H46" s="157">
        <v>72</v>
      </c>
      <c r="I46" s="520"/>
      <c r="J46" s="162">
        <f>+I45*1.5</f>
        <v>199.5</v>
      </c>
    </row>
    <row r="47" spans="1:11" x14ac:dyDescent="0.25">
      <c r="C47" s="71" t="s">
        <v>83</v>
      </c>
      <c r="D47" s="72" t="s">
        <v>79</v>
      </c>
      <c r="G47" s="156">
        <v>45827</v>
      </c>
      <c r="H47" s="157">
        <v>32</v>
      </c>
      <c r="I47" s="520"/>
    </row>
    <row r="48" spans="1:11" x14ac:dyDescent="0.25">
      <c r="B48" s="162" t="s">
        <v>78</v>
      </c>
      <c r="C48" s="71">
        <v>4</v>
      </c>
      <c r="D48" s="72"/>
      <c r="G48" s="144">
        <v>45828</v>
      </c>
      <c r="H48" s="146">
        <v>6</v>
      </c>
      <c r="I48" s="520">
        <f>+SUM(H48:H50)</f>
        <v>38</v>
      </c>
    </row>
    <row r="49" spans="3:10" x14ac:dyDescent="0.25">
      <c r="C49" s="71">
        <v>5</v>
      </c>
      <c r="D49" s="108">
        <v>6</v>
      </c>
      <c r="G49" s="144">
        <v>45829</v>
      </c>
      <c r="H49" s="146">
        <v>12</v>
      </c>
      <c r="I49" s="520"/>
      <c r="J49" s="162">
        <f>+I48*1.5</f>
        <v>57</v>
      </c>
    </row>
    <row r="50" spans="3:10" x14ac:dyDescent="0.25">
      <c r="C50" s="71">
        <v>6</v>
      </c>
      <c r="D50" s="108">
        <v>6</v>
      </c>
      <c r="G50" s="144">
        <v>45830</v>
      </c>
      <c r="H50" s="146">
        <v>20</v>
      </c>
      <c r="I50" s="520"/>
    </row>
    <row r="51" spans="3:10" x14ac:dyDescent="0.25">
      <c r="C51" s="71">
        <v>8</v>
      </c>
      <c r="I51" s="162">
        <f>+I45+I48</f>
        <v>171</v>
      </c>
      <c r="J51" s="162">
        <f>+J49+J46</f>
        <v>256.5</v>
      </c>
    </row>
  </sheetData>
  <protectedRanges>
    <protectedRange password="D554" sqref="H39:H40" name="Rango1_1_2" securityDescriptor="O:WDG:WDD:(A;;CC;;;S-1-5-21-602234756-1814372317-3751740159-65568)(A;;CC;;;S-1-5-21-602234756-1814372317-3751740159-104412)"/>
    <protectedRange password="D554" sqref="K31" name="Rango1_1_2_1" securityDescriptor="O:WDG:WDD:(A;;CC;;;S-1-5-21-602234756-1814372317-3751740159-65568)(A;;CC;;;S-1-5-21-602234756-1814372317-3751740159-104412)"/>
  </protectedRanges>
  <mergeCells count="4">
    <mergeCell ref="B1:D1"/>
    <mergeCell ref="B3:D3"/>
    <mergeCell ref="I45:I47"/>
    <mergeCell ref="I48:I50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opLeftCell="A12" workbookViewId="0">
      <selection activeCell="A20" sqref="A20:M47"/>
    </sheetView>
  </sheetViews>
  <sheetFormatPr baseColWidth="10" defaultColWidth="11.42578125" defaultRowHeight="15.75" x14ac:dyDescent="0.25"/>
  <cols>
    <col min="1" max="1" width="2.42578125" style="162" customWidth="1"/>
    <col min="2" max="2" width="43.42578125" style="162" customWidth="1"/>
    <col min="3" max="3" width="15.28515625" style="162" customWidth="1"/>
    <col min="4" max="4" width="15.28515625" style="163" customWidth="1"/>
    <col min="5" max="5" width="11.85546875" style="162" bestFit="1" customWidth="1"/>
    <col min="6" max="10" width="11.42578125" style="162"/>
    <col min="11" max="11" width="7.42578125" style="162" bestFit="1" customWidth="1"/>
    <col min="12" max="12" width="6.7109375" style="162" bestFit="1" customWidth="1"/>
    <col min="13" max="13" width="3" style="162" bestFit="1" customWidth="1"/>
    <col min="14" max="16384" width="11.42578125" style="162"/>
  </cols>
  <sheetData>
    <row r="1" spans="1:10" ht="15" customHeight="1" x14ac:dyDescent="0.25">
      <c r="A1" s="161"/>
      <c r="B1" s="518">
        <v>45834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16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81"/>
      <c r="C4" s="181"/>
      <c r="D4" s="165">
        <f>D18</f>
        <v>7507.6819999999998</v>
      </c>
      <c r="F4" s="58" t="s">
        <v>51</v>
      </c>
      <c r="G4" s="59">
        <v>45831</v>
      </c>
      <c r="H4" s="58">
        <v>7024</v>
      </c>
      <c r="I4" s="141">
        <v>6157.8720000000003</v>
      </c>
      <c r="J4" s="60">
        <f>+I4/H4</f>
        <v>0.87669020501138961</v>
      </c>
    </row>
    <row r="5" spans="1:10" ht="15" customHeight="1" x14ac:dyDescent="0.25">
      <c r="A5" s="164"/>
      <c r="B5" s="168" t="s">
        <v>6</v>
      </c>
      <c r="C5" s="176">
        <v>3899</v>
      </c>
      <c r="D5" s="172">
        <v>166.34400000000002</v>
      </c>
      <c r="E5" s="80">
        <f>+D5/$D$4</f>
        <v>2.2156505829628911E-2</v>
      </c>
      <c r="F5" s="58" t="s">
        <v>52</v>
      </c>
      <c r="G5" s="59">
        <v>45832</v>
      </c>
      <c r="H5" s="58">
        <v>8158</v>
      </c>
      <c r="I5" s="141">
        <v>8534.0529999999999</v>
      </c>
      <c r="J5" s="60">
        <f t="shared" ref="J5:J11" si="0">+I5/H5</f>
        <v>1.0460962245648444</v>
      </c>
    </row>
    <row r="6" spans="1:10" ht="15" customHeight="1" x14ac:dyDescent="0.25">
      <c r="A6" s="164"/>
      <c r="B6" s="169" t="s">
        <v>10</v>
      </c>
      <c r="C6" s="177">
        <v>9239</v>
      </c>
      <c r="D6" s="173">
        <v>394.16200000000003</v>
      </c>
      <c r="E6" s="80">
        <f t="shared" ref="E6:E17" si="1">+D6/$D$4</f>
        <v>5.2501158147081887E-2</v>
      </c>
      <c r="F6" s="58" t="s">
        <v>53</v>
      </c>
      <c r="G6" s="59">
        <v>45833</v>
      </c>
      <c r="H6" s="58">
        <v>8013</v>
      </c>
      <c r="I6" s="141">
        <v>7507.6819999999998</v>
      </c>
      <c r="J6" s="60">
        <f t="shared" si="0"/>
        <v>0.93693772619493321</v>
      </c>
    </row>
    <row r="7" spans="1:10" ht="15" customHeight="1" x14ac:dyDescent="0.25">
      <c r="A7" s="164"/>
      <c r="B7" s="169" t="s">
        <v>35</v>
      </c>
      <c r="C7" s="177">
        <v>20244</v>
      </c>
      <c r="D7" s="173">
        <v>863.88200000000018</v>
      </c>
      <c r="E7" s="84">
        <f t="shared" si="1"/>
        <v>0.11506640798051918</v>
      </c>
      <c r="F7" s="58" t="s">
        <v>54</v>
      </c>
      <c r="G7" s="59">
        <v>45834</v>
      </c>
      <c r="H7" s="58">
        <v>8289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720</v>
      </c>
      <c r="D8" s="173">
        <v>30.63</v>
      </c>
      <c r="E8" s="80">
        <f t="shared" si="1"/>
        <v>4.0798211751643179E-3</v>
      </c>
      <c r="F8" s="58" t="s">
        <v>55</v>
      </c>
      <c r="G8" s="59">
        <v>45835</v>
      </c>
      <c r="H8" s="58">
        <v>7748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28670</v>
      </c>
      <c r="D9" s="173">
        <v>1224.192</v>
      </c>
      <c r="E9" s="153">
        <f t="shared" si="1"/>
        <v>0.16305858452715499</v>
      </c>
      <c r="F9" s="58" t="s">
        <v>56</v>
      </c>
      <c r="G9" s="59">
        <v>45836</v>
      </c>
      <c r="H9" s="58">
        <v>5954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48675</v>
      </c>
      <c r="D10" s="173">
        <v>2076.9679999999998</v>
      </c>
      <c r="E10" s="153">
        <f t="shared" si="1"/>
        <v>0.27664570768980357</v>
      </c>
      <c r="F10" s="58" t="s">
        <v>57</v>
      </c>
      <c r="G10" s="59">
        <v>45837</v>
      </c>
      <c r="H10" s="58">
        <v>3370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14960</v>
      </c>
      <c r="D11" s="173">
        <v>638.0440000000001</v>
      </c>
      <c r="E11" s="80">
        <f t="shared" si="1"/>
        <v>8.4985485533351057E-2</v>
      </c>
      <c r="H11" s="139">
        <f>+SUM(H4:H6)</f>
        <v>23195</v>
      </c>
      <c r="I11" s="142">
        <f>+SUM(I4:I10)</f>
        <v>22199.607</v>
      </c>
      <c r="J11" s="140">
        <f t="shared" si="0"/>
        <v>0.95708588057771071</v>
      </c>
    </row>
    <row r="12" spans="1:10" ht="15" customHeight="1" x14ac:dyDescent="0.25">
      <c r="A12" s="164"/>
      <c r="B12" s="169" t="s">
        <v>39</v>
      </c>
      <c r="C12" s="177">
        <v>412</v>
      </c>
      <c r="D12" s="173">
        <v>623.42999999999984</v>
      </c>
      <c r="E12" s="80">
        <f t="shared" si="1"/>
        <v>8.3038945975602033E-2</v>
      </c>
      <c r="G12" s="112"/>
      <c r="H12" s="113">
        <v>2024</v>
      </c>
      <c r="I12" s="113">
        <v>2025</v>
      </c>
    </row>
    <row r="13" spans="1:10" ht="15" customHeight="1" x14ac:dyDescent="0.25">
      <c r="A13" s="164"/>
      <c r="B13" s="169" t="s">
        <v>43</v>
      </c>
      <c r="C13" s="177">
        <v>377</v>
      </c>
      <c r="D13" s="173">
        <v>570.66000000000008</v>
      </c>
      <c r="E13" s="80">
        <f t="shared" si="1"/>
        <v>7.6010145341797924E-2</v>
      </c>
      <c r="G13" s="112" t="s">
        <v>108</v>
      </c>
      <c r="H13" s="119">
        <v>204007.80300000001</v>
      </c>
      <c r="I13" s="119">
        <v>190629.128</v>
      </c>
      <c r="J13" s="93">
        <f>+I13/H13</f>
        <v>0.93442076820953746</v>
      </c>
    </row>
    <row r="14" spans="1:10" ht="15" customHeight="1" x14ac:dyDescent="0.25">
      <c r="A14" s="164"/>
      <c r="B14" s="169" t="s">
        <v>41</v>
      </c>
      <c r="C14" s="177">
        <v>163</v>
      </c>
      <c r="D14" s="173">
        <v>246.32</v>
      </c>
      <c r="E14" s="80">
        <f t="shared" si="1"/>
        <v>3.280906143867042E-2</v>
      </c>
      <c r="F14" s="66"/>
      <c r="G14" s="112" t="s">
        <v>109</v>
      </c>
      <c r="H14" s="119">
        <v>186305.94399999996</v>
      </c>
      <c r="I14" s="119">
        <v>182874.285</v>
      </c>
      <c r="J14" s="93">
        <f>+I14/H14</f>
        <v>0.9815805179033904</v>
      </c>
    </row>
    <row r="15" spans="1:10" ht="15" customHeight="1" x14ac:dyDescent="0.25">
      <c r="A15" s="164"/>
      <c r="B15" s="169" t="s">
        <v>40</v>
      </c>
      <c r="C15" s="177">
        <v>428.43</v>
      </c>
      <c r="D15" s="173">
        <v>428.43</v>
      </c>
      <c r="E15" s="80">
        <f t="shared" si="1"/>
        <v>5.7065549659668591E-2</v>
      </c>
      <c r="G15" s="112" t="s">
        <v>110</v>
      </c>
      <c r="H15" s="119">
        <v>199570.19199999989</v>
      </c>
      <c r="I15" s="119">
        <v>197224.22099999999</v>
      </c>
      <c r="J15" s="93">
        <f>+I15/H15</f>
        <v>0.98824488278289624</v>
      </c>
    </row>
    <row r="16" spans="1:10" ht="15" customHeight="1" x14ac:dyDescent="0.25">
      <c r="A16" s="164"/>
      <c r="B16" s="169" t="s">
        <v>9</v>
      </c>
      <c r="C16" s="177">
        <v>154.16</v>
      </c>
      <c r="D16" s="173">
        <v>154.16</v>
      </c>
      <c r="E16" s="80">
        <f t="shared" si="1"/>
        <v>2.0533634749047708E-2</v>
      </c>
      <c r="G16" s="112" t="s">
        <v>111</v>
      </c>
      <c r="H16" s="119">
        <v>205343.72800000012</v>
      </c>
      <c r="I16" s="119">
        <v>198970.75799999986</v>
      </c>
      <c r="J16" s="93">
        <f>+I16/H16</f>
        <v>0.96896437956945902</v>
      </c>
    </row>
    <row r="17" spans="1:13" ht="15" customHeight="1" thickBot="1" x14ac:dyDescent="0.3">
      <c r="A17" s="164"/>
      <c r="B17" s="169" t="s">
        <v>46</v>
      </c>
      <c r="C17" s="177">
        <v>90.46</v>
      </c>
      <c r="D17" s="173">
        <v>90.46</v>
      </c>
      <c r="E17" s="80">
        <f t="shared" si="1"/>
        <v>1.2048991952509443E-2</v>
      </c>
      <c r="G17" s="112" t="s">
        <v>102</v>
      </c>
      <c r="H17" s="119">
        <v>209473.77399999995</v>
      </c>
      <c r="I17" s="119">
        <v>212393.17300000001</v>
      </c>
      <c r="J17" s="93">
        <f>+I17/H17</f>
        <v>1.0139368234230604</v>
      </c>
    </row>
    <row r="18" spans="1:13" ht="15" customHeight="1" thickBot="1" x14ac:dyDescent="0.3">
      <c r="B18" s="178" t="s">
        <v>0</v>
      </c>
      <c r="C18" s="170"/>
      <c r="D18" s="171">
        <f>SUM(D5:D17)</f>
        <v>7507.6819999999998</v>
      </c>
      <c r="E18" s="80"/>
      <c r="G18" s="112" t="s">
        <v>125</v>
      </c>
      <c r="H18" s="112"/>
      <c r="I18" s="112"/>
    </row>
    <row r="19" spans="1:13" ht="15" customHeight="1" x14ac:dyDescent="0.25">
      <c r="B19" s="166" t="s">
        <v>1</v>
      </c>
      <c r="C19" s="167"/>
      <c r="D19" s="174">
        <v>180086.13400000002</v>
      </c>
      <c r="E19" s="57">
        <f>+D19/$E$2</f>
        <v>0.88022940515176706</v>
      </c>
      <c r="G19" s="163"/>
      <c r="H19" s="68">
        <f>+SUM(H13:H17)</f>
        <v>1004701.441</v>
      </c>
      <c r="I19" s="68">
        <f>+SUM(I13:I17)</f>
        <v>982091.56499999971</v>
      </c>
      <c r="J19" s="93">
        <f>+I19/H19</f>
        <v>0.97749592557815368</v>
      </c>
      <c r="K19" s="68">
        <f>+I19-H19</f>
        <v>-22609.87600000028</v>
      </c>
    </row>
    <row r="20" spans="1:13" ht="15" customHeight="1" x14ac:dyDescent="0.25">
      <c r="D20" s="108">
        <f>+(E2/30)*26</f>
        <v>177311.33333333334</v>
      </c>
      <c r="E20" s="98">
        <f>+D20/E2</f>
        <v>0.8666666666666667</v>
      </c>
    </row>
    <row r="21" spans="1:13" ht="15" customHeight="1" x14ac:dyDescent="0.25">
      <c r="D21" s="183">
        <f>+D19-D20</f>
        <v>2774.800666666677</v>
      </c>
      <c r="E21" s="99">
        <f>+E19-E20</f>
        <v>1.3562738485100367E-2</v>
      </c>
    </row>
    <row r="22" spans="1:13" x14ac:dyDescent="0.25">
      <c r="G22" s="163"/>
    </row>
    <row r="23" spans="1:13" x14ac:dyDescent="0.25">
      <c r="B23" s="66" t="s">
        <v>60</v>
      </c>
      <c r="D23" s="109" t="s">
        <v>105</v>
      </c>
      <c r="E23" s="109" t="s">
        <v>80</v>
      </c>
      <c r="G23" s="163"/>
      <c r="I23" s="162" t="s">
        <v>92</v>
      </c>
    </row>
    <row r="24" spans="1:13" x14ac:dyDescent="0.25">
      <c r="B24" s="162" t="s">
        <v>61</v>
      </c>
      <c r="C24" s="162">
        <v>1446</v>
      </c>
      <c r="D24" s="108">
        <v>2142</v>
      </c>
      <c r="E24" s="57">
        <f>+C24/D24</f>
        <v>0.67507002801120453</v>
      </c>
      <c r="G24" s="86" t="s">
        <v>86</v>
      </c>
      <c r="H24" s="87">
        <v>7596</v>
      </c>
      <c r="I24" s="88">
        <v>189.9</v>
      </c>
      <c r="J24" s="144">
        <v>45832</v>
      </c>
      <c r="K24" s="145">
        <v>2905</v>
      </c>
    </row>
    <row r="25" spans="1:13" ht="15" customHeight="1" x14ac:dyDescent="0.25">
      <c r="B25" s="162" t="s">
        <v>62</v>
      </c>
      <c r="C25" s="162">
        <v>1595</v>
      </c>
      <c r="D25" s="108">
        <v>1890</v>
      </c>
      <c r="E25" s="57">
        <f>+C25/D25</f>
        <v>0.84391534391534395</v>
      </c>
      <c r="G25" s="86" t="s">
        <v>104</v>
      </c>
      <c r="H25" s="87">
        <v>14</v>
      </c>
      <c r="I25" s="88">
        <v>0.35000000000000003</v>
      </c>
    </row>
    <row r="26" spans="1:13" x14ac:dyDescent="0.25">
      <c r="B26" s="162" t="s">
        <v>63</v>
      </c>
      <c r="C26" s="67">
        <v>1777</v>
      </c>
      <c r="D26" s="108">
        <v>3006</v>
      </c>
      <c r="E26" s="57">
        <f>+C26/D26</f>
        <v>0.59115103127079172</v>
      </c>
      <c r="G26" s="89" t="s">
        <v>87</v>
      </c>
      <c r="H26" s="87">
        <v>43</v>
      </c>
      <c r="I26" s="88">
        <f>+H26*1.5</f>
        <v>64.5</v>
      </c>
      <c r="J26" s="144">
        <v>45831</v>
      </c>
      <c r="K26" s="146">
        <v>50</v>
      </c>
      <c r="L26" s="144">
        <v>45834</v>
      </c>
      <c r="M26" s="146">
        <v>48</v>
      </c>
    </row>
    <row r="27" spans="1:13" x14ac:dyDescent="0.25">
      <c r="C27" s="162">
        <f>+SUM(C24:C26)</f>
        <v>4818</v>
      </c>
      <c r="D27" s="110">
        <f>+SUM(D24:D26)</f>
        <v>7038</v>
      </c>
      <c r="E27" s="57">
        <f>+C27/D27</f>
        <v>0.68456947996589945</v>
      </c>
      <c r="G27" s="89" t="s">
        <v>91</v>
      </c>
      <c r="H27" s="87">
        <v>225</v>
      </c>
      <c r="I27" s="88">
        <v>337.5</v>
      </c>
    </row>
    <row r="28" spans="1:13" ht="15" customHeight="1" x14ac:dyDescent="0.25">
      <c r="G28" s="89" t="s">
        <v>123</v>
      </c>
      <c r="H28" s="87">
        <v>97</v>
      </c>
      <c r="I28" s="88">
        <v>145.5</v>
      </c>
    </row>
    <row r="29" spans="1:13" x14ac:dyDescent="0.25">
      <c r="B29" s="162" t="s">
        <v>66</v>
      </c>
      <c r="D29" s="162"/>
      <c r="G29" s="89" t="s">
        <v>96</v>
      </c>
      <c r="H29" s="87">
        <v>22</v>
      </c>
      <c r="I29" s="88">
        <v>33</v>
      </c>
    </row>
    <row r="30" spans="1:13" x14ac:dyDescent="0.25">
      <c r="B30" s="76" t="s">
        <v>67</v>
      </c>
      <c r="C30" s="77" t="s">
        <v>68</v>
      </c>
      <c r="D30" s="78" t="s">
        <v>69</v>
      </c>
      <c r="E30" s="79" t="s">
        <v>33</v>
      </c>
      <c r="G30" s="89" t="s">
        <v>107</v>
      </c>
      <c r="H30" s="87">
        <v>244</v>
      </c>
      <c r="I30" s="88">
        <f>+H30*1.5</f>
        <v>366</v>
      </c>
      <c r="J30" s="129" t="s">
        <v>113</v>
      </c>
    </row>
    <row r="31" spans="1:13" x14ac:dyDescent="0.25">
      <c r="B31" s="73">
        <v>11</v>
      </c>
      <c r="C31" s="74">
        <v>4</v>
      </c>
      <c r="D31" s="74">
        <v>18</v>
      </c>
      <c r="E31" s="75">
        <f>+SUM(B31:D31)</f>
        <v>33</v>
      </c>
    </row>
    <row r="32" spans="1:13" x14ac:dyDescent="0.25">
      <c r="E32" s="66" t="s">
        <v>76</v>
      </c>
      <c r="G32" s="144" t="s">
        <v>124</v>
      </c>
      <c r="H32" s="145">
        <v>30</v>
      </c>
    </row>
    <row r="33" spans="1:10" x14ac:dyDescent="0.25">
      <c r="D33" s="162"/>
      <c r="F33" s="71" t="s">
        <v>90</v>
      </c>
      <c r="G33" s="144" t="s">
        <v>120</v>
      </c>
      <c r="H33" s="145">
        <v>12</v>
      </c>
    </row>
    <row r="34" spans="1:10" x14ac:dyDescent="0.25">
      <c r="A34" s="162" t="s">
        <v>70</v>
      </c>
      <c r="B34" s="162">
        <v>0</v>
      </c>
      <c r="C34" s="162">
        <v>2243</v>
      </c>
      <c r="D34" s="68">
        <v>2400</v>
      </c>
      <c r="E34" s="57">
        <f t="shared" ref="E34:E39" si="2">+C34/D34</f>
        <v>0.93458333333333332</v>
      </c>
      <c r="F34" s="71">
        <v>7</v>
      </c>
      <c r="G34" s="144" t="s">
        <v>121</v>
      </c>
      <c r="H34" s="146">
        <v>53</v>
      </c>
    </row>
    <row r="35" spans="1:10" x14ac:dyDescent="0.25">
      <c r="A35" s="162" t="s">
        <v>71</v>
      </c>
      <c r="B35" s="162">
        <v>8.69</v>
      </c>
      <c r="C35" s="162">
        <v>2335</v>
      </c>
      <c r="D35" s="68">
        <v>3600</v>
      </c>
      <c r="E35" s="57">
        <f t="shared" si="2"/>
        <v>0.64861111111111114</v>
      </c>
      <c r="F35" s="71">
        <v>12</v>
      </c>
      <c r="G35" s="71"/>
    </row>
    <row r="36" spans="1:10" x14ac:dyDescent="0.25">
      <c r="A36" s="162" t="s">
        <v>72</v>
      </c>
      <c r="B36" s="162">
        <v>9.75</v>
      </c>
      <c r="C36" s="162">
        <v>3114</v>
      </c>
      <c r="D36" s="68">
        <v>3600</v>
      </c>
      <c r="E36" s="57">
        <f t="shared" si="2"/>
        <v>0.86499999999999999</v>
      </c>
      <c r="F36" s="71">
        <v>12</v>
      </c>
      <c r="G36" s="160" t="s">
        <v>128</v>
      </c>
    </row>
    <row r="37" spans="1:10" x14ac:dyDescent="0.25">
      <c r="A37" s="162" t="s">
        <v>73</v>
      </c>
      <c r="B37" s="162">
        <v>11.01</v>
      </c>
      <c r="C37" s="162">
        <v>3076</v>
      </c>
      <c r="D37" s="68">
        <v>3900</v>
      </c>
      <c r="E37" s="57">
        <f t="shared" si="2"/>
        <v>0.78871794871794876</v>
      </c>
      <c r="F37" s="71">
        <v>10</v>
      </c>
      <c r="G37" s="154">
        <v>45811</v>
      </c>
      <c r="H37" s="155">
        <v>73</v>
      </c>
    </row>
    <row r="38" spans="1:10" x14ac:dyDescent="0.25">
      <c r="A38" s="162" t="s">
        <v>74</v>
      </c>
      <c r="B38" s="162">
        <v>11.46</v>
      </c>
      <c r="C38" s="162">
        <v>2373</v>
      </c>
      <c r="D38" s="68">
        <v>3900</v>
      </c>
      <c r="E38" s="57">
        <f t="shared" si="2"/>
        <v>0.6084615384615385</v>
      </c>
      <c r="F38" s="71">
        <v>12</v>
      </c>
      <c r="G38" s="156">
        <v>45826</v>
      </c>
      <c r="H38" s="157">
        <v>29</v>
      </c>
      <c r="I38" s="520">
        <f>+SUM(H38:H40)</f>
        <v>133</v>
      </c>
    </row>
    <row r="39" spans="1:10" x14ac:dyDescent="0.25">
      <c r="A39" s="162" t="s">
        <v>75</v>
      </c>
      <c r="B39" s="123">
        <v>7.93</v>
      </c>
      <c r="C39" s="124">
        <f>19039/B39</f>
        <v>2400.8827238335434</v>
      </c>
      <c r="D39" s="128">
        <v>4300</v>
      </c>
      <c r="E39" s="126">
        <f t="shared" si="2"/>
        <v>0.55834481949617287</v>
      </c>
      <c r="F39" s="71">
        <v>16</v>
      </c>
      <c r="G39" s="156">
        <v>45826</v>
      </c>
      <c r="H39" s="157">
        <v>72</v>
      </c>
      <c r="I39" s="520"/>
      <c r="J39" s="162">
        <f>+I38*1.5</f>
        <v>199.5</v>
      </c>
    </row>
    <row r="40" spans="1:10" x14ac:dyDescent="0.25">
      <c r="C40" s="71" t="s">
        <v>83</v>
      </c>
      <c r="D40" s="72" t="s">
        <v>79</v>
      </c>
      <c r="G40" s="156">
        <v>45827</v>
      </c>
      <c r="H40" s="157">
        <v>32</v>
      </c>
      <c r="I40" s="520"/>
    </row>
    <row r="41" spans="1:10" x14ac:dyDescent="0.25">
      <c r="B41" s="162" t="s">
        <v>78</v>
      </c>
      <c r="C41" s="71">
        <v>4</v>
      </c>
      <c r="D41" s="72"/>
      <c r="G41" s="144">
        <v>45828</v>
      </c>
      <c r="H41" s="146">
        <v>6</v>
      </c>
      <c r="I41" s="520">
        <f>+SUM(H41:H43)</f>
        <v>38</v>
      </c>
    </row>
    <row r="42" spans="1:10" x14ac:dyDescent="0.25">
      <c r="C42" s="71">
        <v>5</v>
      </c>
      <c r="D42" s="108">
        <v>7</v>
      </c>
      <c r="G42" s="144">
        <v>45829</v>
      </c>
      <c r="H42" s="146">
        <v>12</v>
      </c>
      <c r="I42" s="520"/>
      <c r="J42" s="162">
        <f>+I41*1.5</f>
        <v>57</v>
      </c>
    </row>
    <row r="43" spans="1:10" x14ac:dyDescent="0.25">
      <c r="C43" s="71">
        <v>6</v>
      </c>
      <c r="D43" s="108">
        <v>7</v>
      </c>
      <c r="G43" s="144">
        <v>45830</v>
      </c>
      <c r="H43" s="146">
        <v>20</v>
      </c>
      <c r="I43" s="520"/>
    </row>
    <row r="44" spans="1:10" x14ac:dyDescent="0.25">
      <c r="C44" s="71">
        <v>8</v>
      </c>
      <c r="I44" s="162">
        <f>+I38+I41</f>
        <v>171</v>
      </c>
      <c r="J44" s="162">
        <f>+J42+J39</f>
        <v>256.5</v>
      </c>
    </row>
  </sheetData>
  <protectedRanges>
    <protectedRange password="D554" sqref="H32:H33" name="Rango1_1_2" securityDescriptor="O:WDG:WDD:(A;;CC;;;S-1-5-21-602234756-1814372317-3751740159-65568)(A;;CC;;;S-1-5-21-602234756-1814372317-3751740159-104412)"/>
    <protectedRange password="D554" sqref="K24" name="Rango1_1_2_1" securityDescriptor="O:WDG:WDD:(A;;CC;;;S-1-5-21-602234756-1814372317-3751740159-65568)(A;;CC;;;S-1-5-21-602234756-1814372317-3751740159-104412)"/>
  </protectedRanges>
  <mergeCells count="4">
    <mergeCell ref="B1:D1"/>
    <mergeCell ref="B3:D3"/>
    <mergeCell ref="I38:I40"/>
    <mergeCell ref="I41:I4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A15" workbookViewId="0">
      <selection activeCell="A28" sqref="A28:M54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20.42578125" style="162" customWidth="1"/>
    <col min="6" max="6" width="11.42578125" style="162"/>
    <col min="7" max="7" width="11.85546875" style="162" bestFit="1" customWidth="1"/>
    <col min="8" max="16384" width="11.42578125" style="162"/>
  </cols>
  <sheetData>
    <row r="1" spans="1:10" ht="15" customHeight="1" x14ac:dyDescent="0.25">
      <c r="A1" s="161"/>
      <c r="B1" s="518">
        <v>45837</v>
      </c>
      <c r="C1" s="518"/>
      <c r="D1" s="518"/>
      <c r="E1" s="61" t="s">
        <v>101</v>
      </c>
    </row>
    <row r="2" spans="1:10" x14ac:dyDescent="0.25">
      <c r="E2" s="62">
        <v>204590</v>
      </c>
    </row>
    <row r="3" spans="1:10" ht="15" customHeight="1" x14ac:dyDescent="0.25">
      <c r="A3" s="16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82"/>
      <c r="C4" s="182"/>
      <c r="D4" s="165">
        <f>D26</f>
        <v>5016.9879999999994</v>
      </c>
      <c r="F4" s="58" t="s">
        <v>51</v>
      </c>
      <c r="G4" s="59">
        <v>45831</v>
      </c>
      <c r="H4" s="58">
        <v>7024</v>
      </c>
      <c r="I4" s="141">
        <v>6157.8720000000003</v>
      </c>
      <c r="J4" s="60">
        <f>+I4/H4</f>
        <v>0.87669020501138961</v>
      </c>
    </row>
    <row r="5" spans="1:10" ht="15" customHeight="1" x14ac:dyDescent="0.25">
      <c r="A5" s="164"/>
      <c r="B5" s="168" t="s">
        <v>6</v>
      </c>
      <c r="C5" s="176"/>
      <c r="D5" s="172"/>
      <c r="E5" s="80">
        <f>+D5/$D$4</f>
        <v>0</v>
      </c>
      <c r="F5" s="58" t="s">
        <v>52</v>
      </c>
      <c r="G5" s="59">
        <v>45832</v>
      </c>
      <c r="H5" s="58">
        <v>8158</v>
      </c>
      <c r="I5" s="141">
        <v>8534.0529999999999</v>
      </c>
      <c r="J5" s="60">
        <f t="shared" ref="J5:J11" si="0">+I5/H5</f>
        <v>1.0460962245648444</v>
      </c>
    </row>
    <row r="6" spans="1:10" ht="15" customHeight="1" x14ac:dyDescent="0.25">
      <c r="A6" s="164"/>
      <c r="B6" s="169" t="s">
        <v>10</v>
      </c>
      <c r="C6" s="177">
        <v>16287</v>
      </c>
      <c r="D6" s="173">
        <v>695.69399999999996</v>
      </c>
      <c r="E6" s="80">
        <f t="shared" ref="E6:E25" si="1">+D6/$D$4</f>
        <v>0.13866766274904385</v>
      </c>
      <c r="F6" s="58" t="s">
        <v>53</v>
      </c>
      <c r="G6" s="59">
        <v>45833</v>
      </c>
      <c r="H6" s="58">
        <v>8013</v>
      </c>
      <c r="I6" s="141">
        <v>6838.03</v>
      </c>
      <c r="J6" s="60">
        <f t="shared" si="0"/>
        <v>0.85336702857855984</v>
      </c>
    </row>
    <row r="7" spans="1:10" ht="15" customHeight="1" x14ac:dyDescent="0.25">
      <c r="A7" s="164"/>
      <c r="B7" s="169" t="s">
        <v>35</v>
      </c>
      <c r="C7" s="177">
        <v>6435</v>
      </c>
      <c r="D7" s="173">
        <v>274.85000000000002</v>
      </c>
      <c r="E7" s="80">
        <f t="shared" si="1"/>
        <v>5.4783866335737709E-2</v>
      </c>
      <c r="F7" s="58" t="s">
        <v>54</v>
      </c>
      <c r="G7" s="59">
        <v>45834</v>
      </c>
      <c r="H7" s="58">
        <v>8289</v>
      </c>
      <c r="I7" s="141">
        <v>7507.68</v>
      </c>
      <c r="J7" s="60">
        <f t="shared" si="0"/>
        <v>0.90574013753166849</v>
      </c>
    </row>
    <row r="8" spans="1:10" ht="15" customHeight="1" x14ac:dyDescent="0.25">
      <c r="A8" s="164"/>
      <c r="B8" s="169" t="s">
        <v>4</v>
      </c>
      <c r="C8" s="177">
        <v>6946</v>
      </c>
      <c r="D8" s="173">
        <v>296.5</v>
      </c>
      <c r="E8" s="80">
        <f t="shared" si="1"/>
        <v>5.9099204542645917E-2</v>
      </c>
      <c r="F8" s="58" t="s">
        <v>55</v>
      </c>
      <c r="G8" s="59">
        <v>45835</v>
      </c>
      <c r="H8" s="58">
        <v>7748</v>
      </c>
      <c r="I8" s="141">
        <v>6824.35</v>
      </c>
      <c r="J8" s="60">
        <f t="shared" si="0"/>
        <v>0.88078859060402692</v>
      </c>
    </row>
    <row r="9" spans="1:10" ht="15" customHeight="1" x14ac:dyDescent="0.25">
      <c r="A9" s="164"/>
      <c r="B9" s="169" t="s">
        <v>37</v>
      </c>
      <c r="C9" s="177">
        <v>18828</v>
      </c>
      <c r="D9" s="173">
        <v>804.74800000000005</v>
      </c>
      <c r="E9" s="80">
        <f t="shared" si="1"/>
        <v>0.16040460929944425</v>
      </c>
      <c r="F9" s="58" t="s">
        <v>56</v>
      </c>
      <c r="G9" s="59">
        <v>45836</v>
      </c>
      <c r="H9" s="58">
        <v>5954</v>
      </c>
      <c r="I9" s="141">
        <v>6790.17</v>
      </c>
      <c r="J9" s="60">
        <f t="shared" si="0"/>
        <v>1.1404383607658717</v>
      </c>
    </row>
    <row r="10" spans="1:10" ht="15" customHeight="1" x14ac:dyDescent="0.25">
      <c r="A10" s="164"/>
      <c r="B10" s="169" t="s">
        <v>38</v>
      </c>
      <c r="C10" s="177">
        <v>28150</v>
      </c>
      <c r="D10" s="173">
        <v>1201.184</v>
      </c>
      <c r="E10" s="80">
        <f t="shared" si="1"/>
        <v>0.23942333527606607</v>
      </c>
      <c r="F10" s="58" t="s">
        <v>57</v>
      </c>
      <c r="G10" s="59">
        <v>45837</v>
      </c>
      <c r="H10" s="58">
        <v>3370</v>
      </c>
      <c r="I10" s="141">
        <v>5016.9879999999994</v>
      </c>
      <c r="J10" s="60">
        <f t="shared" si="0"/>
        <v>1.4887204747774478</v>
      </c>
    </row>
    <row r="11" spans="1:10" ht="15" customHeight="1" x14ac:dyDescent="0.25">
      <c r="A11" s="164"/>
      <c r="B11" s="169" t="s">
        <v>42</v>
      </c>
      <c r="C11" s="177">
        <v>10915</v>
      </c>
      <c r="D11" s="173">
        <v>465.84199999999998</v>
      </c>
      <c r="E11" s="80">
        <f t="shared" si="1"/>
        <v>9.2852922909123975E-2</v>
      </c>
      <c r="H11" s="139">
        <f>+SUM(H4:H10)</f>
        <v>48556</v>
      </c>
      <c r="I11" s="142">
        <f>+SUM(I4:I10)</f>
        <v>47669.142999999996</v>
      </c>
      <c r="J11" s="140">
        <f t="shared" si="0"/>
        <v>0.98173537770821317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  <c r="G12" s="112"/>
      <c r="H12" s="113">
        <v>2024</v>
      </c>
      <c r="I12" s="113">
        <v>2025</v>
      </c>
    </row>
    <row r="13" spans="1:10" ht="15" customHeight="1" x14ac:dyDescent="0.25">
      <c r="A13" s="164"/>
      <c r="B13" s="169" t="s">
        <v>47</v>
      </c>
      <c r="C13" s="177"/>
      <c r="D13" s="173"/>
      <c r="E13" s="80">
        <f t="shared" si="1"/>
        <v>0</v>
      </c>
      <c r="G13" s="112" t="s">
        <v>108</v>
      </c>
      <c r="H13" s="119">
        <v>204007.80300000001</v>
      </c>
      <c r="I13" s="119">
        <v>190629.128</v>
      </c>
      <c r="J13" s="93">
        <f>+I13/H13</f>
        <v>0.93442076820953746</v>
      </c>
    </row>
    <row r="14" spans="1:10" ht="15" customHeight="1" x14ac:dyDescent="0.25">
      <c r="A14" s="164"/>
      <c r="B14" s="169" t="s">
        <v>34</v>
      </c>
      <c r="C14" s="177"/>
      <c r="D14" s="173"/>
      <c r="E14" s="80">
        <f t="shared" si="1"/>
        <v>0</v>
      </c>
      <c r="F14" s="66"/>
      <c r="G14" s="112" t="s">
        <v>109</v>
      </c>
      <c r="H14" s="119">
        <v>186305.94399999996</v>
      </c>
      <c r="I14" s="119">
        <v>182874.285</v>
      </c>
      <c r="J14" s="93">
        <f>+I14/H14</f>
        <v>0.9815805179033904</v>
      </c>
    </row>
    <row r="15" spans="1:10" ht="15" customHeight="1" x14ac:dyDescent="0.25">
      <c r="A15" s="164"/>
      <c r="B15" s="169" t="s">
        <v>95</v>
      </c>
      <c r="C15" s="177"/>
      <c r="D15" s="173"/>
      <c r="E15" s="80">
        <f t="shared" si="1"/>
        <v>0</v>
      </c>
      <c r="G15" s="112" t="s">
        <v>110</v>
      </c>
      <c r="H15" s="119">
        <v>199570.19199999989</v>
      </c>
      <c r="I15" s="119">
        <v>197224.22099999999</v>
      </c>
      <c r="J15" s="93">
        <f>+I15/H15</f>
        <v>0.98824488278289624</v>
      </c>
    </row>
    <row r="16" spans="1:10" ht="15" customHeight="1" x14ac:dyDescent="0.25">
      <c r="A16" s="164"/>
      <c r="B16" s="169" t="s">
        <v>44</v>
      </c>
      <c r="C16" s="177">
        <v>85</v>
      </c>
      <c r="D16" s="173">
        <v>128.63</v>
      </c>
      <c r="E16" s="80">
        <f t="shared" si="1"/>
        <v>2.5638889309681428E-2</v>
      </c>
      <c r="G16" s="112" t="s">
        <v>111</v>
      </c>
      <c r="H16" s="119">
        <v>205343.72800000012</v>
      </c>
      <c r="I16" s="119">
        <v>198970.75799999986</v>
      </c>
      <c r="J16" s="93">
        <f>+I16/H16</f>
        <v>0.96896437956945902</v>
      </c>
    </row>
    <row r="17" spans="1:11" ht="15" customHeight="1" x14ac:dyDescent="0.25">
      <c r="A17" s="164"/>
      <c r="B17" s="169" t="s">
        <v>39</v>
      </c>
      <c r="C17" s="177">
        <v>155</v>
      </c>
      <c r="D17" s="173">
        <v>234.49</v>
      </c>
      <c r="E17" s="80">
        <f t="shared" si="1"/>
        <v>4.6739198897824762E-2</v>
      </c>
      <c r="G17" s="112" t="s">
        <v>102</v>
      </c>
      <c r="H17" s="119">
        <v>209473.77399999995</v>
      </c>
      <c r="I17" s="119">
        <v>212393.17300000001</v>
      </c>
      <c r="J17" s="93">
        <f>+I17/H17</f>
        <v>1.0139368234230604</v>
      </c>
    </row>
    <row r="18" spans="1:11" ht="15" customHeight="1" x14ac:dyDescent="0.25">
      <c r="A18" s="164"/>
      <c r="B18" s="169" t="s">
        <v>43</v>
      </c>
      <c r="C18" s="177">
        <v>115</v>
      </c>
      <c r="D18" s="173">
        <v>173.88</v>
      </c>
      <c r="E18" s="80">
        <f t="shared" si="1"/>
        <v>3.4658245146290963E-2</v>
      </c>
      <c r="G18" s="112" t="s">
        <v>125</v>
      </c>
      <c r="H18" s="112"/>
      <c r="I18" s="112"/>
    </row>
    <row r="19" spans="1:11" ht="15" customHeight="1" x14ac:dyDescent="0.25">
      <c r="A19" s="164"/>
      <c r="B19" s="169" t="s">
        <v>49</v>
      </c>
      <c r="C19" s="177">
        <v>22</v>
      </c>
      <c r="D19" s="173">
        <v>33.200000000000003</v>
      </c>
      <c r="E19" s="80">
        <f t="shared" si="1"/>
        <v>6.6175163265289865E-3</v>
      </c>
      <c r="G19" s="163"/>
      <c r="H19" s="68">
        <f>+SUM(H13:H17)</f>
        <v>1004701.441</v>
      </c>
      <c r="I19" s="68">
        <f>+SUM(I13:I17)</f>
        <v>982091.56499999971</v>
      </c>
      <c r="J19" s="93">
        <f>+I19/H19</f>
        <v>0.97749592557815368</v>
      </c>
      <c r="K19" s="68">
        <f>+I19-H19</f>
        <v>-22609.87600000028</v>
      </c>
    </row>
    <row r="20" spans="1:11" ht="15" customHeight="1" x14ac:dyDescent="0.25">
      <c r="A20" s="164"/>
      <c r="B20" s="169" t="s">
        <v>41</v>
      </c>
      <c r="C20" s="177">
        <v>83</v>
      </c>
      <c r="D20" s="173">
        <v>126.04</v>
      </c>
      <c r="E20" s="80">
        <f t="shared" si="1"/>
        <v>2.5122643307099801E-2</v>
      </c>
    </row>
    <row r="21" spans="1:11" ht="15" customHeight="1" x14ac:dyDescent="0.25">
      <c r="A21" s="164"/>
      <c r="B21" s="169" t="s">
        <v>48</v>
      </c>
      <c r="C21" s="177"/>
      <c r="D21" s="173"/>
      <c r="E21" s="80">
        <f t="shared" si="1"/>
        <v>0</v>
      </c>
    </row>
    <row r="22" spans="1:11" ht="15" customHeight="1" x14ac:dyDescent="0.25">
      <c r="A22" s="164"/>
      <c r="B22" s="169" t="s">
        <v>85</v>
      </c>
      <c r="C22" s="177"/>
      <c r="D22" s="173"/>
      <c r="E22" s="80">
        <f t="shared" si="1"/>
        <v>0</v>
      </c>
    </row>
    <row r="23" spans="1:11" ht="12.75" customHeight="1" x14ac:dyDescent="0.25">
      <c r="A23" s="164"/>
      <c r="B23" s="169" t="s">
        <v>40</v>
      </c>
      <c r="C23" s="177"/>
      <c r="D23" s="173">
        <v>334.82</v>
      </c>
      <c r="E23" s="80">
        <f t="shared" si="1"/>
        <v>6.6737253507482983E-2</v>
      </c>
      <c r="I23" s="162" t="s">
        <v>130</v>
      </c>
      <c r="J23" s="162">
        <v>3408</v>
      </c>
    </row>
    <row r="24" spans="1:11" ht="15" customHeight="1" x14ac:dyDescent="0.25">
      <c r="A24" s="164"/>
      <c r="B24" s="169" t="s">
        <v>9</v>
      </c>
      <c r="C24" s="177"/>
      <c r="D24" s="173">
        <v>187.63</v>
      </c>
      <c r="E24" s="80">
        <f t="shared" si="1"/>
        <v>3.7398933383934747E-2</v>
      </c>
      <c r="I24" s="162" t="s">
        <v>129</v>
      </c>
      <c r="J24" s="162">
        <v>413</v>
      </c>
    </row>
    <row r="25" spans="1:11" ht="15" customHeight="1" thickBot="1" x14ac:dyDescent="0.3">
      <c r="A25" s="164"/>
      <c r="B25" s="10" t="s">
        <v>46</v>
      </c>
      <c r="C25" s="54"/>
      <c r="D25" s="55">
        <v>59.48</v>
      </c>
      <c r="E25" s="80">
        <f t="shared" si="1"/>
        <v>1.1855719009094701E-2</v>
      </c>
      <c r="I25" s="162" t="s">
        <v>131</v>
      </c>
      <c r="J25" s="107">
        <v>519</v>
      </c>
    </row>
    <row r="26" spans="1:11" ht="15" customHeight="1" thickBot="1" x14ac:dyDescent="0.3">
      <c r="B26" s="178" t="s">
        <v>0</v>
      </c>
      <c r="C26" s="170"/>
      <c r="D26" s="171">
        <f>SUM(D5:D25)</f>
        <v>5016.9879999999994</v>
      </c>
      <c r="E26" s="179"/>
      <c r="J26" s="162">
        <f>+SUM(J23:J25)</f>
        <v>4340</v>
      </c>
    </row>
    <row r="27" spans="1:11" ht="15" customHeight="1" x14ac:dyDescent="0.25">
      <c r="B27" s="166" t="s">
        <v>1</v>
      </c>
      <c r="C27" s="167"/>
      <c r="D27" s="174">
        <v>198748.00899999999</v>
      </c>
      <c r="E27" s="98">
        <f>+D27/E2</f>
        <v>0.9714453736741776</v>
      </c>
      <c r="F27" s="163"/>
    </row>
    <row r="28" spans="1:11" ht="15" customHeight="1" x14ac:dyDescent="0.25">
      <c r="D28" s="108">
        <f>+(E2/30)*29</f>
        <v>197770.33333333334</v>
      </c>
      <c r="E28" s="98">
        <f>+D28/E2</f>
        <v>0.96666666666666667</v>
      </c>
    </row>
    <row r="29" spans="1:11" ht="15" customHeight="1" x14ac:dyDescent="0.25">
      <c r="D29" s="183">
        <f>+D27-D28</f>
        <v>977.67566666664788</v>
      </c>
      <c r="E29" s="99">
        <f>+E27-E28</f>
        <v>4.7787070075109295E-3</v>
      </c>
    </row>
    <row r="30" spans="1:11" x14ac:dyDescent="0.25">
      <c r="G30" s="163"/>
    </row>
    <row r="31" spans="1:11" x14ac:dyDescent="0.25">
      <c r="B31" s="66" t="s">
        <v>60</v>
      </c>
      <c r="D31" s="109" t="s">
        <v>105</v>
      </c>
      <c r="E31" s="109" t="s">
        <v>80</v>
      </c>
      <c r="G31" s="163"/>
      <c r="I31" s="162" t="s">
        <v>92</v>
      </c>
    </row>
    <row r="32" spans="1:11" x14ac:dyDescent="0.25">
      <c r="B32" s="162" t="s">
        <v>61</v>
      </c>
      <c r="C32" s="162">
        <v>1446</v>
      </c>
      <c r="D32" s="108">
        <v>2142</v>
      </c>
      <c r="E32" s="57">
        <f>+C32/D32</f>
        <v>0.67507002801120453</v>
      </c>
      <c r="G32" s="86" t="s">
        <v>86</v>
      </c>
      <c r="H32" s="87">
        <v>7596</v>
      </c>
      <c r="I32" s="88">
        <v>189.9</v>
      </c>
      <c r="J32" s="144">
        <v>45832</v>
      </c>
      <c r="K32" s="145">
        <v>2905</v>
      </c>
    </row>
    <row r="33" spans="1:13" ht="15" customHeight="1" x14ac:dyDescent="0.25">
      <c r="B33" s="162" t="s">
        <v>62</v>
      </c>
      <c r="C33" s="162">
        <v>2057</v>
      </c>
      <c r="D33" s="108">
        <v>1890</v>
      </c>
      <c r="E33" s="57">
        <f>+C33/D33</f>
        <v>1.0883597883597884</v>
      </c>
      <c r="G33" s="86" t="s">
        <v>104</v>
      </c>
      <c r="H33" s="87">
        <v>14</v>
      </c>
      <c r="I33" s="88">
        <v>0.35000000000000003</v>
      </c>
    </row>
    <row r="34" spans="1:13" x14ac:dyDescent="0.25">
      <c r="B34" s="162" t="s">
        <v>63</v>
      </c>
      <c r="C34" s="67">
        <v>1777</v>
      </c>
      <c r="D34" s="108">
        <v>3006</v>
      </c>
      <c r="E34" s="57">
        <f>+C34/D34</f>
        <v>0.59115103127079172</v>
      </c>
      <c r="G34" s="89" t="s">
        <v>87</v>
      </c>
      <c r="H34" s="87">
        <v>43</v>
      </c>
      <c r="I34" s="88">
        <f>+H34*1.5</f>
        <v>64.5</v>
      </c>
      <c r="J34" s="144">
        <v>45831</v>
      </c>
      <c r="K34" s="146">
        <v>50</v>
      </c>
      <c r="L34" s="144">
        <v>45834</v>
      </c>
      <c r="M34" s="146">
        <v>48</v>
      </c>
    </row>
    <row r="35" spans="1:13" x14ac:dyDescent="0.25">
      <c r="C35" s="162">
        <f>+SUM(C32:C34)</f>
        <v>5280</v>
      </c>
      <c r="D35" s="110">
        <f>+SUM(D32:D34)</f>
        <v>7038</v>
      </c>
      <c r="E35" s="57">
        <f>+C35/D35</f>
        <v>0.75021312872975277</v>
      </c>
      <c r="G35" s="89" t="s">
        <v>91</v>
      </c>
      <c r="H35" s="87">
        <v>225</v>
      </c>
      <c r="I35" s="88">
        <v>337.5</v>
      </c>
    </row>
    <row r="36" spans="1:13" ht="15" customHeight="1" x14ac:dyDescent="0.25">
      <c r="G36" s="89" t="s">
        <v>123</v>
      </c>
      <c r="H36" s="87">
        <v>97</v>
      </c>
      <c r="I36" s="88">
        <v>145.5</v>
      </c>
    </row>
    <row r="37" spans="1:13" ht="15" customHeight="1" x14ac:dyDescent="0.25">
      <c r="B37" s="162" t="s">
        <v>66</v>
      </c>
      <c r="D37" s="162"/>
      <c r="G37" s="89" t="s">
        <v>96</v>
      </c>
      <c r="H37" s="87">
        <v>22</v>
      </c>
      <c r="I37" s="88">
        <v>33</v>
      </c>
    </row>
    <row r="38" spans="1:13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244</v>
      </c>
      <c r="I38" s="88">
        <f>+H38*1.5</f>
        <v>366</v>
      </c>
      <c r="J38" s="129" t="s">
        <v>113</v>
      </c>
    </row>
    <row r="39" spans="1:13" x14ac:dyDescent="0.25">
      <c r="B39" s="73">
        <v>11</v>
      </c>
      <c r="C39" s="74">
        <v>4</v>
      </c>
      <c r="D39" s="74">
        <v>18</v>
      </c>
      <c r="E39" s="75">
        <f>+SUM(B39:D39)</f>
        <v>33</v>
      </c>
    </row>
    <row r="40" spans="1:13" x14ac:dyDescent="0.25">
      <c r="E40" s="66" t="s">
        <v>76</v>
      </c>
      <c r="G40" s="144" t="s">
        <v>124</v>
      </c>
      <c r="H40" s="145">
        <v>30</v>
      </c>
    </row>
    <row r="41" spans="1:13" x14ac:dyDescent="0.25">
      <c r="D41" s="162"/>
      <c r="F41" s="71" t="s">
        <v>90</v>
      </c>
      <c r="G41" s="144" t="s">
        <v>120</v>
      </c>
      <c r="H41" s="145">
        <v>12</v>
      </c>
    </row>
    <row r="42" spans="1:13" x14ac:dyDescent="0.25">
      <c r="A42" s="162" t="s">
        <v>70</v>
      </c>
      <c r="B42" s="162">
        <v>0</v>
      </c>
      <c r="C42" s="162">
        <v>2243</v>
      </c>
      <c r="D42" s="68">
        <v>2400</v>
      </c>
      <c r="E42" s="57">
        <f t="shared" ref="E42:E47" si="2">+C42/D42</f>
        <v>0.93458333333333332</v>
      </c>
      <c r="F42" s="71">
        <v>7</v>
      </c>
      <c r="G42" s="144" t="s">
        <v>121</v>
      </c>
      <c r="H42" s="146">
        <v>53</v>
      </c>
    </row>
    <row r="43" spans="1:13" x14ac:dyDescent="0.25">
      <c r="A43" s="162" t="s">
        <v>71</v>
      </c>
      <c r="B43" s="162">
        <v>8.69</v>
      </c>
      <c r="C43" s="162">
        <v>2335</v>
      </c>
      <c r="D43" s="68">
        <v>3600</v>
      </c>
      <c r="E43" s="57">
        <f t="shared" si="2"/>
        <v>0.64861111111111114</v>
      </c>
      <c r="F43" s="71">
        <v>12</v>
      </c>
      <c r="G43" s="71"/>
    </row>
    <row r="44" spans="1:13" x14ac:dyDescent="0.25">
      <c r="A44" s="162" t="s">
        <v>72</v>
      </c>
      <c r="B44" s="162">
        <v>9.75</v>
      </c>
      <c r="C44" s="162">
        <v>3114</v>
      </c>
      <c r="D44" s="68">
        <v>3600</v>
      </c>
      <c r="E44" s="57">
        <f t="shared" si="2"/>
        <v>0.86499999999999999</v>
      </c>
      <c r="F44" s="71">
        <v>12</v>
      </c>
      <c r="G44" s="160" t="s">
        <v>128</v>
      </c>
    </row>
    <row r="45" spans="1:13" x14ac:dyDescent="0.25">
      <c r="A45" s="162" t="s">
        <v>73</v>
      </c>
      <c r="B45" s="162">
        <v>11.01</v>
      </c>
      <c r="C45" s="162">
        <v>3076</v>
      </c>
      <c r="D45" s="68">
        <v>3900</v>
      </c>
      <c r="E45" s="57">
        <f t="shared" si="2"/>
        <v>0.78871794871794876</v>
      </c>
      <c r="F45" s="71">
        <v>10</v>
      </c>
      <c r="G45" s="154">
        <v>45811</v>
      </c>
      <c r="H45" s="155">
        <v>73</v>
      </c>
    </row>
    <row r="46" spans="1:13" x14ac:dyDescent="0.25">
      <c r="A46" s="162" t="s">
        <v>74</v>
      </c>
      <c r="B46" s="162">
        <v>11.46</v>
      </c>
      <c r="C46" s="162">
        <v>2373</v>
      </c>
      <c r="D46" s="68">
        <v>3900</v>
      </c>
      <c r="E46" s="57">
        <f t="shared" si="2"/>
        <v>0.6084615384615385</v>
      </c>
      <c r="F46" s="71">
        <v>12</v>
      </c>
      <c r="G46" s="156">
        <v>45826</v>
      </c>
      <c r="H46" s="157">
        <v>29</v>
      </c>
      <c r="I46" s="520">
        <f>+SUM(H46:H48)</f>
        <v>133</v>
      </c>
    </row>
    <row r="47" spans="1:13" x14ac:dyDescent="0.25">
      <c r="A47" s="162" t="s">
        <v>75</v>
      </c>
      <c r="B47" s="123">
        <v>7.93</v>
      </c>
      <c r="C47" s="124">
        <f>19039/B47</f>
        <v>2400.8827238335434</v>
      </c>
      <c r="D47" s="128">
        <v>4300</v>
      </c>
      <c r="E47" s="126">
        <f t="shared" si="2"/>
        <v>0.55834481949617287</v>
      </c>
      <c r="F47" s="71">
        <v>16</v>
      </c>
      <c r="G47" s="156">
        <v>45826</v>
      </c>
      <c r="H47" s="157">
        <v>72</v>
      </c>
      <c r="I47" s="520"/>
      <c r="J47" s="162">
        <f>+I46*1.5</f>
        <v>199.5</v>
      </c>
    </row>
    <row r="48" spans="1:13" x14ac:dyDescent="0.25">
      <c r="C48" s="71" t="s">
        <v>83</v>
      </c>
      <c r="D48" s="72" t="s">
        <v>79</v>
      </c>
      <c r="G48" s="156">
        <v>45827</v>
      </c>
      <c r="H48" s="157">
        <v>32</v>
      </c>
      <c r="I48" s="520"/>
    </row>
    <row r="49" spans="2:10" x14ac:dyDescent="0.25">
      <c r="B49" s="162" t="s">
        <v>78</v>
      </c>
      <c r="C49" s="71">
        <v>4</v>
      </c>
      <c r="D49" s="72"/>
      <c r="G49" s="144">
        <v>45828</v>
      </c>
      <c r="H49" s="146">
        <v>6</v>
      </c>
      <c r="I49" s="520">
        <f>+SUM(H49:H51)</f>
        <v>38</v>
      </c>
    </row>
    <row r="50" spans="2:10" x14ac:dyDescent="0.25">
      <c r="C50" s="71">
        <v>5</v>
      </c>
      <c r="D50" s="108">
        <v>7</v>
      </c>
      <c r="G50" s="144">
        <v>45829</v>
      </c>
      <c r="H50" s="146">
        <v>12</v>
      </c>
      <c r="I50" s="520"/>
      <c r="J50" s="162">
        <f>+I49*1.5</f>
        <v>57</v>
      </c>
    </row>
    <row r="51" spans="2:10" x14ac:dyDescent="0.25">
      <c r="C51" s="71">
        <v>6</v>
      </c>
      <c r="D51" s="108">
        <v>7</v>
      </c>
      <c r="G51" s="144">
        <v>45830</v>
      </c>
      <c r="H51" s="146">
        <v>20</v>
      </c>
      <c r="I51" s="520"/>
    </row>
    <row r="52" spans="2:10" x14ac:dyDescent="0.25">
      <c r="C52" s="71">
        <v>8</v>
      </c>
      <c r="I52" s="162">
        <f>+I46+I49</f>
        <v>171</v>
      </c>
      <c r="J52" s="162">
        <f>+J50+J47</f>
        <v>256.5</v>
      </c>
    </row>
  </sheetData>
  <protectedRanges>
    <protectedRange password="D554" sqref="H40:H41" name="Rango1_1_2" securityDescriptor="O:WDG:WDD:(A;;CC;;;S-1-5-21-602234756-1814372317-3751740159-65568)(A;;CC;;;S-1-5-21-602234756-1814372317-3751740159-104412)"/>
    <protectedRange password="D554" sqref="K32" name="Rango1_1_2_1" securityDescriptor="O:WDG:WDD:(A;;CC;;;S-1-5-21-602234756-1814372317-3751740159-65568)(A;;CC;;;S-1-5-21-602234756-1814372317-3751740159-104412)"/>
  </protectedRanges>
  <mergeCells count="4">
    <mergeCell ref="B1:D1"/>
    <mergeCell ref="B3:D3"/>
    <mergeCell ref="I46:I48"/>
    <mergeCell ref="I49:I51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A22" workbookViewId="0">
      <selection activeCell="A28" sqref="A28:M53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20.42578125" style="162" customWidth="1"/>
    <col min="6" max="6" width="11.42578125" style="162"/>
    <col min="7" max="7" width="11.85546875" style="162" bestFit="1" customWidth="1"/>
    <col min="8" max="9" width="11.42578125" style="162"/>
    <col min="10" max="10" width="10" style="71" customWidth="1"/>
    <col min="11" max="11" width="6.7109375" style="162" customWidth="1"/>
    <col min="12" max="12" width="6.7109375" style="162" bestFit="1" customWidth="1"/>
    <col min="13" max="13" width="3" style="162" bestFit="1" customWidth="1"/>
    <col min="14" max="16384" width="11.42578125" style="162"/>
  </cols>
  <sheetData>
    <row r="1" spans="1:10" ht="15" customHeight="1" x14ac:dyDescent="0.25">
      <c r="A1" s="161"/>
      <c r="B1" s="518">
        <v>45838</v>
      </c>
      <c r="C1" s="518"/>
      <c r="D1" s="518"/>
      <c r="E1" s="61" t="s">
        <v>101</v>
      </c>
      <c r="F1" s="62" t="s">
        <v>132</v>
      </c>
    </row>
    <row r="2" spans="1:10" x14ac:dyDescent="0.25">
      <c r="E2" s="62">
        <v>204590</v>
      </c>
      <c r="F2" s="62">
        <v>219352</v>
      </c>
    </row>
    <row r="3" spans="1:10" ht="15" customHeight="1" x14ac:dyDescent="0.25">
      <c r="A3" s="16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84"/>
      <c r="C4" s="184"/>
      <c r="D4" s="165">
        <f>D26</f>
        <v>6080.329999999999</v>
      </c>
      <c r="F4" s="58" t="s">
        <v>51</v>
      </c>
      <c r="G4" s="59">
        <v>45831</v>
      </c>
      <c r="H4" s="58">
        <v>7024</v>
      </c>
      <c r="I4" s="141">
        <v>6157.8720000000003</v>
      </c>
      <c r="J4" s="60">
        <f>+I4/H4</f>
        <v>0.87669020501138961</v>
      </c>
    </row>
    <row r="5" spans="1:10" ht="15" customHeight="1" x14ac:dyDescent="0.25">
      <c r="A5" s="164"/>
      <c r="B5" s="168" t="s">
        <v>6</v>
      </c>
      <c r="C5" s="176">
        <v>3075</v>
      </c>
      <c r="D5" s="172">
        <v>131.21</v>
      </c>
      <c r="E5" s="80">
        <f>+D5/$D$4</f>
        <v>2.1579420853802347E-2</v>
      </c>
      <c r="F5" s="58" t="s">
        <v>52</v>
      </c>
      <c r="G5" s="59">
        <v>45832</v>
      </c>
      <c r="H5" s="58">
        <v>8158</v>
      </c>
      <c r="I5" s="141">
        <v>8534.0529999999999</v>
      </c>
      <c r="J5" s="60">
        <f t="shared" ref="J5:J11" si="0">+I5/H5</f>
        <v>1.0460962245648444</v>
      </c>
    </row>
    <row r="6" spans="1:10" ht="15" customHeight="1" x14ac:dyDescent="0.25">
      <c r="A6" s="164"/>
      <c r="B6" s="169" t="s">
        <v>10</v>
      </c>
      <c r="C6" s="177">
        <f>11900+810</f>
        <v>12710</v>
      </c>
      <c r="D6" s="173">
        <f>508.466+34.56</f>
        <v>543.02600000000007</v>
      </c>
      <c r="E6" s="80">
        <f t="shared" ref="E6:E25" si="1">+D6/$D$4</f>
        <v>8.9308639498185155E-2</v>
      </c>
      <c r="F6" s="58" t="s">
        <v>53</v>
      </c>
      <c r="G6" s="59">
        <v>45833</v>
      </c>
      <c r="H6" s="58">
        <v>8013</v>
      </c>
      <c r="I6" s="141">
        <v>6838.03</v>
      </c>
      <c r="J6" s="60">
        <f t="shared" si="0"/>
        <v>0.85336702857855984</v>
      </c>
    </row>
    <row r="7" spans="1:10" ht="15" customHeight="1" x14ac:dyDescent="0.25">
      <c r="A7" s="164"/>
      <c r="B7" s="169" t="s">
        <v>35</v>
      </c>
      <c r="C7" s="177">
        <f>9320+800</f>
        <v>10120</v>
      </c>
      <c r="D7" s="173">
        <f>398.012+34.21</f>
        <v>432.22199999999998</v>
      </c>
      <c r="E7" s="80">
        <f t="shared" si="1"/>
        <v>7.1085286489384628E-2</v>
      </c>
      <c r="F7" s="58" t="s">
        <v>54</v>
      </c>
      <c r="G7" s="59">
        <v>45834</v>
      </c>
      <c r="H7" s="58">
        <v>8289</v>
      </c>
      <c r="I7" s="141">
        <v>7507.68</v>
      </c>
      <c r="J7" s="60">
        <f t="shared" si="0"/>
        <v>0.90574013753166849</v>
      </c>
    </row>
    <row r="8" spans="1:10" ht="15" customHeight="1" x14ac:dyDescent="0.25">
      <c r="A8" s="164"/>
      <c r="B8" s="169" t="s">
        <v>4</v>
      </c>
      <c r="C8" s="177">
        <v>850</v>
      </c>
      <c r="D8" s="173">
        <v>36.21</v>
      </c>
      <c r="E8" s="80">
        <f t="shared" si="1"/>
        <v>5.9552688752090768E-3</v>
      </c>
      <c r="F8" s="58" t="s">
        <v>55</v>
      </c>
      <c r="G8" s="59">
        <v>45835</v>
      </c>
      <c r="H8" s="58">
        <v>7748</v>
      </c>
      <c r="I8" s="141">
        <v>6824.35</v>
      </c>
      <c r="J8" s="60">
        <f t="shared" si="0"/>
        <v>0.88078859060402692</v>
      </c>
    </row>
    <row r="9" spans="1:10" ht="15" customHeight="1" x14ac:dyDescent="0.25">
      <c r="A9" s="164"/>
      <c r="B9" s="169" t="s">
        <v>37</v>
      </c>
      <c r="C9" s="177">
        <v>25757</v>
      </c>
      <c r="D9" s="173">
        <v>1100.598</v>
      </c>
      <c r="E9" s="80">
        <f t="shared" si="1"/>
        <v>0.18100958336142942</v>
      </c>
      <c r="F9" s="58" t="s">
        <v>56</v>
      </c>
      <c r="G9" s="59">
        <v>45836</v>
      </c>
      <c r="H9" s="58">
        <v>5954</v>
      </c>
      <c r="I9" s="141">
        <v>6790.17</v>
      </c>
      <c r="J9" s="60">
        <f t="shared" si="0"/>
        <v>1.1404383607658717</v>
      </c>
    </row>
    <row r="10" spans="1:10" ht="15" customHeight="1" x14ac:dyDescent="0.25">
      <c r="A10" s="164"/>
      <c r="B10" s="169" t="s">
        <v>38</v>
      </c>
      <c r="C10" s="177">
        <v>41426</v>
      </c>
      <c r="D10" s="173">
        <v>1767.5519999999999</v>
      </c>
      <c r="E10" s="80">
        <f t="shared" si="1"/>
        <v>0.29070001134806833</v>
      </c>
      <c r="F10" s="58" t="s">
        <v>57</v>
      </c>
      <c r="G10" s="59">
        <v>45837</v>
      </c>
      <c r="H10" s="58">
        <v>3370</v>
      </c>
      <c r="I10" s="141">
        <v>5016.9879999999994</v>
      </c>
      <c r="J10" s="60">
        <f t="shared" si="0"/>
        <v>1.4887204747774478</v>
      </c>
    </row>
    <row r="11" spans="1:10" ht="15" customHeight="1" x14ac:dyDescent="0.25">
      <c r="A11" s="164"/>
      <c r="B11" s="169" t="s">
        <v>42</v>
      </c>
      <c r="C11" s="177">
        <v>9258</v>
      </c>
      <c r="D11" s="173">
        <v>394.85199999999998</v>
      </c>
      <c r="E11" s="80">
        <f t="shared" si="1"/>
        <v>6.493923849527905E-2</v>
      </c>
      <c r="H11" s="139">
        <f>+SUM(H4:H10)</f>
        <v>48556</v>
      </c>
      <c r="I11" s="142">
        <f>+SUM(I4:I10)</f>
        <v>47669.142999999996</v>
      </c>
      <c r="J11" s="140">
        <f t="shared" si="0"/>
        <v>0.98173537770821317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  <c r="G12" s="112"/>
      <c r="H12" s="113">
        <v>2024</v>
      </c>
      <c r="I12" s="113">
        <v>2025</v>
      </c>
    </row>
    <row r="13" spans="1:10" ht="15" customHeight="1" x14ac:dyDescent="0.25">
      <c r="A13" s="164"/>
      <c r="B13" s="169" t="s">
        <v>47</v>
      </c>
      <c r="C13" s="177"/>
      <c r="D13" s="173"/>
      <c r="E13" s="80">
        <f t="shared" si="1"/>
        <v>0</v>
      </c>
      <c r="G13" s="112" t="s">
        <v>108</v>
      </c>
      <c r="H13" s="119">
        <v>204007.80300000001</v>
      </c>
      <c r="I13" s="119">
        <v>190629.128</v>
      </c>
      <c r="J13" s="57">
        <f t="shared" ref="J13:J19" si="2">+I13/H13</f>
        <v>0.93442076820953746</v>
      </c>
    </row>
    <row r="14" spans="1:10" ht="15" customHeight="1" x14ac:dyDescent="0.25">
      <c r="A14" s="164"/>
      <c r="B14" s="169" t="s">
        <v>34</v>
      </c>
      <c r="C14" s="177"/>
      <c r="D14" s="173"/>
      <c r="E14" s="80">
        <f t="shared" si="1"/>
        <v>0</v>
      </c>
      <c r="F14" s="66"/>
      <c r="G14" s="112" t="s">
        <v>109</v>
      </c>
      <c r="H14" s="119">
        <v>186305.94399999996</v>
      </c>
      <c r="I14" s="119">
        <v>182874.285</v>
      </c>
      <c r="J14" s="57">
        <f t="shared" si="2"/>
        <v>0.9815805179033904</v>
      </c>
    </row>
    <row r="15" spans="1:10" ht="15" customHeight="1" x14ac:dyDescent="0.25">
      <c r="A15" s="164"/>
      <c r="B15" s="169" t="s">
        <v>95</v>
      </c>
      <c r="C15" s="177"/>
      <c r="D15" s="173"/>
      <c r="E15" s="80">
        <f t="shared" si="1"/>
        <v>0</v>
      </c>
      <c r="G15" s="112" t="s">
        <v>110</v>
      </c>
      <c r="H15" s="119">
        <v>199570.19199999989</v>
      </c>
      <c r="I15" s="119">
        <v>197224.22099999999</v>
      </c>
      <c r="J15" s="57">
        <f t="shared" si="2"/>
        <v>0.98824488278289624</v>
      </c>
    </row>
    <row r="16" spans="1:10" ht="15" customHeight="1" x14ac:dyDescent="0.25">
      <c r="A16" s="164"/>
      <c r="B16" s="169" t="s">
        <v>44</v>
      </c>
      <c r="C16" s="177">
        <v>86</v>
      </c>
      <c r="D16" s="173">
        <v>129.99</v>
      </c>
      <c r="E16" s="80">
        <f t="shared" si="1"/>
        <v>2.1378773849445677E-2</v>
      </c>
      <c r="G16" s="112" t="s">
        <v>111</v>
      </c>
      <c r="H16" s="119">
        <v>205343.72800000012</v>
      </c>
      <c r="I16" s="119">
        <v>198970.75799999986</v>
      </c>
      <c r="J16" s="57">
        <f t="shared" si="2"/>
        <v>0.96896437956945902</v>
      </c>
    </row>
    <row r="17" spans="1:11" ht="15" customHeight="1" x14ac:dyDescent="0.25">
      <c r="A17" s="164"/>
      <c r="B17" s="169" t="s">
        <v>39</v>
      </c>
      <c r="C17" s="177">
        <v>266</v>
      </c>
      <c r="D17" s="173">
        <v>402.61</v>
      </c>
      <c r="E17" s="80">
        <f t="shared" si="1"/>
        <v>6.6215156085278282E-2</v>
      </c>
      <c r="G17" s="112" t="s">
        <v>102</v>
      </c>
      <c r="H17" s="119">
        <v>209473.77399999995</v>
      </c>
      <c r="I17" s="119">
        <v>212393.17300000001</v>
      </c>
      <c r="J17" s="57">
        <f t="shared" si="2"/>
        <v>1.0139368234230604</v>
      </c>
    </row>
    <row r="18" spans="1:11" ht="15" customHeight="1" x14ac:dyDescent="0.25">
      <c r="A18" s="164"/>
      <c r="B18" s="169" t="s">
        <v>43</v>
      </c>
      <c r="C18" s="177">
        <v>220</v>
      </c>
      <c r="D18" s="173">
        <v>332.94</v>
      </c>
      <c r="E18" s="80">
        <f t="shared" si="1"/>
        <v>5.4756896418450982E-2</v>
      </c>
      <c r="G18" s="112" t="s">
        <v>125</v>
      </c>
      <c r="H18" s="112">
        <v>196506.86</v>
      </c>
      <c r="I18" s="112">
        <v>204590</v>
      </c>
      <c r="J18" s="57">
        <f t="shared" si="2"/>
        <v>1.0411341364876525</v>
      </c>
    </row>
    <row r="19" spans="1:11" ht="15" customHeight="1" x14ac:dyDescent="0.25">
      <c r="A19" s="164"/>
      <c r="B19" s="169" t="s">
        <v>49</v>
      </c>
      <c r="C19" s="177">
        <v>81</v>
      </c>
      <c r="D19" s="173">
        <v>122.46</v>
      </c>
      <c r="E19" s="80">
        <f t="shared" si="1"/>
        <v>2.0140354224195071E-2</v>
      </c>
      <c r="G19" s="163"/>
      <c r="H19" s="68">
        <f>+SUM(H13:H18)</f>
        <v>1201208.301</v>
      </c>
      <c r="I19" s="68">
        <f>+SUM(I13:I18)</f>
        <v>1186681.5649999997</v>
      </c>
      <c r="J19" s="57">
        <f t="shared" si="2"/>
        <v>0.98790656375925234</v>
      </c>
    </row>
    <row r="20" spans="1:11" ht="15" customHeight="1" x14ac:dyDescent="0.25">
      <c r="A20" s="164"/>
      <c r="B20" s="169" t="s">
        <v>41</v>
      </c>
      <c r="C20" s="177">
        <f>42+21</f>
        <v>63</v>
      </c>
      <c r="D20" s="173">
        <f>63.47+31.74</f>
        <v>95.21</v>
      </c>
      <c r="E20" s="80">
        <f t="shared" si="1"/>
        <v>1.5658689577703843E-2</v>
      </c>
      <c r="J20" s="108">
        <f>+I19-H19</f>
        <v>-14526.736000000266</v>
      </c>
    </row>
    <row r="21" spans="1:11" ht="15" customHeight="1" x14ac:dyDescent="0.25">
      <c r="A21" s="164"/>
      <c r="B21" s="169" t="s">
        <v>48</v>
      </c>
      <c r="C21" s="177"/>
      <c r="D21" s="173"/>
      <c r="E21" s="80">
        <f t="shared" si="1"/>
        <v>0</v>
      </c>
    </row>
    <row r="22" spans="1:11" ht="15" customHeight="1" x14ac:dyDescent="0.25">
      <c r="A22" s="164"/>
      <c r="B22" s="169" t="s">
        <v>85</v>
      </c>
      <c r="C22" s="177">
        <v>47</v>
      </c>
      <c r="D22" s="173">
        <v>71.13</v>
      </c>
      <c r="E22" s="80">
        <f t="shared" si="1"/>
        <v>1.1698378213024623E-2</v>
      </c>
    </row>
    <row r="23" spans="1:11" ht="12.75" customHeight="1" x14ac:dyDescent="0.25">
      <c r="A23" s="164"/>
      <c r="B23" s="169" t="s">
        <v>40</v>
      </c>
      <c r="C23" s="177"/>
      <c r="D23" s="173">
        <v>399.41</v>
      </c>
      <c r="E23" s="80">
        <f t="shared" si="1"/>
        <v>6.5688868860736188E-2</v>
      </c>
      <c r="I23" s="162" t="s">
        <v>130</v>
      </c>
      <c r="J23" s="71">
        <v>3304</v>
      </c>
    </row>
    <row r="24" spans="1:11" ht="15" customHeight="1" x14ac:dyDescent="0.25">
      <c r="A24" s="164"/>
      <c r="B24" s="169" t="s">
        <v>9</v>
      </c>
      <c r="C24" s="177"/>
      <c r="D24" s="173">
        <v>92.2</v>
      </c>
      <c r="E24" s="80">
        <f t="shared" si="1"/>
        <v>1.5163650657118942E-2</v>
      </c>
      <c r="I24" s="162" t="s">
        <v>129</v>
      </c>
      <c r="J24" s="71">
        <v>349</v>
      </c>
    </row>
    <row r="25" spans="1:11" ht="15" customHeight="1" thickBot="1" x14ac:dyDescent="0.3">
      <c r="A25" s="164"/>
      <c r="B25" s="10" t="s">
        <v>46</v>
      </c>
      <c r="C25" s="54"/>
      <c r="D25" s="55">
        <v>28.71</v>
      </c>
      <c r="E25" s="80">
        <f t="shared" si="1"/>
        <v>4.7217831926885554E-3</v>
      </c>
      <c r="I25" s="162" t="s">
        <v>131</v>
      </c>
      <c r="J25" s="186">
        <v>495</v>
      </c>
    </row>
    <row r="26" spans="1:11" ht="15" customHeight="1" thickBot="1" x14ac:dyDescent="0.3">
      <c r="B26" s="178" t="s">
        <v>0</v>
      </c>
      <c r="C26" s="170"/>
      <c r="D26" s="171">
        <f>SUM(D5:D25)</f>
        <v>6080.329999999999</v>
      </c>
      <c r="E26" s="179"/>
      <c r="J26" s="71">
        <f>+SUM(J23:J25)</f>
        <v>4148</v>
      </c>
    </row>
    <row r="27" spans="1:11" ht="15" customHeight="1" x14ac:dyDescent="0.25">
      <c r="B27" s="166" t="s">
        <v>1</v>
      </c>
      <c r="C27" s="167"/>
      <c r="D27" s="174">
        <v>204828.33900000001</v>
      </c>
      <c r="E27" s="98">
        <f>+D27/E2</f>
        <v>1.001164959186666</v>
      </c>
      <c r="F27" s="163"/>
    </row>
    <row r="28" spans="1:11" x14ac:dyDescent="0.25">
      <c r="D28" s="108">
        <f>+(E2/30)*30</f>
        <v>204590</v>
      </c>
      <c r="E28" s="98">
        <f>+D28/E2</f>
        <v>1</v>
      </c>
    </row>
    <row r="29" spans="1:11" ht="15" customHeight="1" x14ac:dyDescent="0.25">
      <c r="D29" s="183">
        <f>+D27-D28</f>
        <v>238.33900000000722</v>
      </c>
      <c r="E29" s="99">
        <f>+E27-E28</f>
        <v>1.1649591866660369E-3</v>
      </c>
    </row>
    <row r="30" spans="1:11" x14ac:dyDescent="0.25">
      <c r="G30" s="163"/>
    </row>
    <row r="31" spans="1:11" x14ac:dyDescent="0.25">
      <c r="B31" s="66" t="s">
        <v>60</v>
      </c>
      <c r="D31" s="109" t="s">
        <v>105</v>
      </c>
      <c r="E31" s="109" t="s">
        <v>80</v>
      </c>
      <c r="G31" s="163"/>
      <c r="I31" s="162" t="s">
        <v>92</v>
      </c>
    </row>
    <row r="32" spans="1:11" ht="15" customHeight="1" x14ac:dyDescent="0.25">
      <c r="B32" s="162" t="s">
        <v>61</v>
      </c>
      <c r="D32" s="108">
        <v>2142</v>
      </c>
      <c r="E32" s="57">
        <f>+C32/D32</f>
        <v>0</v>
      </c>
      <c r="G32" s="86" t="s">
        <v>86</v>
      </c>
      <c r="H32" s="87">
        <v>7596</v>
      </c>
      <c r="I32" s="88">
        <v>189.9</v>
      </c>
      <c r="J32" s="144">
        <v>45832</v>
      </c>
      <c r="K32" s="145">
        <v>2905</v>
      </c>
    </row>
    <row r="33" spans="1:13" ht="15" customHeight="1" x14ac:dyDescent="0.25">
      <c r="B33" s="162" t="s">
        <v>62</v>
      </c>
      <c r="C33" s="162">
        <v>1717</v>
      </c>
      <c r="D33" s="108">
        <v>1890</v>
      </c>
      <c r="E33" s="57">
        <f>+C33/D33</f>
        <v>0.90846560846560842</v>
      </c>
      <c r="G33" s="86" t="s">
        <v>104</v>
      </c>
      <c r="H33" s="87">
        <v>6</v>
      </c>
      <c r="I33" s="88">
        <v>0.35000000000000003</v>
      </c>
    </row>
    <row r="34" spans="1:13" x14ac:dyDescent="0.25">
      <c r="B34" s="162" t="s">
        <v>63</v>
      </c>
      <c r="C34" s="67"/>
      <c r="D34" s="108">
        <v>3006</v>
      </c>
      <c r="E34" s="57">
        <f>+C34/D34</f>
        <v>0</v>
      </c>
      <c r="G34" s="89" t="s">
        <v>87</v>
      </c>
      <c r="H34" s="87">
        <v>174</v>
      </c>
      <c r="I34" s="88">
        <v>261</v>
      </c>
      <c r="J34" s="144">
        <v>45831</v>
      </c>
      <c r="K34" s="146">
        <v>50</v>
      </c>
      <c r="L34" s="144">
        <v>45834</v>
      </c>
      <c r="M34" s="146">
        <v>48</v>
      </c>
    </row>
    <row r="35" spans="1:13" x14ac:dyDescent="0.25">
      <c r="C35" s="162">
        <f>+SUM(C32:C34)</f>
        <v>1717</v>
      </c>
      <c r="D35" s="110">
        <f>+SUM(D32:D34)</f>
        <v>7038</v>
      </c>
      <c r="E35" s="57">
        <f>+C35/D35</f>
        <v>0.24396135265700483</v>
      </c>
      <c r="G35" s="89" t="s">
        <v>91</v>
      </c>
      <c r="H35" s="87">
        <v>225</v>
      </c>
      <c r="I35" s="88">
        <v>337.5</v>
      </c>
    </row>
    <row r="36" spans="1:13" x14ac:dyDescent="0.25">
      <c r="G36" s="89" t="s">
        <v>123</v>
      </c>
      <c r="H36" s="87">
        <v>97</v>
      </c>
      <c r="I36" s="88">
        <v>145.5</v>
      </c>
    </row>
    <row r="37" spans="1:13" x14ac:dyDescent="0.25">
      <c r="B37" s="162" t="s">
        <v>66</v>
      </c>
      <c r="D37" s="162"/>
      <c r="G37" s="89" t="s">
        <v>96</v>
      </c>
      <c r="H37" s="87">
        <v>22</v>
      </c>
      <c r="I37" s="88">
        <v>33</v>
      </c>
    </row>
    <row r="38" spans="1:13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244</v>
      </c>
      <c r="I38" s="88">
        <f>+H38*1.5</f>
        <v>366</v>
      </c>
      <c r="J38" s="187" t="s">
        <v>113</v>
      </c>
    </row>
    <row r="39" spans="1:13" x14ac:dyDescent="0.25">
      <c r="B39" s="73">
        <v>15</v>
      </c>
      <c r="C39" s="74">
        <v>0</v>
      </c>
      <c r="D39" s="74">
        <v>8</v>
      </c>
      <c r="E39" s="75">
        <f>+SUM(B39:D39)</f>
        <v>23</v>
      </c>
    </row>
    <row r="40" spans="1:13" x14ac:dyDescent="0.25">
      <c r="E40" s="66" t="s">
        <v>76</v>
      </c>
      <c r="G40" s="144" t="s">
        <v>124</v>
      </c>
      <c r="H40" s="145">
        <v>30</v>
      </c>
    </row>
    <row r="41" spans="1:13" x14ac:dyDescent="0.25">
      <c r="D41" s="162"/>
      <c r="F41" s="71" t="s">
        <v>90</v>
      </c>
      <c r="G41" s="144" t="s">
        <v>120</v>
      </c>
      <c r="H41" s="145">
        <v>12</v>
      </c>
    </row>
    <row r="42" spans="1:13" x14ac:dyDescent="0.25">
      <c r="A42" s="162" t="s">
        <v>70</v>
      </c>
      <c r="B42" s="162">
        <v>0</v>
      </c>
      <c r="C42" s="162">
        <v>2243</v>
      </c>
      <c r="D42" s="68">
        <v>2400</v>
      </c>
      <c r="E42" s="57">
        <f t="shared" ref="E42:E47" si="3">+C42/D42</f>
        <v>0.93458333333333332</v>
      </c>
      <c r="F42" s="71">
        <v>7</v>
      </c>
      <c r="G42" s="144" t="s">
        <v>121</v>
      </c>
      <c r="H42" s="146">
        <v>53</v>
      </c>
    </row>
    <row r="43" spans="1:13" x14ac:dyDescent="0.25">
      <c r="A43" s="162" t="s">
        <v>71</v>
      </c>
      <c r="B43" s="162">
        <v>6.19</v>
      </c>
      <c r="C43" s="162">
        <v>2124</v>
      </c>
      <c r="D43" s="68">
        <v>3600</v>
      </c>
      <c r="E43" s="57">
        <f t="shared" si="3"/>
        <v>0.59</v>
      </c>
      <c r="F43" s="71">
        <v>12</v>
      </c>
      <c r="G43" s="71"/>
    </row>
    <row r="44" spans="1:13" x14ac:dyDescent="0.25">
      <c r="A44" s="162" t="s">
        <v>72</v>
      </c>
      <c r="B44" s="162">
        <v>8.52</v>
      </c>
      <c r="C44" s="162">
        <v>2893</v>
      </c>
      <c r="D44" s="68">
        <v>3600</v>
      </c>
      <c r="E44" s="57">
        <f t="shared" si="3"/>
        <v>0.80361111111111116</v>
      </c>
      <c r="F44" s="71">
        <v>12</v>
      </c>
      <c r="G44" s="160" t="s">
        <v>128</v>
      </c>
    </row>
    <row r="45" spans="1:13" x14ac:dyDescent="0.25">
      <c r="A45" s="162" t="s">
        <v>73</v>
      </c>
      <c r="B45" s="162">
        <v>8.76</v>
      </c>
      <c r="C45" s="162">
        <v>2610</v>
      </c>
      <c r="D45" s="68">
        <v>3900</v>
      </c>
      <c r="E45" s="57">
        <f t="shared" si="3"/>
        <v>0.66923076923076918</v>
      </c>
      <c r="F45" s="71">
        <v>10</v>
      </c>
      <c r="G45" s="154">
        <v>45811</v>
      </c>
      <c r="H45" s="155">
        <v>73</v>
      </c>
    </row>
    <row r="46" spans="1:13" x14ac:dyDescent="0.25">
      <c r="A46" s="162" t="s">
        <v>74</v>
      </c>
      <c r="B46" s="162">
        <v>4.82</v>
      </c>
      <c r="C46" s="162">
        <v>2256</v>
      </c>
      <c r="D46" s="68">
        <v>3900</v>
      </c>
      <c r="E46" s="57">
        <f t="shared" si="3"/>
        <v>0.57846153846153847</v>
      </c>
      <c r="F46" s="71">
        <v>12</v>
      </c>
      <c r="G46" s="156">
        <v>45826</v>
      </c>
      <c r="H46" s="157">
        <v>29</v>
      </c>
      <c r="I46" s="520">
        <f>+SUM(H46:H48)</f>
        <v>133</v>
      </c>
    </row>
    <row r="47" spans="1:13" x14ac:dyDescent="0.25">
      <c r="A47" s="162" t="s">
        <v>75</v>
      </c>
      <c r="B47" s="123">
        <v>11</v>
      </c>
      <c r="C47" s="124">
        <f>31989/B47</f>
        <v>2908.090909090909</v>
      </c>
      <c r="D47" s="128">
        <v>4300</v>
      </c>
      <c r="E47" s="126">
        <f t="shared" si="3"/>
        <v>0.67630021141649044</v>
      </c>
      <c r="F47" s="71">
        <v>16</v>
      </c>
      <c r="G47" s="156">
        <v>45826</v>
      </c>
      <c r="H47" s="157">
        <v>72</v>
      </c>
      <c r="I47" s="520"/>
      <c r="J47" s="71">
        <f>+I46*1.5</f>
        <v>199.5</v>
      </c>
    </row>
    <row r="48" spans="1:13" x14ac:dyDescent="0.25">
      <c r="C48" s="71" t="s">
        <v>83</v>
      </c>
      <c r="D48" s="72" t="s">
        <v>79</v>
      </c>
      <c r="G48" s="156">
        <v>45827</v>
      </c>
      <c r="H48" s="157">
        <v>32</v>
      </c>
      <c r="I48" s="520"/>
    </row>
    <row r="49" spans="2:10" x14ac:dyDescent="0.25">
      <c r="B49" s="162" t="s">
        <v>78</v>
      </c>
      <c r="C49" s="71">
        <v>4</v>
      </c>
      <c r="D49" s="72"/>
      <c r="G49" s="144">
        <v>45828</v>
      </c>
      <c r="H49" s="146">
        <v>6</v>
      </c>
      <c r="I49" s="520">
        <f>+SUM(H49:H51)</f>
        <v>38</v>
      </c>
    </row>
    <row r="50" spans="2:10" x14ac:dyDescent="0.25">
      <c r="C50" s="71">
        <v>5</v>
      </c>
      <c r="D50" s="108">
        <v>4</v>
      </c>
      <c r="G50" s="144">
        <v>45829</v>
      </c>
      <c r="H50" s="146">
        <v>12</v>
      </c>
      <c r="I50" s="520"/>
      <c r="J50" s="71">
        <f>+I49*1.5</f>
        <v>57</v>
      </c>
    </row>
    <row r="51" spans="2:10" x14ac:dyDescent="0.25">
      <c r="C51" s="71">
        <v>6</v>
      </c>
      <c r="D51" s="108">
        <v>4</v>
      </c>
      <c r="G51" s="144">
        <v>45830</v>
      </c>
      <c r="H51" s="146">
        <v>20</v>
      </c>
      <c r="I51" s="520"/>
    </row>
    <row r="52" spans="2:10" x14ac:dyDescent="0.25">
      <c r="C52" s="71">
        <v>8</v>
      </c>
      <c r="I52" s="162">
        <f>+I46+I49</f>
        <v>171</v>
      </c>
      <c r="J52" s="71">
        <f>+J50+J47</f>
        <v>256.5</v>
      </c>
    </row>
  </sheetData>
  <protectedRanges>
    <protectedRange password="D554" sqref="H40:H41" name="Rango1_1_2" securityDescriptor="O:WDG:WDD:(A;;CC;;;S-1-5-21-602234756-1814372317-3751740159-65568)(A;;CC;;;S-1-5-21-602234756-1814372317-3751740159-104412)"/>
    <protectedRange password="D554" sqref="K32" name="Rango1_1_2_1" securityDescriptor="O:WDG:WDD:(A;;CC;;;S-1-5-21-602234756-1814372317-3751740159-65568)(A;;CC;;;S-1-5-21-602234756-1814372317-3751740159-104412)"/>
  </protectedRanges>
  <mergeCells count="4">
    <mergeCell ref="B1:D1"/>
    <mergeCell ref="B3:D3"/>
    <mergeCell ref="I46:I48"/>
    <mergeCell ref="I49:I51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A28" sqref="A28:J6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20.42578125" style="162" customWidth="1"/>
    <col min="6" max="6" width="11.42578125" style="162"/>
    <col min="7" max="7" width="11.85546875" style="162" bestFit="1" customWidth="1"/>
    <col min="8" max="16384" width="11.42578125" style="162"/>
  </cols>
  <sheetData>
    <row r="1" spans="1:10" ht="15" customHeight="1" x14ac:dyDescent="0.25">
      <c r="A1" s="161"/>
      <c r="B1" s="518">
        <v>45839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85"/>
      <c r="C4" s="185"/>
      <c r="D4" s="165">
        <f>D26</f>
        <v>7807.4789999999994</v>
      </c>
      <c r="F4" s="58" t="s">
        <v>51</v>
      </c>
      <c r="G4" s="59">
        <v>45838</v>
      </c>
      <c r="H4" s="58">
        <v>6219</v>
      </c>
      <c r="I4" s="141">
        <v>7807.4789999999994</v>
      </c>
      <c r="J4" s="60">
        <f>+I4/H4</f>
        <v>1.2554235407621803</v>
      </c>
    </row>
    <row r="5" spans="1:10" ht="15" customHeight="1" x14ac:dyDescent="0.25">
      <c r="A5" s="164"/>
      <c r="B5" s="168" t="s">
        <v>6</v>
      </c>
      <c r="C5" s="176">
        <v>780</v>
      </c>
      <c r="D5" s="172">
        <v>33.31</v>
      </c>
      <c r="E5" s="80">
        <f>+D5/$D$4</f>
        <v>4.2664219782083315E-3</v>
      </c>
      <c r="F5" s="58" t="s">
        <v>52</v>
      </c>
      <c r="G5" s="59">
        <v>45839</v>
      </c>
      <c r="H5" s="58">
        <v>8082</v>
      </c>
      <c r="I5" s="141"/>
      <c r="J5" s="60">
        <f t="shared" ref="J5:J11" si="0">+I5/H5</f>
        <v>0</v>
      </c>
    </row>
    <row r="6" spans="1:10" ht="15" customHeight="1" x14ac:dyDescent="0.25">
      <c r="A6" s="164"/>
      <c r="B6" s="169" t="s">
        <v>10</v>
      </c>
      <c r="C6" s="177">
        <v>14545</v>
      </c>
      <c r="D6" s="173">
        <v>620.80600000000004</v>
      </c>
      <c r="E6" s="80">
        <f t="shared" ref="E6:E25" si="1">+D6/$D$4</f>
        <v>7.9514270867715439E-2</v>
      </c>
      <c r="F6" s="58" t="s">
        <v>53</v>
      </c>
      <c r="G6" s="59">
        <v>45840</v>
      </c>
      <c r="H6" s="58">
        <v>7408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16817</v>
      </c>
      <c r="D7" s="173">
        <v>718.42200000000003</v>
      </c>
      <c r="E7" s="80">
        <f t="shared" si="1"/>
        <v>9.2017154320876191E-2</v>
      </c>
      <c r="F7" s="58" t="s">
        <v>54</v>
      </c>
      <c r="G7" s="59">
        <v>45841</v>
      </c>
      <c r="H7" s="58">
        <v>7964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5545</v>
      </c>
      <c r="D8" s="173">
        <v>236.24</v>
      </c>
      <c r="E8" s="80">
        <f t="shared" si="1"/>
        <v>3.025816656055047E-2</v>
      </c>
      <c r="F8" s="58" t="s">
        <v>55</v>
      </c>
      <c r="G8" s="59">
        <v>45842</v>
      </c>
      <c r="H8" s="58">
        <v>7126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41332</v>
      </c>
      <c r="D9" s="173">
        <v>1765.1669999999999</v>
      </c>
      <c r="E9" s="80">
        <f t="shared" si="1"/>
        <v>0.22608667919567893</v>
      </c>
      <c r="F9" s="58" t="s">
        <v>56</v>
      </c>
      <c r="G9" s="59">
        <v>45843</v>
      </c>
      <c r="H9" s="58">
        <v>6314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43522</v>
      </c>
      <c r="D10" s="173">
        <v>1857.3</v>
      </c>
      <c r="E10" s="80">
        <f t="shared" si="1"/>
        <v>0.23788728730490344</v>
      </c>
      <c r="F10" s="58" t="s">
        <v>57</v>
      </c>
      <c r="G10" s="59">
        <v>45844</v>
      </c>
      <c r="H10" s="58">
        <v>4537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15130</v>
      </c>
      <c r="D11" s="173">
        <v>646.25400000000002</v>
      </c>
      <c r="E11" s="80">
        <f t="shared" si="1"/>
        <v>8.2773709669920356E-2</v>
      </c>
      <c r="H11" s="139">
        <f>+SUM(H4:H10)</f>
        <v>47650</v>
      </c>
      <c r="I11" s="142">
        <f>+SUM(I4:I10)</f>
        <v>7807.4789999999994</v>
      </c>
      <c r="J11" s="140">
        <f t="shared" si="0"/>
        <v>0.16385055613850996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  <c r="G12" s="112"/>
      <c r="H12" s="113">
        <v>2024</v>
      </c>
      <c r="I12" s="113">
        <v>2025</v>
      </c>
      <c r="J12" s="71"/>
    </row>
    <row r="13" spans="1:10" ht="15" customHeight="1" x14ac:dyDescent="0.25">
      <c r="A13" s="164"/>
      <c r="B13" s="169" t="s">
        <v>47</v>
      </c>
      <c r="C13" s="177"/>
      <c r="D13" s="173"/>
      <c r="E13" s="80">
        <f t="shared" si="1"/>
        <v>0</v>
      </c>
      <c r="G13" s="112" t="s">
        <v>108</v>
      </c>
      <c r="H13" s="190">
        <v>204007.80300000001</v>
      </c>
      <c r="I13" s="190">
        <v>190629.128</v>
      </c>
      <c r="J13" s="57">
        <f t="shared" ref="J13:J18" si="2">+I13/H13</f>
        <v>0.93442076820953746</v>
      </c>
    </row>
    <row r="14" spans="1:10" ht="15" customHeight="1" x14ac:dyDescent="0.25">
      <c r="A14" s="164"/>
      <c r="B14" s="169" t="s">
        <v>34</v>
      </c>
      <c r="C14" s="177"/>
      <c r="D14" s="173"/>
      <c r="E14" s="80">
        <f t="shared" si="1"/>
        <v>0</v>
      </c>
      <c r="F14" s="66"/>
      <c r="G14" s="112" t="s">
        <v>109</v>
      </c>
      <c r="H14" s="190">
        <v>186305.94399999996</v>
      </c>
      <c r="I14" s="190">
        <v>182874.285</v>
      </c>
      <c r="J14" s="57">
        <f t="shared" si="2"/>
        <v>0.9815805179033904</v>
      </c>
    </row>
    <row r="15" spans="1:10" ht="15" customHeight="1" x14ac:dyDescent="0.25">
      <c r="A15" s="164"/>
      <c r="B15" s="169" t="s">
        <v>95</v>
      </c>
      <c r="C15" s="177"/>
      <c r="D15" s="173"/>
      <c r="E15" s="80">
        <f t="shared" si="1"/>
        <v>0</v>
      </c>
      <c r="G15" s="112" t="s">
        <v>110</v>
      </c>
      <c r="H15" s="190">
        <v>199570.19199999989</v>
      </c>
      <c r="I15" s="190">
        <v>197224.22099999999</v>
      </c>
      <c r="J15" s="57">
        <f t="shared" si="2"/>
        <v>0.98824488278289624</v>
      </c>
    </row>
    <row r="16" spans="1:10" ht="15" customHeight="1" x14ac:dyDescent="0.25">
      <c r="A16" s="164"/>
      <c r="B16" s="169" t="s">
        <v>44</v>
      </c>
      <c r="C16" s="177">
        <v>43</v>
      </c>
      <c r="D16" s="173">
        <v>65.12</v>
      </c>
      <c r="E16" s="80">
        <f t="shared" si="1"/>
        <v>8.3407204809644708E-3</v>
      </c>
      <c r="G16" s="112" t="s">
        <v>111</v>
      </c>
      <c r="H16" s="190">
        <v>205343.72800000012</v>
      </c>
      <c r="I16" s="190">
        <v>198970.75799999986</v>
      </c>
      <c r="J16" s="57">
        <f t="shared" si="2"/>
        <v>0.96896437956945902</v>
      </c>
    </row>
    <row r="17" spans="1:10" ht="15" customHeight="1" x14ac:dyDescent="0.25">
      <c r="A17" s="164"/>
      <c r="B17" s="169" t="s">
        <v>39</v>
      </c>
      <c r="C17" s="177">
        <f>325+21</f>
        <v>346</v>
      </c>
      <c r="D17" s="173">
        <f>491.85+31.67</f>
        <v>523.52</v>
      </c>
      <c r="E17" s="80">
        <f t="shared" si="1"/>
        <v>6.7053654579154173E-2</v>
      </c>
      <c r="G17" s="112" t="s">
        <v>102</v>
      </c>
      <c r="H17" s="190">
        <v>209473.77399999995</v>
      </c>
      <c r="I17" s="190">
        <v>212393.17300000001</v>
      </c>
      <c r="J17" s="57">
        <f t="shared" si="2"/>
        <v>1.0139368234230604</v>
      </c>
    </row>
    <row r="18" spans="1:10" ht="15" customHeight="1" x14ac:dyDescent="0.25">
      <c r="A18" s="164"/>
      <c r="B18" s="169" t="s">
        <v>43</v>
      </c>
      <c r="C18" s="177">
        <v>111</v>
      </c>
      <c r="D18" s="173">
        <v>167.88</v>
      </c>
      <c r="E18" s="80">
        <f t="shared" si="1"/>
        <v>2.1502459372609264E-2</v>
      </c>
      <c r="G18" s="112" t="s">
        <v>125</v>
      </c>
      <c r="H18" s="190">
        <v>196506.86</v>
      </c>
      <c r="I18" s="190">
        <v>204590</v>
      </c>
      <c r="J18" s="57">
        <f t="shared" si="2"/>
        <v>1.0411341364876525</v>
      </c>
    </row>
    <row r="19" spans="1:10" ht="15" customHeight="1" x14ac:dyDescent="0.25">
      <c r="A19" s="164"/>
      <c r="B19" s="169" t="s">
        <v>49</v>
      </c>
      <c r="C19" s="177">
        <v>41</v>
      </c>
      <c r="D19" s="173">
        <v>61.96</v>
      </c>
      <c r="E19" s="80">
        <f t="shared" si="1"/>
        <v>7.9359803593451878E-3</v>
      </c>
      <c r="G19" s="112" t="s">
        <v>132</v>
      </c>
      <c r="H19" s="190">
        <v>219516.23899999997</v>
      </c>
      <c r="I19" s="190"/>
      <c r="J19" s="57">
        <f>+I21/H21</f>
        <v>0.98790656375925234</v>
      </c>
    </row>
    <row r="20" spans="1:10" ht="15" customHeight="1" x14ac:dyDescent="0.25">
      <c r="A20" s="164"/>
      <c r="B20" s="169" t="s">
        <v>41</v>
      </c>
      <c r="C20" s="177">
        <v>229</v>
      </c>
      <c r="D20" s="173">
        <v>345.91</v>
      </c>
      <c r="E20" s="80">
        <f t="shared" si="1"/>
        <v>4.4304954262445032E-2</v>
      </c>
      <c r="G20" s="112" t="s">
        <v>135</v>
      </c>
      <c r="H20" s="190">
        <v>232937.965</v>
      </c>
      <c r="I20" s="190"/>
    </row>
    <row r="21" spans="1:10" ht="15" customHeight="1" x14ac:dyDescent="0.25">
      <c r="A21" s="164"/>
      <c r="B21" s="169" t="s">
        <v>84</v>
      </c>
      <c r="C21" s="177">
        <v>44</v>
      </c>
      <c r="D21" s="173">
        <v>66.599999999999994</v>
      </c>
      <c r="E21" s="80">
        <f t="shared" si="1"/>
        <v>8.530282310077299E-3</v>
      </c>
      <c r="H21" s="68">
        <f>+SUM(H13:H18)</f>
        <v>1201208.301</v>
      </c>
      <c r="I21" s="68">
        <f>+SUM(I13:I18)</f>
        <v>1186681.5649999997</v>
      </c>
      <c r="J21" s="108">
        <f>+I21-H21</f>
        <v>-14526.736000000266</v>
      </c>
    </row>
    <row r="22" spans="1:10" ht="15" customHeight="1" x14ac:dyDescent="0.25">
      <c r="A22" s="164"/>
      <c r="B22" s="169" t="s">
        <v>85</v>
      </c>
      <c r="C22" s="177"/>
      <c r="D22" s="173"/>
      <c r="E22" s="80">
        <f t="shared" si="1"/>
        <v>0</v>
      </c>
      <c r="J22" s="71"/>
    </row>
    <row r="23" spans="1:10" ht="12.75" customHeight="1" x14ac:dyDescent="0.25">
      <c r="A23" s="164"/>
      <c r="B23" s="169" t="s">
        <v>40</v>
      </c>
      <c r="C23" s="177"/>
      <c r="D23" s="173">
        <v>457.91</v>
      </c>
      <c r="E23" s="80">
        <f t="shared" si="1"/>
        <v>5.8650173762875325E-2</v>
      </c>
      <c r="I23" s="162" t="s">
        <v>130</v>
      </c>
      <c r="J23" s="71">
        <v>3577</v>
      </c>
    </row>
    <row r="24" spans="1:10" ht="15" customHeight="1" x14ac:dyDescent="0.25">
      <c r="A24" s="164"/>
      <c r="B24" s="169" t="s">
        <v>9</v>
      </c>
      <c r="C24" s="177"/>
      <c r="D24" s="173">
        <v>213.05</v>
      </c>
      <c r="E24" s="80">
        <f t="shared" si="1"/>
        <v>2.7287937630059593E-2</v>
      </c>
      <c r="I24" s="162" t="s">
        <v>129</v>
      </c>
      <c r="J24" s="71">
        <v>442</v>
      </c>
    </row>
    <row r="25" spans="1:10" ht="15" customHeight="1" thickBot="1" x14ac:dyDescent="0.3">
      <c r="A25" s="164"/>
      <c r="B25" s="10" t="s">
        <v>46</v>
      </c>
      <c r="C25" s="54"/>
      <c r="D25" s="55">
        <v>28.03</v>
      </c>
      <c r="E25" s="80">
        <f t="shared" si="1"/>
        <v>3.5901473446166175E-3</v>
      </c>
      <c r="I25" s="162" t="s">
        <v>131</v>
      </c>
      <c r="J25" s="186">
        <v>427</v>
      </c>
    </row>
    <row r="26" spans="1:10" ht="15" customHeight="1" thickBot="1" x14ac:dyDescent="0.3">
      <c r="B26" s="178" t="s">
        <v>0</v>
      </c>
      <c r="C26" s="170"/>
      <c r="D26" s="171">
        <f>SUM(D5:D25)</f>
        <v>7807.4789999999994</v>
      </c>
      <c r="E26" s="179"/>
      <c r="J26" s="71">
        <f>+SUM(J23:J25)</f>
        <v>4446</v>
      </c>
    </row>
    <row r="27" spans="1:10" ht="15" customHeight="1" x14ac:dyDescent="0.25">
      <c r="B27" s="166" t="s">
        <v>1</v>
      </c>
      <c r="C27" s="167"/>
      <c r="D27" s="174">
        <v>7807.4790000000003</v>
      </c>
      <c r="E27" s="98">
        <f>+D27/E2</f>
        <v>3.5593379590794706E-2</v>
      </c>
      <c r="F27" s="163"/>
      <c r="J27" s="71"/>
    </row>
    <row r="28" spans="1:10" ht="15" customHeight="1" x14ac:dyDescent="0.25">
      <c r="D28" s="108">
        <f>+(E2/31)*1</f>
        <v>7075.8709677419356</v>
      </c>
      <c r="E28" s="98">
        <f>+D28/E2</f>
        <v>3.2258064516129031E-2</v>
      </c>
      <c r="J28" s="71"/>
    </row>
    <row r="29" spans="1:10" ht="15" customHeight="1" x14ac:dyDescent="0.25">
      <c r="D29" s="183">
        <f>+D27-D28</f>
        <v>731.60803225806467</v>
      </c>
      <c r="E29" s="99">
        <f>+E27-E28</f>
        <v>3.3353150746656748E-3</v>
      </c>
      <c r="J29" s="71"/>
    </row>
    <row r="30" spans="1:10" x14ac:dyDescent="0.25">
      <c r="G30" s="163"/>
      <c r="J30" s="71"/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I31" s="162" t="s">
        <v>92</v>
      </c>
      <c r="J31" s="71"/>
    </row>
    <row r="32" spans="1:10" x14ac:dyDescent="0.25">
      <c r="B32" s="162" t="s">
        <v>61</v>
      </c>
      <c r="C32" s="162">
        <v>247</v>
      </c>
      <c r="D32" s="108">
        <v>2142</v>
      </c>
      <c r="E32" s="57">
        <f>+C32/D32</f>
        <v>0.11531279178338003</v>
      </c>
      <c r="G32" s="86" t="s">
        <v>86</v>
      </c>
      <c r="H32" s="87">
        <v>6797</v>
      </c>
      <c r="I32" s="88">
        <v>169.92500000000001</v>
      </c>
      <c r="J32" s="71"/>
    </row>
    <row r="33" spans="1:10" ht="15" customHeight="1" x14ac:dyDescent="0.25">
      <c r="B33" s="162" t="s">
        <v>62</v>
      </c>
      <c r="C33" s="162">
        <v>1366</v>
      </c>
      <c r="D33" s="108">
        <v>1890</v>
      </c>
      <c r="E33" s="57">
        <f>+C33/D33</f>
        <v>0.7227513227513227</v>
      </c>
      <c r="G33" s="86" t="s">
        <v>104</v>
      </c>
      <c r="H33" s="87">
        <v>13</v>
      </c>
      <c r="I33" s="88">
        <v>0.32500000000000001</v>
      </c>
      <c r="J33" s="71"/>
    </row>
    <row r="34" spans="1:10" x14ac:dyDescent="0.25">
      <c r="B34" s="162" t="s">
        <v>63</v>
      </c>
      <c r="C34" s="67">
        <v>511</v>
      </c>
      <c r="D34" s="108">
        <v>3006</v>
      </c>
      <c r="E34" s="57">
        <f>+C34/D34</f>
        <v>0.16999334664005322</v>
      </c>
      <c r="G34" s="89" t="s">
        <v>87</v>
      </c>
      <c r="H34" s="87">
        <v>154</v>
      </c>
      <c r="I34" s="88">
        <v>231</v>
      </c>
      <c r="J34" s="71"/>
    </row>
    <row r="35" spans="1:10" x14ac:dyDescent="0.25">
      <c r="C35" s="162">
        <f>+SUM(C32:C34)</f>
        <v>2124</v>
      </c>
      <c r="D35" s="110">
        <f>+SUM(D32:D34)</f>
        <v>7038</v>
      </c>
      <c r="E35" s="57">
        <f>+C35/D35</f>
        <v>0.30179028132992325</v>
      </c>
      <c r="G35" s="89" t="s">
        <v>91</v>
      </c>
      <c r="H35" s="87">
        <v>225</v>
      </c>
      <c r="I35" s="88">
        <v>337.5</v>
      </c>
      <c r="J35" s="71"/>
    </row>
    <row r="36" spans="1:10" ht="15" customHeight="1" x14ac:dyDescent="0.25">
      <c r="G36" s="89" t="s">
        <v>123</v>
      </c>
      <c r="H36" s="87">
        <v>97</v>
      </c>
      <c r="I36" s="88">
        <v>145.5</v>
      </c>
      <c r="J36" s="71"/>
    </row>
    <row r="37" spans="1:10" ht="15" customHeight="1" x14ac:dyDescent="0.25">
      <c r="B37" s="162" t="s">
        <v>66</v>
      </c>
      <c r="D37" s="162"/>
      <c r="G37" s="89" t="s">
        <v>96</v>
      </c>
      <c r="H37" s="87">
        <v>22</v>
      </c>
      <c r="I37" s="88">
        <v>33</v>
      </c>
      <c r="J37" s="71"/>
    </row>
    <row r="38" spans="1:10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244</v>
      </c>
      <c r="I38" s="88">
        <f>+H38*1.5</f>
        <v>366</v>
      </c>
      <c r="J38" s="189" t="s">
        <v>134</v>
      </c>
    </row>
    <row r="39" spans="1:10" x14ac:dyDescent="0.25">
      <c r="B39" s="73">
        <v>29</v>
      </c>
      <c r="C39" s="74">
        <v>3</v>
      </c>
      <c r="D39" s="74">
        <v>23</v>
      </c>
      <c r="E39" s="75">
        <f>+SUM(B39:D39)</f>
        <v>55</v>
      </c>
      <c r="J39" s="71"/>
    </row>
    <row r="40" spans="1:10" x14ac:dyDescent="0.25">
      <c r="E40" s="66" t="s">
        <v>76</v>
      </c>
      <c r="G40" s="144" t="s">
        <v>124</v>
      </c>
      <c r="H40" s="145">
        <v>30</v>
      </c>
      <c r="J40" s="71"/>
    </row>
    <row r="41" spans="1:10" x14ac:dyDescent="0.25">
      <c r="D41" s="162"/>
      <c r="F41" s="71" t="s">
        <v>90</v>
      </c>
      <c r="G41" s="144" t="s">
        <v>120</v>
      </c>
      <c r="H41" s="145">
        <v>12</v>
      </c>
      <c r="J41" s="71"/>
    </row>
    <row r="42" spans="1:10" x14ac:dyDescent="0.25">
      <c r="A42" s="162" t="s">
        <v>70</v>
      </c>
      <c r="B42" s="162">
        <v>0</v>
      </c>
      <c r="C42" s="162">
        <v>0</v>
      </c>
      <c r="D42" s="68">
        <v>2400</v>
      </c>
      <c r="E42" s="57">
        <f t="shared" ref="E42:E47" si="3">+C42/D42</f>
        <v>0</v>
      </c>
      <c r="F42" s="71">
        <v>7</v>
      </c>
      <c r="G42" s="144" t="s">
        <v>121</v>
      </c>
      <c r="H42" s="146">
        <v>53</v>
      </c>
      <c r="J42" s="71"/>
    </row>
    <row r="43" spans="1:10" x14ac:dyDescent="0.25">
      <c r="A43" s="162" t="s">
        <v>71</v>
      </c>
      <c r="B43" s="162">
        <v>12.19</v>
      </c>
      <c r="C43" s="162">
        <v>2167</v>
      </c>
      <c r="D43" s="68">
        <v>3600</v>
      </c>
      <c r="E43" s="57">
        <f t="shared" si="3"/>
        <v>0.60194444444444439</v>
      </c>
      <c r="F43" s="71">
        <v>12</v>
      </c>
      <c r="G43" s="71"/>
      <c r="J43" s="71"/>
    </row>
    <row r="44" spans="1:10" x14ac:dyDescent="0.25">
      <c r="A44" s="162" t="s">
        <v>72</v>
      </c>
      <c r="B44" s="162">
        <v>3.56</v>
      </c>
      <c r="C44" s="162">
        <v>2073</v>
      </c>
      <c r="D44" s="68">
        <v>3900</v>
      </c>
      <c r="E44" s="57">
        <f t="shared" si="3"/>
        <v>0.53153846153846152</v>
      </c>
      <c r="F44" s="71">
        <v>12</v>
      </c>
      <c r="G44" s="160" t="s">
        <v>128</v>
      </c>
      <c r="J44" s="71"/>
    </row>
    <row r="45" spans="1:10" x14ac:dyDescent="0.25">
      <c r="A45" s="162" t="s">
        <v>73</v>
      </c>
      <c r="B45" s="162">
        <v>15.55</v>
      </c>
      <c r="C45" s="162">
        <v>2539</v>
      </c>
      <c r="D45" s="68">
        <v>3900</v>
      </c>
      <c r="E45" s="57">
        <f t="shared" si="3"/>
        <v>0.65102564102564098</v>
      </c>
      <c r="F45" s="71">
        <v>10</v>
      </c>
      <c r="G45" s="154">
        <v>45811</v>
      </c>
      <c r="H45" s="155">
        <v>73</v>
      </c>
      <c r="J45" s="71"/>
    </row>
    <row r="46" spans="1:10" x14ac:dyDescent="0.25">
      <c r="A46" s="162" t="s">
        <v>74</v>
      </c>
      <c r="B46" s="162">
        <v>7.84</v>
      </c>
      <c r="C46" s="162">
        <v>2440</v>
      </c>
      <c r="D46" s="68">
        <v>3900</v>
      </c>
      <c r="E46" s="57">
        <f t="shared" si="3"/>
        <v>0.62564102564102564</v>
      </c>
      <c r="F46" s="71">
        <v>12</v>
      </c>
      <c r="G46" s="156">
        <v>45826</v>
      </c>
      <c r="H46" s="157">
        <v>29</v>
      </c>
      <c r="I46" s="520">
        <f>+SUM(H46:H48)</f>
        <v>133</v>
      </c>
      <c r="J46" s="71"/>
    </row>
    <row r="47" spans="1:10" x14ac:dyDescent="0.25">
      <c r="A47" s="162" t="s">
        <v>75</v>
      </c>
      <c r="B47" s="123">
        <v>4.51</v>
      </c>
      <c r="C47" s="124">
        <v>3615</v>
      </c>
      <c r="D47" s="128">
        <v>4300</v>
      </c>
      <c r="E47" s="126">
        <f t="shared" si="3"/>
        <v>0.84069767441860466</v>
      </c>
      <c r="F47" s="71">
        <v>16</v>
      </c>
      <c r="G47" s="156">
        <v>45826</v>
      </c>
      <c r="H47" s="157">
        <v>72</v>
      </c>
      <c r="I47" s="520"/>
      <c r="J47" s="71">
        <f>+I46*1.5</f>
        <v>199.5</v>
      </c>
    </row>
    <row r="48" spans="1:10" x14ac:dyDescent="0.25">
      <c r="C48" s="71" t="s">
        <v>83</v>
      </c>
      <c r="D48" s="72" t="s">
        <v>79</v>
      </c>
      <c r="G48" s="156">
        <v>45827</v>
      </c>
      <c r="H48" s="157">
        <v>32</v>
      </c>
      <c r="I48" s="520"/>
      <c r="J48" s="71"/>
    </row>
    <row r="49" spans="2:10" x14ac:dyDescent="0.25">
      <c r="B49" s="162" t="s">
        <v>78</v>
      </c>
      <c r="C49" s="71">
        <v>4</v>
      </c>
      <c r="D49" s="72"/>
      <c r="G49" s="144">
        <v>45828</v>
      </c>
      <c r="H49" s="146">
        <v>6</v>
      </c>
      <c r="I49" s="520">
        <f>+SUM(H49:H51)</f>
        <v>38</v>
      </c>
      <c r="J49" s="71"/>
    </row>
    <row r="50" spans="2:10" x14ac:dyDescent="0.25">
      <c r="C50" s="71">
        <v>5</v>
      </c>
      <c r="D50" s="108">
        <v>6</v>
      </c>
      <c r="G50" s="144">
        <v>45829</v>
      </c>
      <c r="H50" s="146">
        <v>12</v>
      </c>
      <c r="I50" s="520"/>
      <c r="J50" s="71">
        <f>+I49*1.5</f>
        <v>57</v>
      </c>
    </row>
    <row r="51" spans="2:10" x14ac:dyDescent="0.25">
      <c r="C51" s="71">
        <v>6</v>
      </c>
      <c r="D51" s="108">
        <v>6</v>
      </c>
      <c r="G51" s="144">
        <v>45830</v>
      </c>
      <c r="H51" s="146">
        <v>20</v>
      </c>
      <c r="I51" s="520"/>
      <c r="J51" s="71"/>
    </row>
    <row r="52" spans="2:10" x14ac:dyDescent="0.25">
      <c r="C52" s="71">
        <v>8</v>
      </c>
      <c r="I52" s="162">
        <f>+I46+I49</f>
        <v>171</v>
      </c>
      <c r="J52" s="71">
        <f>+J50+J47</f>
        <v>256.5</v>
      </c>
    </row>
    <row r="53" spans="2:10" x14ac:dyDescent="0.25">
      <c r="J53" s="71"/>
    </row>
  </sheetData>
  <protectedRanges>
    <protectedRange password="D554" sqref="H40:H41" name="Rango1_1_2" securityDescriptor="O:WDG:WDD:(A;;CC;;;S-1-5-21-602234756-1814372317-3751740159-65568)(A;;CC;;;S-1-5-21-602234756-1814372317-3751740159-104412)"/>
  </protectedRanges>
  <mergeCells count="4">
    <mergeCell ref="B1:D1"/>
    <mergeCell ref="B3:D3"/>
    <mergeCell ref="I46:I48"/>
    <mergeCell ref="I49:I51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opLeftCell="A14" workbookViewId="0">
      <selection activeCell="A28" sqref="A28:J53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20.42578125" style="162" customWidth="1"/>
    <col min="6" max="16384" width="11.42578125" style="162"/>
  </cols>
  <sheetData>
    <row r="1" spans="1:10" ht="15" customHeight="1" x14ac:dyDescent="0.25">
      <c r="A1" s="161"/>
      <c r="B1" s="518">
        <v>45840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85"/>
      <c r="C4" s="185"/>
      <c r="D4" s="165">
        <f>D26</f>
        <v>8301.6770000000015</v>
      </c>
      <c r="F4" s="58" t="s">
        <v>51</v>
      </c>
      <c r="G4" s="59">
        <v>45838</v>
      </c>
      <c r="H4" s="58">
        <v>6219</v>
      </c>
      <c r="I4" s="141">
        <v>7807.4789999999994</v>
      </c>
      <c r="J4" s="60">
        <f>+I4/H4</f>
        <v>1.2554235407621803</v>
      </c>
    </row>
    <row r="5" spans="1:10" ht="15" customHeight="1" x14ac:dyDescent="0.25">
      <c r="A5" s="164"/>
      <c r="B5" s="168" t="s">
        <v>6</v>
      </c>
      <c r="C5" s="176">
        <v>3930</v>
      </c>
      <c r="D5" s="172">
        <v>167.792</v>
      </c>
      <c r="E5" s="80">
        <f>+D5/$D$4</f>
        <v>2.0211819852783957E-2</v>
      </c>
      <c r="F5" s="58" t="s">
        <v>52</v>
      </c>
      <c r="G5" s="59">
        <v>45839</v>
      </c>
      <c r="H5" s="58">
        <v>8082</v>
      </c>
      <c r="I5" s="141">
        <v>8301.6770000000015</v>
      </c>
      <c r="J5" s="60">
        <f t="shared" ref="J5:J11" si="0">+I5/H5</f>
        <v>1.0271810195496167</v>
      </c>
    </row>
    <row r="6" spans="1:10" ht="15" customHeight="1" x14ac:dyDescent="0.25">
      <c r="A6" s="164"/>
      <c r="B6" s="169" t="s">
        <v>10</v>
      </c>
      <c r="C6" s="177">
        <v>17207</v>
      </c>
      <c r="D6" s="173">
        <v>734.12300000000005</v>
      </c>
      <c r="E6" s="80">
        <f t="shared" ref="E6:E25" si="1">+D6/$D$4</f>
        <v>8.8430686956382412E-2</v>
      </c>
      <c r="F6" s="58" t="s">
        <v>53</v>
      </c>
      <c r="G6" s="59">
        <v>45840</v>
      </c>
      <c r="H6" s="58">
        <v>7408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17584</v>
      </c>
      <c r="D7" s="173">
        <v>751.14</v>
      </c>
      <c r="E7" s="80">
        <f t="shared" si="1"/>
        <v>9.0480513756437383E-2</v>
      </c>
      <c r="F7" s="58" t="s">
        <v>54</v>
      </c>
      <c r="G7" s="59">
        <v>45841</v>
      </c>
      <c r="H7" s="58">
        <v>7964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1550</v>
      </c>
      <c r="D8" s="173">
        <v>66.13</v>
      </c>
      <c r="E8" s="80">
        <f t="shared" si="1"/>
        <v>7.9658603918220366E-3</v>
      </c>
      <c r="F8" s="58" t="s">
        <v>55</v>
      </c>
      <c r="G8" s="59">
        <v>45842</v>
      </c>
      <c r="H8" s="58">
        <v>7126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47905</v>
      </c>
      <c r="D9" s="173">
        <v>2044.6260000000007</v>
      </c>
      <c r="E9" s="191">
        <f t="shared" si="1"/>
        <v>0.24629071933297336</v>
      </c>
      <c r="F9" s="58" t="s">
        <v>56</v>
      </c>
      <c r="G9" s="59">
        <v>45843</v>
      </c>
      <c r="H9" s="58">
        <v>6314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49402</v>
      </c>
      <c r="D10" s="173">
        <v>2106.6360000000004</v>
      </c>
      <c r="E10" s="191">
        <f t="shared" si="1"/>
        <v>0.25376029445616832</v>
      </c>
      <c r="F10" s="58" t="s">
        <v>57</v>
      </c>
      <c r="G10" s="59">
        <v>45844</v>
      </c>
      <c r="H10" s="58">
        <v>4537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7668</v>
      </c>
      <c r="D11" s="173">
        <v>327.42</v>
      </c>
      <c r="E11" s="80">
        <f t="shared" si="1"/>
        <v>3.9440223945113734E-2</v>
      </c>
      <c r="H11" s="139">
        <f>+SUM(H4:H10)</f>
        <v>47650</v>
      </c>
      <c r="I11" s="142">
        <f>+SUM(I4:I10)</f>
        <v>16109.156000000001</v>
      </c>
      <c r="J11" s="140">
        <f t="shared" si="0"/>
        <v>0.33807252885624345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47</v>
      </c>
      <c r="C13" s="177"/>
      <c r="D13" s="173"/>
      <c r="E13" s="80">
        <f t="shared" si="1"/>
        <v>0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49</v>
      </c>
      <c r="C14" s="177">
        <v>42</v>
      </c>
      <c r="D14" s="173">
        <v>63.540000000000006</v>
      </c>
      <c r="E14" s="80">
        <f t="shared" si="1"/>
        <v>7.653875235088042E-3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84</v>
      </c>
      <c r="C15" s="177">
        <v>126</v>
      </c>
      <c r="D15" s="173">
        <v>189.94000000000003</v>
      </c>
      <c r="E15" s="80">
        <f t="shared" si="1"/>
        <v>2.287971454442277E-2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88</v>
      </c>
      <c r="C16" s="177"/>
      <c r="D16" s="173">
        <v>29.87</v>
      </c>
      <c r="E16" s="80">
        <f t="shared" si="1"/>
        <v>3.5980681975461095E-3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0" ht="15" customHeight="1" x14ac:dyDescent="0.25">
      <c r="A17" s="164"/>
      <c r="B17" s="169" t="s">
        <v>39</v>
      </c>
      <c r="C17" s="177">
        <v>547</v>
      </c>
      <c r="D17" s="173">
        <v>826.3399999999998</v>
      </c>
      <c r="E17" s="80">
        <f t="shared" si="1"/>
        <v>9.9538924484775748E-2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0" ht="15" customHeight="1" x14ac:dyDescent="0.25">
      <c r="A18" s="164"/>
      <c r="B18" s="169" t="s">
        <v>43</v>
      </c>
      <c r="C18" s="177">
        <v>46</v>
      </c>
      <c r="D18" s="173">
        <v>69.67</v>
      </c>
      <c r="E18" s="80">
        <f t="shared" si="1"/>
        <v>8.3922802585549867E-3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0" ht="15" customHeight="1" x14ac:dyDescent="0.25">
      <c r="A19" s="164"/>
      <c r="B19" s="169" t="s">
        <v>49</v>
      </c>
      <c r="C19" s="177"/>
      <c r="D19" s="173"/>
      <c r="E19" s="80">
        <f t="shared" si="1"/>
        <v>0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0" ht="15" customHeight="1" x14ac:dyDescent="0.25">
      <c r="A20" s="164"/>
      <c r="B20" s="169" t="s">
        <v>41</v>
      </c>
      <c r="C20" s="177">
        <v>62</v>
      </c>
      <c r="D20" s="173">
        <v>93.71</v>
      </c>
      <c r="E20" s="80">
        <f t="shared" si="1"/>
        <v>1.1288080709475927E-2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0" ht="15" customHeight="1" x14ac:dyDescent="0.25">
      <c r="A21" s="164"/>
      <c r="B21" s="169" t="s">
        <v>84</v>
      </c>
      <c r="C21" s="177"/>
      <c r="D21" s="173"/>
      <c r="E21" s="80">
        <f t="shared" si="1"/>
        <v>0</v>
      </c>
      <c r="G21" s="112" t="s">
        <v>135</v>
      </c>
      <c r="H21" s="190">
        <v>232937.965</v>
      </c>
      <c r="I21" s="190"/>
    </row>
    <row r="22" spans="1:10" ht="15" customHeight="1" x14ac:dyDescent="0.25">
      <c r="A22" s="164"/>
      <c r="B22" s="169" t="s">
        <v>85</v>
      </c>
      <c r="C22" s="177"/>
      <c r="D22" s="173"/>
      <c r="E22" s="80">
        <f t="shared" si="1"/>
        <v>0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0" ht="12.75" customHeight="1" x14ac:dyDescent="0.25">
      <c r="A23" s="164"/>
      <c r="B23" s="169" t="s">
        <v>40</v>
      </c>
      <c r="C23" s="177"/>
      <c r="D23" s="173">
        <v>555.18999999999994</v>
      </c>
      <c r="E23" s="80">
        <f t="shared" si="1"/>
        <v>6.6876849099284374E-2</v>
      </c>
    </row>
    <row r="24" spans="1:10" ht="15" customHeight="1" x14ac:dyDescent="0.25">
      <c r="A24" s="164"/>
      <c r="B24" s="169" t="s">
        <v>9</v>
      </c>
      <c r="C24" s="177"/>
      <c r="D24" s="173">
        <v>212.54</v>
      </c>
      <c r="E24" s="80">
        <f t="shared" si="1"/>
        <v>2.5602056066503183E-2</v>
      </c>
      <c r="I24" s="162" t="s">
        <v>130</v>
      </c>
      <c r="J24" s="71">
        <v>3577</v>
      </c>
    </row>
    <row r="25" spans="1:10" ht="15" customHeight="1" thickBot="1" x14ac:dyDescent="0.3">
      <c r="A25" s="164"/>
      <c r="B25" s="10" t="s">
        <v>46</v>
      </c>
      <c r="C25" s="54"/>
      <c r="D25" s="55">
        <v>63.010000000000005</v>
      </c>
      <c r="E25" s="80">
        <f t="shared" si="1"/>
        <v>7.5900327126675726E-3</v>
      </c>
      <c r="I25" s="162" t="s">
        <v>129</v>
      </c>
      <c r="J25" s="71">
        <v>442</v>
      </c>
    </row>
    <row r="26" spans="1:10" ht="15" customHeight="1" thickBot="1" x14ac:dyDescent="0.3">
      <c r="B26" s="178" t="s">
        <v>0</v>
      </c>
      <c r="C26" s="170"/>
      <c r="D26" s="171">
        <f>SUM(D5:D25)</f>
        <v>8301.6770000000015</v>
      </c>
      <c r="E26" s="98"/>
      <c r="I26" s="162" t="s">
        <v>131</v>
      </c>
      <c r="J26" s="186">
        <v>427</v>
      </c>
    </row>
    <row r="27" spans="1:10" ht="15" customHeight="1" x14ac:dyDescent="0.25">
      <c r="B27" s="166" t="s">
        <v>1</v>
      </c>
      <c r="C27" s="167"/>
      <c r="D27" s="192">
        <v>16139.877</v>
      </c>
      <c r="E27" s="98">
        <f>+D27/E2</f>
        <v>7.3579803238630143E-2</v>
      </c>
      <c r="F27" s="163"/>
      <c r="J27" s="71">
        <f>+SUM(J24:J26)</f>
        <v>4446</v>
      </c>
    </row>
    <row r="28" spans="1:10" x14ac:dyDescent="0.25">
      <c r="D28" s="193">
        <f>+(E2/31)*2</f>
        <v>14151.741935483871</v>
      </c>
      <c r="E28" s="98">
        <f>+D28/E2</f>
        <v>6.4516129032258063E-2</v>
      </c>
      <c r="J28" s="71"/>
    </row>
    <row r="29" spans="1:10" x14ac:dyDescent="0.25">
      <c r="D29" s="183">
        <f>+D27-D28</f>
        <v>1988.1350645161292</v>
      </c>
      <c r="E29" s="99">
        <f>+E27-E28</f>
        <v>9.0636742063720799E-3</v>
      </c>
      <c r="J29" s="71"/>
    </row>
    <row r="30" spans="1:10" x14ac:dyDescent="0.25">
      <c r="G30" s="163"/>
      <c r="J30" s="71"/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I31" s="162" t="s">
        <v>92</v>
      </c>
      <c r="J31" s="71"/>
    </row>
    <row r="32" spans="1:10" x14ac:dyDescent="0.25">
      <c r="B32" s="162" t="s">
        <v>61</v>
      </c>
      <c r="C32" s="162">
        <v>346</v>
      </c>
      <c r="D32" s="108">
        <v>2142</v>
      </c>
      <c r="E32" s="57">
        <f>+C32/D32</f>
        <v>0.16153127917833801</v>
      </c>
      <c r="G32" s="86" t="s">
        <v>86</v>
      </c>
      <c r="H32" s="87">
        <v>6797</v>
      </c>
      <c r="I32" s="88">
        <v>169.92500000000001</v>
      </c>
      <c r="J32" s="71"/>
    </row>
    <row r="33" spans="1:10" ht="15" customHeight="1" x14ac:dyDescent="0.25">
      <c r="B33" s="162" t="s">
        <v>62</v>
      </c>
      <c r="C33" s="162">
        <v>1374</v>
      </c>
      <c r="D33" s="108">
        <v>1890</v>
      </c>
      <c r="E33" s="57">
        <f>+C33/D33</f>
        <v>0.72698412698412695</v>
      </c>
      <c r="G33" s="86" t="s">
        <v>104</v>
      </c>
      <c r="H33" s="87">
        <v>13</v>
      </c>
      <c r="I33" s="88">
        <v>0.32500000000000001</v>
      </c>
      <c r="J33" s="71"/>
    </row>
    <row r="34" spans="1:10" x14ac:dyDescent="0.25">
      <c r="B34" s="162" t="s">
        <v>63</v>
      </c>
      <c r="C34" s="67">
        <v>521</v>
      </c>
      <c r="D34" s="108">
        <v>3006</v>
      </c>
      <c r="E34" s="57">
        <f>+C34/D34</f>
        <v>0.17332002661343979</v>
      </c>
      <c r="G34" s="89" t="s">
        <v>87</v>
      </c>
      <c r="H34" s="87">
        <v>134</v>
      </c>
      <c r="I34" s="88">
        <v>201</v>
      </c>
      <c r="J34" s="71"/>
    </row>
    <row r="35" spans="1:10" x14ac:dyDescent="0.25">
      <c r="C35" s="162">
        <f>+SUM(C32:C34)</f>
        <v>2241</v>
      </c>
      <c r="D35" s="110">
        <f>+SUM(D32:D34)</f>
        <v>7038</v>
      </c>
      <c r="E35" s="57">
        <f>+C35/D35</f>
        <v>0.31841432225063937</v>
      </c>
      <c r="G35" s="89" t="s">
        <v>91</v>
      </c>
      <c r="H35" s="87">
        <v>8</v>
      </c>
      <c r="I35" s="88">
        <v>12</v>
      </c>
      <c r="J35" s="71"/>
    </row>
    <row r="36" spans="1:10" ht="15" customHeight="1" x14ac:dyDescent="0.25">
      <c r="G36" s="89" t="s">
        <v>123</v>
      </c>
      <c r="H36" s="87">
        <v>97</v>
      </c>
      <c r="I36" s="88">
        <v>145.5</v>
      </c>
      <c r="J36" s="71"/>
    </row>
    <row r="37" spans="1:10" ht="15" customHeight="1" x14ac:dyDescent="0.25">
      <c r="B37" s="162" t="s">
        <v>66</v>
      </c>
      <c r="D37" s="162"/>
      <c r="G37" s="89" t="s">
        <v>96</v>
      </c>
      <c r="H37" s="87">
        <v>22</v>
      </c>
      <c r="I37" s="88">
        <v>33</v>
      </c>
      <c r="J37" s="71"/>
    </row>
    <row r="38" spans="1:10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244</v>
      </c>
      <c r="I38" s="88">
        <f>+H38*1.5</f>
        <v>366</v>
      </c>
      <c r="J38" s="189" t="s">
        <v>134</v>
      </c>
    </row>
    <row r="39" spans="1:10" x14ac:dyDescent="0.25">
      <c r="B39" s="73">
        <v>22</v>
      </c>
      <c r="C39" s="74">
        <v>2</v>
      </c>
      <c r="D39" s="74">
        <v>22</v>
      </c>
      <c r="E39" s="75">
        <f>+SUM(B39:D39)</f>
        <v>46</v>
      </c>
      <c r="J39" s="71"/>
    </row>
    <row r="40" spans="1:10" x14ac:dyDescent="0.25">
      <c r="E40" s="66" t="s">
        <v>76</v>
      </c>
      <c r="G40" s="144" t="s">
        <v>124</v>
      </c>
      <c r="H40" s="145">
        <v>30</v>
      </c>
      <c r="J40" s="71"/>
    </row>
    <row r="41" spans="1:10" x14ac:dyDescent="0.25">
      <c r="D41" s="162"/>
      <c r="F41" s="71" t="s">
        <v>90</v>
      </c>
      <c r="G41" s="144" t="s">
        <v>120</v>
      </c>
      <c r="H41" s="145">
        <v>12</v>
      </c>
      <c r="J41" s="71"/>
    </row>
    <row r="42" spans="1:10" x14ac:dyDescent="0.25">
      <c r="A42" s="162" t="s">
        <v>70</v>
      </c>
      <c r="B42" s="162">
        <v>0</v>
      </c>
      <c r="C42" s="162">
        <v>0</v>
      </c>
      <c r="D42" s="68">
        <v>2400</v>
      </c>
      <c r="E42" s="57">
        <f t="shared" ref="E42:E47" si="3">+C42/D42</f>
        <v>0</v>
      </c>
      <c r="F42" s="71">
        <v>7</v>
      </c>
      <c r="G42" s="144" t="s">
        <v>121</v>
      </c>
      <c r="H42" s="146">
        <v>53</v>
      </c>
      <c r="J42" s="71"/>
    </row>
    <row r="43" spans="1:10" x14ac:dyDescent="0.25">
      <c r="A43" s="162" t="s">
        <v>71</v>
      </c>
      <c r="B43" s="162">
        <v>13.28</v>
      </c>
      <c r="C43" s="162">
        <v>2176</v>
      </c>
      <c r="D43" s="68">
        <v>3600</v>
      </c>
      <c r="E43" s="57">
        <f t="shared" si="3"/>
        <v>0.60444444444444445</v>
      </c>
      <c r="F43" s="71">
        <v>12</v>
      </c>
      <c r="G43" s="71"/>
      <c r="J43" s="71"/>
    </row>
    <row r="44" spans="1:10" x14ac:dyDescent="0.25">
      <c r="A44" s="162" t="s">
        <v>72</v>
      </c>
      <c r="B44" s="162">
        <v>3.56</v>
      </c>
      <c r="C44" s="162">
        <v>3326</v>
      </c>
      <c r="D44" s="68">
        <v>3900</v>
      </c>
      <c r="E44" s="57">
        <f t="shared" si="3"/>
        <v>0.85282051282051285</v>
      </c>
      <c r="F44" s="71">
        <v>12</v>
      </c>
      <c r="G44" s="160" t="s">
        <v>128</v>
      </c>
      <c r="J44" s="71"/>
    </row>
    <row r="45" spans="1:10" x14ac:dyDescent="0.25">
      <c r="A45" s="162" t="s">
        <v>73</v>
      </c>
      <c r="B45" s="162">
        <v>16.22</v>
      </c>
      <c r="C45" s="162">
        <v>3082</v>
      </c>
      <c r="D45" s="68">
        <v>3900</v>
      </c>
      <c r="E45" s="57">
        <f t="shared" si="3"/>
        <v>0.79025641025641025</v>
      </c>
      <c r="F45" s="71">
        <v>10</v>
      </c>
      <c r="G45" s="154">
        <v>45811</v>
      </c>
      <c r="H45" s="155">
        <v>73</v>
      </c>
      <c r="J45" s="71"/>
    </row>
    <row r="46" spans="1:10" x14ac:dyDescent="0.25">
      <c r="A46" s="162" t="s">
        <v>74</v>
      </c>
      <c r="B46" s="162">
        <v>14.68</v>
      </c>
      <c r="C46" s="162">
        <v>2351</v>
      </c>
      <c r="D46" s="68">
        <v>3900</v>
      </c>
      <c r="E46" s="57">
        <f t="shared" si="3"/>
        <v>0.60282051282051285</v>
      </c>
      <c r="F46" s="71">
        <v>12</v>
      </c>
      <c r="G46" s="156">
        <v>45826</v>
      </c>
      <c r="H46" s="157">
        <v>29</v>
      </c>
      <c r="I46" s="520">
        <f>+SUM(H46:H48)</f>
        <v>133</v>
      </c>
      <c r="J46" s="71"/>
    </row>
    <row r="47" spans="1:10" x14ac:dyDescent="0.25">
      <c r="A47" s="162" t="s">
        <v>75</v>
      </c>
      <c r="B47" s="123">
        <v>6.82</v>
      </c>
      <c r="C47" s="124">
        <f>16868/B47</f>
        <v>2473.3137829912021</v>
      </c>
      <c r="D47" s="128">
        <v>4300</v>
      </c>
      <c r="E47" s="126">
        <f t="shared" si="3"/>
        <v>0.57518925185841907</v>
      </c>
      <c r="F47" s="71">
        <v>16</v>
      </c>
      <c r="G47" s="156">
        <v>45826</v>
      </c>
      <c r="H47" s="157">
        <v>72</v>
      </c>
      <c r="I47" s="520"/>
      <c r="J47" s="71">
        <f>+I46*1.5</f>
        <v>199.5</v>
      </c>
    </row>
    <row r="48" spans="1:10" x14ac:dyDescent="0.25">
      <c r="C48" s="71" t="s">
        <v>83</v>
      </c>
      <c r="D48" s="72" t="s">
        <v>79</v>
      </c>
      <c r="G48" s="156">
        <v>45827</v>
      </c>
      <c r="H48" s="157">
        <v>32</v>
      </c>
      <c r="I48" s="520"/>
      <c r="J48" s="71"/>
    </row>
    <row r="49" spans="2:10" x14ac:dyDescent="0.25">
      <c r="B49" s="162" t="s">
        <v>78</v>
      </c>
      <c r="C49" s="71">
        <v>4</v>
      </c>
      <c r="D49" s="72"/>
      <c r="G49" s="144">
        <v>45828</v>
      </c>
      <c r="H49" s="146">
        <v>6</v>
      </c>
      <c r="I49" s="520">
        <f>+SUM(H49:H51)</f>
        <v>38</v>
      </c>
      <c r="J49" s="71"/>
    </row>
    <row r="50" spans="2:10" x14ac:dyDescent="0.25">
      <c r="C50" s="71">
        <v>5</v>
      </c>
      <c r="D50" s="108">
        <v>8</v>
      </c>
      <c r="G50" s="144">
        <v>45829</v>
      </c>
      <c r="H50" s="146">
        <v>12</v>
      </c>
      <c r="I50" s="520"/>
      <c r="J50" s="71">
        <f>+I49*1.5</f>
        <v>57</v>
      </c>
    </row>
    <row r="51" spans="2:10" x14ac:dyDescent="0.25">
      <c r="C51" s="71">
        <v>6</v>
      </c>
      <c r="D51" s="108">
        <v>8</v>
      </c>
      <c r="G51" s="144">
        <v>45830</v>
      </c>
      <c r="H51" s="146">
        <v>20</v>
      </c>
      <c r="I51" s="520"/>
      <c r="J51" s="71"/>
    </row>
    <row r="52" spans="2:10" x14ac:dyDescent="0.25">
      <c r="C52" s="71">
        <v>8</v>
      </c>
      <c r="I52" s="162">
        <f>+I46+I49</f>
        <v>171</v>
      </c>
      <c r="J52" s="71">
        <f>+J50+J47</f>
        <v>256.5</v>
      </c>
    </row>
    <row r="53" spans="2:10" x14ac:dyDescent="0.25">
      <c r="J53" s="71"/>
    </row>
  </sheetData>
  <protectedRanges>
    <protectedRange password="D554" sqref="H40:H41" name="Rango1_1_2" securityDescriptor="O:WDG:WDD:(A;;CC;;;S-1-5-21-602234756-1814372317-3751740159-65568)(A;;CC;;;S-1-5-21-602234756-1814372317-3751740159-104412)"/>
  </protectedRanges>
  <mergeCells count="4">
    <mergeCell ref="B1:D1"/>
    <mergeCell ref="B3:D3"/>
    <mergeCell ref="I46:I48"/>
    <mergeCell ref="I49:I51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opLeftCell="A14" workbookViewId="0">
      <selection activeCell="G34" sqref="G34"/>
    </sheetView>
  </sheetViews>
  <sheetFormatPr baseColWidth="10" defaultColWidth="11.42578125" defaultRowHeight="15.75" x14ac:dyDescent="0.25"/>
  <cols>
    <col min="1" max="1" width="2.42578125" style="162" customWidth="1"/>
    <col min="2" max="2" width="45.42578125" style="162" customWidth="1"/>
    <col min="3" max="3" width="15.28515625" style="162" customWidth="1"/>
    <col min="4" max="4" width="15.28515625" style="163" customWidth="1"/>
    <col min="5" max="5" width="20.42578125" style="162" customWidth="1"/>
    <col min="6" max="7" width="11.42578125" style="162"/>
    <col min="8" max="9" width="9" style="162" bestFit="1" customWidth="1"/>
    <col min="10" max="10" width="7.7109375" style="162" customWidth="1"/>
    <col min="11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85"/>
      <c r="C4" s="185"/>
      <c r="D4" s="165">
        <f>D26</f>
        <v>7668.5070000000005</v>
      </c>
      <c r="F4" s="58" t="s">
        <v>51</v>
      </c>
      <c r="G4" s="59">
        <v>45838</v>
      </c>
      <c r="H4" s="58">
        <v>6219</v>
      </c>
      <c r="I4" s="141">
        <v>7807.4789999999994</v>
      </c>
      <c r="J4" s="60">
        <f>+I4/H4</f>
        <v>1.2554235407621803</v>
      </c>
    </row>
    <row r="5" spans="1:10" ht="15" customHeight="1" x14ac:dyDescent="0.25">
      <c r="A5" s="164"/>
      <c r="B5" s="168" t="s">
        <v>6</v>
      </c>
      <c r="C5" s="176">
        <v>4592</v>
      </c>
      <c r="D5" s="172">
        <v>196.13200000000001</v>
      </c>
      <c r="E5" s="80">
        <f>+D5/$D$4</f>
        <v>2.5576295359709521E-2</v>
      </c>
      <c r="F5" s="58" t="s">
        <v>52</v>
      </c>
      <c r="G5" s="59">
        <v>45839</v>
      </c>
      <c r="H5" s="58">
        <v>8082</v>
      </c>
      <c r="I5" s="141">
        <v>8301.6770000000015</v>
      </c>
      <c r="J5" s="60">
        <f t="shared" ref="J5:J11" si="0">+I5/H5</f>
        <v>1.0271810195496167</v>
      </c>
    </row>
    <row r="6" spans="1:10" ht="15" customHeight="1" x14ac:dyDescent="0.25">
      <c r="A6" s="164"/>
      <c r="B6" s="169" t="s">
        <v>10</v>
      </c>
      <c r="C6" s="177">
        <v>14704</v>
      </c>
      <c r="D6" s="173">
        <v>627.048</v>
      </c>
      <c r="E6" s="80">
        <f t="shared" ref="E6:E25" si="1">+D6/$D$4</f>
        <v>8.1769241392098874E-2</v>
      </c>
      <c r="F6" s="58" t="s">
        <v>53</v>
      </c>
      <c r="G6" s="59">
        <v>45840</v>
      </c>
      <c r="H6" s="58">
        <v>7408</v>
      </c>
      <c r="I6" s="141">
        <v>7668.5070000000005</v>
      </c>
      <c r="J6" s="60">
        <f t="shared" si="0"/>
        <v>1.0351656317494602</v>
      </c>
    </row>
    <row r="7" spans="1:10" ht="15" customHeight="1" x14ac:dyDescent="0.25">
      <c r="A7" s="164"/>
      <c r="B7" s="169" t="s">
        <v>35</v>
      </c>
      <c r="C7" s="177">
        <v>16902</v>
      </c>
      <c r="D7" s="173">
        <v>721.90999999999985</v>
      </c>
      <c r="E7" s="80">
        <f t="shared" si="1"/>
        <v>9.4139576321701182E-2</v>
      </c>
      <c r="F7" s="58" t="s">
        <v>54</v>
      </c>
      <c r="G7" s="59">
        <v>45841</v>
      </c>
      <c r="H7" s="58">
        <v>7964</v>
      </c>
      <c r="I7" s="141">
        <v>7668.5070000000005</v>
      </c>
      <c r="J7" s="60">
        <f t="shared" si="0"/>
        <v>0.96289640883977912</v>
      </c>
    </row>
    <row r="8" spans="1:10" ht="15" customHeight="1" x14ac:dyDescent="0.25">
      <c r="A8" s="164"/>
      <c r="B8" s="169" t="s">
        <v>4</v>
      </c>
      <c r="C8" s="177">
        <v>740</v>
      </c>
      <c r="D8" s="173">
        <v>31.61</v>
      </c>
      <c r="E8" s="80">
        <f t="shared" si="1"/>
        <v>4.1220540060796706E-3</v>
      </c>
      <c r="F8" s="58" t="s">
        <v>55</v>
      </c>
      <c r="G8" s="59">
        <v>45842</v>
      </c>
      <c r="H8" s="58">
        <v>7126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32244</v>
      </c>
      <c r="D9" s="173">
        <v>1376.3069999999998</v>
      </c>
      <c r="E9" s="191">
        <f t="shared" si="1"/>
        <v>0.17947522249115763</v>
      </c>
      <c r="F9" s="58" t="s">
        <v>56</v>
      </c>
      <c r="G9" s="59">
        <v>45843</v>
      </c>
      <c r="H9" s="58">
        <v>6314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55012</v>
      </c>
      <c r="D10" s="173">
        <v>2346.3039999999996</v>
      </c>
      <c r="E10" s="191">
        <f t="shared" si="1"/>
        <v>0.3059662069813589</v>
      </c>
      <c r="F10" s="58" t="s">
        <v>57</v>
      </c>
      <c r="G10" s="59">
        <v>45844</v>
      </c>
      <c r="H10" s="58">
        <v>4537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7525</v>
      </c>
      <c r="D11" s="173">
        <v>321.10600000000005</v>
      </c>
      <c r="E11" s="80">
        <f t="shared" si="1"/>
        <v>4.187333988219611E-2</v>
      </c>
      <c r="H11" s="139">
        <f>+SUM(H4:H10)</f>
        <v>47650</v>
      </c>
      <c r="I11" s="142">
        <f>+SUM(I4:I10)</f>
        <v>31446.170000000002</v>
      </c>
      <c r="J11" s="140">
        <f t="shared" si="0"/>
        <v>0.65994060860440718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47</v>
      </c>
      <c r="C13" s="177"/>
      <c r="D13" s="173"/>
      <c r="E13" s="80">
        <f t="shared" si="1"/>
        <v>0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49</v>
      </c>
      <c r="C14" s="177">
        <v>60</v>
      </c>
      <c r="D14" s="173">
        <v>90.59</v>
      </c>
      <c r="E14" s="80">
        <f t="shared" si="1"/>
        <v>1.1813251262599096E-2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84</v>
      </c>
      <c r="C15" s="177"/>
      <c r="D15" s="173"/>
      <c r="E15" s="80">
        <f t="shared" si="1"/>
        <v>0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88</v>
      </c>
      <c r="C16" s="177"/>
      <c r="D16" s="173">
        <v>30.05</v>
      </c>
      <c r="E16" s="80">
        <f t="shared" si="1"/>
        <v>3.9186245771178144E-3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0" ht="15" customHeight="1" x14ac:dyDescent="0.25">
      <c r="A17" s="164"/>
      <c r="B17" s="169" t="s">
        <v>39</v>
      </c>
      <c r="C17" s="177">
        <v>326</v>
      </c>
      <c r="D17" s="173">
        <v>492.99999999999994</v>
      </c>
      <c r="E17" s="80">
        <f t="shared" si="1"/>
        <v>6.4288915691150819E-2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0" ht="15" customHeight="1" x14ac:dyDescent="0.25">
      <c r="A18" s="164"/>
      <c r="B18" s="169" t="s">
        <v>43</v>
      </c>
      <c r="C18" s="177">
        <v>400</v>
      </c>
      <c r="D18" s="173">
        <v>604.24</v>
      </c>
      <c r="E18" s="80">
        <f t="shared" si="1"/>
        <v>7.8794998817892453E-2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0" ht="15" customHeight="1" x14ac:dyDescent="0.25">
      <c r="A19" s="164"/>
      <c r="B19" s="169" t="s">
        <v>49</v>
      </c>
      <c r="C19" s="177"/>
      <c r="D19" s="173"/>
      <c r="E19" s="80">
        <f t="shared" si="1"/>
        <v>0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0" ht="15" customHeight="1" x14ac:dyDescent="0.25">
      <c r="A20" s="164"/>
      <c r="B20" s="169" t="s">
        <v>41</v>
      </c>
      <c r="C20" s="177">
        <v>206</v>
      </c>
      <c r="D20" s="173">
        <v>310.91999999999996</v>
      </c>
      <c r="E20" s="80">
        <f t="shared" si="1"/>
        <v>4.0545050033859255E-2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0" ht="15" customHeight="1" x14ac:dyDescent="0.25">
      <c r="A21" s="164"/>
      <c r="B21" s="169" t="s">
        <v>84</v>
      </c>
      <c r="C21" s="177"/>
      <c r="D21" s="173"/>
      <c r="E21" s="80">
        <f t="shared" si="1"/>
        <v>0</v>
      </c>
      <c r="G21" s="112" t="s">
        <v>135</v>
      </c>
      <c r="H21" s="190">
        <v>232937.965</v>
      </c>
      <c r="I21" s="190"/>
    </row>
    <row r="22" spans="1:10" ht="15" customHeight="1" x14ac:dyDescent="0.25">
      <c r="A22" s="164"/>
      <c r="B22" s="169" t="s">
        <v>85</v>
      </c>
      <c r="C22" s="177"/>
      <c r="D22" s="173"/>
      <c r="E22" s="80">
        <f t="shared" si="1"/>
        <v>0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0" ht="12.75" customHeight="1" x14ac:dyDescent="0.25">
      <c r="A23" s="164"/>
      <c r="B23" s="169" t="s">
        <v>40</v>
      </c>
      <c r="C23" s="177"/>
      <c r="D23" s="173">
        <v>299.67</v>
      </c>
      <c r="E23" s="80">
        <f t="shared" si="1"/>
        <v>3.9078010882692027E-2</v>
      </c>
    </row>
    <row r="24" spans="1:10" ht="15" customHeight="1" x14ac:dyDescent="0.25">
      <c r="A24" s="164"/>
      <c r="B24" s="169" t="s">
        <v>9</v>
      </c>
      <c r="C24" s="177"/>
      <c r="D24" s="173">
        <v>157.31</v>
      </c>
      <c r="E24" s="80">
        <f t="shared" si="1"/>
        <v>2.0513771455121576E-2</v>
      </c>
      <c r="I24" s="162" t="s">
        <v>130</v>
      </c>
      <c r="J24" s="71">
        <v>3577</v>
      </c>
    </row>
    <row r="25" spans="1:10" ht="15" customHeight="1" thickBot="1" x14ac:dyDescent="0.3">
      <c r="A25" s="164"/>
      <c r="B25" s="10" t="s">
        <v>46</v>
      </c>
      <c r="C25" s="54"/>
      <c r="D25" s="55">
        <v>62.31</v>
      </c>
      <c r="E25" s="80">
        <f t="shared" si="1"/>
        <v>8.1254408452649252E-3</v>
      </c>
      <c r="I25" s="162" t="s">
        <v>129</v>
      </c>
      <c r="J25" s="71">
        <v>442</v>
      </c>
    </row>
    <row r="26" spans="1:10" ht="15" customHeight="1" thickBot="1" x14ac:dyDescent="0.3">
      <c r="B26" s="178" t="s">
        <v>0</v>
      </c>
      <c r="C26" s="170"/>
      <c r="D26" s="171">
        <f>SUM(D5:D25)</f>
        <v>7668.5070000000005</v>
      </c>
      <c r="E26" s="98"/>
      <c r="I26" s="162" t="s">
        <v>131</v>
      </c>
      <c r="J26" s="186">
        <v>427</v>
      </c>
    </row>
    <row r="27" spans="1:10" ht="15" customHeight="1" x14ac:dyDescent="0.25">
      <c r="B27" s="166" t="s">
        <v>1</v>
      </c>
      <c r="C27" s="167"/>
      <c r="D27" s="174">
        <v>23808.383999999998</v>
      </c>
      <c r="E27" s="98">
        <f>+D27/E2</f>
        <v>0.1085396258069222</v>
      </c>
      <c r="F27" s="163"/>
      <c r="J27" s="71">
        <f>+SUM(J24:J26)</f>
        <v>4446</v>
      </c>
    </row>
    <row r="28" spans="1:10" x14ac:dyDescent="0.25">
      <c r="D28" s="193">
        <f>+(E2/31)*3</f>
        <v>21227.612903225807</v>
      </c>
      <c r="E28" s="98">
        <f>+D28/E2</f>
        <v>9.6774193548387094E-2</v>
      </c>
      <c r="J28" s="71"/>
    </row>
    <row r="29" spans="1:10" x14ac:dyDescent="0.25">
      <c r="D29" s="183">
        <f>+D27-D28</f>
        <v>2580.7710967741914</v>
      </c>
      <c r="E29" s="99">
        <f>+E27-E28</f>
        <v>1.1765432258535102E-2</v>
      </c>
      <c r="J29" s="71"/>
    </row>
    <row r="30" spans="1:10" x14ac:dyDescent="0.25">
      <c r="G30" s="163"/>
      <c r="J30" s="71"/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I31" s="162" t="s">
        <v>92</v>
      </c>
      <c r="J31" s="71"/>
    </row>
    <row r="32" spans="1:10" x14ac:dyDescent="0.25">
      <c r="B32" s="162" t="s">
        <v>61</v>
      </c>
      <c r="C32" s="162">
        <v>534</v>
      </c>
      <c r="D32" s="108">
        <v>2142</v>
      </c>
      <c r="E32" s="57">
        <f>+C32/D32</f>
        <v>0.24929971988795518</v>
      </c>
      <c r="G32" s="86" t="s">
        <v>86</v>
      </c>
      <c r="H32" s="87">
        <v>6797</v>
      </c>
      <c r="I32" s="88">
        <v>169.92500000000001</v>
      </c>
      <c r="J32" s="71"/>
    </row>
    <row r="33" spans="1:10" ht="15" customHeight="1" x14ac:dyDescent="0.25">
      <c r="B33" s="162" t="s">
        <v>62</v>
      </c>
      <c r="C33" s="162">
        <v>1207</v>
      </c>
      <c r="D33" s="108">
        <v>1890</v>
      </c>
      <c r="E33" s="57">
        <f>+C33/D33</f>
        <v>0.63862433862433865</v>
      </c>
      <c r="G33" s="86" t="s">
        <v>104</v>
      </c>
      <c r="H33" s="87">
        <v>13</v>
      </c>
      <c r="I33" s="88">
        <v>0.32500000000000001</v>
      </c>
      <c r="J33" s="71"/>
    </row>
    <row r="34" spans="1:10" x14ac:dyDescent="0.25">
      <c r="B34" s="162" t="s">
        <v>63</v>
      </c>
      <c r="C34" s="67">
        <v>207</v>
      </c>
      <c r="D34" s="108">
        <v>3006</v>
      </c>
      <c r="E34" s="57">
        <f>+C34/D34</f>
        <v>6.8862275449101798E-2</v>
      </c>
      <c r="G34" s="89" t="s">
        <v>87</v>
      </c>
      <c r="H34" s="87">
        <v>111</v>
      </c>
      <c r="I34" s="88">
        <v>166.5</v>
      </c>
      <c r="J34" s="71"/>
    </row>
    <row r="35" spans="1:10" x14ac:dyDescent="0.25">
      <c r="C35" s="162">
        <f>+SUM(C32:C34)</f>
        <v>1948</v>
      </c>
      <c r="D35" s="110">
        <f>+SUM(D32:D34)</f>
        <v>7038</v>
      </c>
      <c r="E35" s="57">
        <f>+C35/D35</f>
        <v>0.27678317703893152</v>
      </c>
      <c r="G35" s="89" t="s">
        <v>91</v>
      </c>
      <c r="H35" s="87">
        <v>8</v>
      </c>
      <c r="I35" s="88">
        <v>12</v>
      </c>
      <c r="J35" s="71"/>
    </row>
    <row r="36" spans="1:10" ht="15" customHeight="1" x14ac:dyDescent="0.25">
      <c r="G36" s="89" t="s">
        <v>123</v>
      </c>
      <c r="H36" s="87">
        <v>97</v>
      </c>
      <c r="I36" s="88">
        <v>145.5</v>
      </c>
      <c r="J36" s="71"/>
    </row>
    <row r="37" spans="1:10" ht="15" customHeight="1" x14ac:dyDescent="0.25">
      <c r="B37" s="162" t="s">
        <v>66</v>
      </c>
      <c r="D37" s="162"/>
      <c r="G37" s="89" t="s">
        <v>96</v>
      </c>
      <c r="H37" s="87">
        <v>22</v>
      </c>
      <c r="I37" s="88">
        <v>33</v>
      </c>
      <c r="J37" s="71"/>
    </row>
    <row r="38" spans="1:10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244</v>
      </c>
      <c r="I38" s="88">
        <f>+H38*1.5</f>
        <v>366</v>
      </c>
      <c r="J38" s="189" t="s">
        <v>134</v>
      </c>
    </row>
    <row r="39" spans="1:10" x14ac:dyDescent="0.25">
      <c r="B39" s="73">
        <v>27</v>
      </c>
      <c r="C39" s="74">
        <v>2</v>
      </c>
      <c r="D39" s="74">
        <v>25</v>
      </c>
      <c r="E39" s="75">
        <f>+SUM(B39:D39)</f>
        <v>54</v>
      </c>
      <c r="J39" s="71"/>
    </row>
    <row r="40" spans="1:10" x14ac:dyDescent="0.25">
      <c r="E40" s="66" t="s">
        <v>76</v>
      </c>
      <c r="G40" s="144" t="s">
        <v>124</v>
      </c>
      <c r="H40" s="145">
        <v>30</v>
      </c>
      <c r="J40" s="71"/>
    </row>
    <row r="41" spans="1:10" x14ac:dyDescent="0.25">
      <c r="D41" s="162"/>
      <c r="F41" s="71" t="s">
        <v>90</v>
      </c>
      <c r="G41" s="144" t="s">
        <v>120</v>
      </c>
      <c r="H41" s="145">
        <v>12</v>
      </c>
      <c r="J41" s="71"/>
    </row>
    <row r="42" spans="1:10" x14ac:dyDescent="0.25">
      <c r="A42" s="162" t="s">
        <v>70</v>
      </c>
      <c r="B42" s="162">
        <v>0</v>
      </c>
      <c r="C42" s="162">
        <v>0</v>
      </c>
      <c r="D42" s="68">
        <v>2400</v>
      </c>
      <c r="E42" s="57">
        <f t="shared" ref="E42:E47" si="3">+C42/D42</f>
        <v>0</v>
      </c>
      <c r="F42" s="71">
        <v>7</v>
      </c>
      <c r="G42" s="144" t="s">
        <v>121</v>
      </c>
      <c r="H42" s="146">
        <v>53</v>
      </c>
      <c r="J42" s="71"/>
    </row>
    <row r="43" spans="1:10" x14ac:dyDescent="0.25">
      <c r="A43" s="162" t="s">
        <v>71</v>
      </c>
      <c r="B43" s="162">
        <v>7.58</v>
      </c>
      <c r="C43" s="162">
        <v>2176</v>
      </c>
      <c r="D43" s="68">
        <v>3600</v>
      </c>
      <c r="E43" s="57">
        <f t="shared" si="3"/>
        <v>0.60444444444444445</v>
      </c>
      <c r="F43" s="71">
        <v>12</v>
      </c>
      <c r="G43" s="71"/>
      <c r="J43" s="71"/>
    </row>
    <row r="44" spans="1:10" x14ac:dyDescent="0.25">
      <c r="A44" s="162" t="s">
        <v>72</v>
      </c>
      <c r="B44" s="162">
        <v>11.13</v>
      </c>
      <c r="C44" s="162">
        <v>284</v>
      </c>
      <c r="D44" s="68">
        <v>3900</v>
      </c>
      <c r="E44" s="57">
        <f t="shared" si="3"/>
        <v>7.2820512820512814E-2</v>
      </c>
      <c r="F44" s="71">
        <v>12</v>
      </c>
      <c r="G44" s="160" t="s">
        <v>128</v>
      </c>
      <c r="J44" s="71"/>
    </row>
    <row r="45" spans="1:10" x14ac:dyDescent="0.25">
      <c r="A45" s="162" t="s">
        <v>73</v>
      </c>
      <c r="B45" s="162">
        <v>15.11</v>
      </c>
      <c r="C45" s="162">
        <v>2932</v>
      </c>
      <c r="D45" s="68">
        <v>3900</v>
      </c>
      <c r="E45" s="57">
        <f t="shared" si="3"/>
        <v>0.75179487179487181</v>
      </c>
      <c r="F45" s="71">
        <v>10</v>
      </c>
      <c r="G45" s="154">
        <v>45811</v>
      </c>
      <c r="H45" s="155">
        <v>73</v>
      </c>
      <c r="J45" s="71"/>
    </row>
    <row r="46" spans="1:10" x14ac:dyDescent="0.25">
      <c r="A46" s="162" t="s">
        <v>74</v>
      </c>
      <c r="B46" s="162">
        <v>14.68</v>
      </c>
      <c r="C46" s="162">
        <v>2481</v>
      </c>
      <c r="D46" s="68">
        <v>3900</v>
      </c>
      <c r="E46" s="57">
        <f t="shared" si="3"/>
        <v>0.63615384615384618</v>
      </c>
      <c r="F46" s="71">
        <v>12</v>
      </c>
      <c r="G46" s="156">
        <v>45826</v>
      </c>
      <c r="H46" s="157">
        <v>29</v>
      </c>
      <c r="I46" s="520">
        <f>+SUM(H46:H48)</f>
        <v>133</v>
      </c>
      <c r="J46" s="71"/>
    </row>
    <row r="47" spans="1:10" x14ac:dyDescent="0.25">
      <c r="A47" s="162" t="s">
        <v>75</v>
      </c>
      <c r="B47" s="123">
        <v>0.4</v>
      </c>
      <c r="C47" s="124">
        <v>1766</v>
      </c>
      <c r="D47" s="128">
        <v>4300</v>
      </c>
      <c r="E47" s="126">
        <f t="shared" si="3"/>
        <v>0.41069767441860466</v>
      </c>
      <c r="F47" s="71">
        <v>16</v>
      </c>
      <c r="G47" s="156">
        <v>45826</v>
      </c>
      <c r="H47" s="157">
        <v>72</v>
      </c>
      <c r="I47" s="520"/>
      <c r="J47" s="71">
        <f>+I46*1.5</f>
        <v>199.5</v>
      </c>
    </row>
    <row r="48" spans="1:10" x14ac:dyDescent="0.25">
      <c r="C48" s="71" t="s">
        <v>83</v>
      </c>
      <c r="D48" s="72" t="s">
        <v>79</v>
      </c>
      <c r="G48" s="156">
        <v>45827</v>
      </c>
      <c r="H48" s="157">
        <v>32</v>
      </c>
      <c r="I48" s="520"/>
      <c r="J48" s="71"/>
    </row>
    <row r="49" spans="2:10" x14ac:dyDescent="0.25">
      <c r="B49" s="162" t="s">
        <v>78</v>
      </c>
      <c r="C49" s="71">
        <v>4</v>
      </c>
      <c r="D49" s="72"/>
      <c r="G49" s="144">
        <v>45828</v>
      </c>
      <c r="H49" s="146">
        <v>6</v>
      </c>
      <c r="I49" s="520">
        <f>+SUM(H49:H51)</f>
        <v>38</v>
      </c>
      <c r="J49" s="71"/>
    </row>
    <row r="50" spans="2:10" x14ac:dyDescent="0.25">
      <c r="C50" s="71">
        <v>5</v>
      </c>
      <c r="D50" s="108">
        <v>9</v>
      </c>
      <c r="G50" s="144">
        <v>45829</v>
      </c>
      <c r="H50" s="146">
        <v>12</v>
      </c>
      <c r="I50" s="520"/>
      <c r="J50" s="71">
        <f>+I49*1.5</f>
        <v>57</v>
      </c>
    </row>
    <row r="51" spans="2:10" x14ac:dyDescent="0.25">
      <c r="C51" s="71">
        <v>6</v>
      </c>
      <c r="D51" s="108">
        <v>9</v>
      </c>
      <c r="G51" s="144">
        <v>45830</v>
      </c>
      <c r="H51" s="146">
        <v>20</v>
      </c>
      <c r="I51" s="520"/>
      <c r="J51" s="71"/>
    </row>
    <row r="52" spans="2:10" x14ac:dyDescent="0.25">
      <c r="C52" s="71">
        <v>8</v>
      </c>
      <c r="I52" s="162">
        <f>+I46+I49</f>
        <v>171</v>
      </c>
      <c r="J52" s="71">
        <f>+J50+J47</f>
        <v>256.5</v>
      </c>
    </row>
    <row r="53" spans="2:10" x14ac:dyDescent="0.25">
      <c r="J53" s="71"/>
    </row>
  </sheetData>
  <protectedRanges>
    <protectedRange password="D554" sqref="H40:H41" name="Rango1_1_2" securityDescriptor="O:WDG:WDD:(A;;CC;;;S-1-5-21-602234756-1814372317-3751740159-65568)(A;;CC;;;S-1-5-21-602234756-1814372317-3751740159-104412)"/>
  </protectedRanges>
  <mergeCells count="4">
    <mergeCell ref="B1:D1"/>
    <mergeCell ref="B3:D3"/>
    <mergeCell ref="I46:I48"/>
    <mergeCell ref="I49:I51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selection activeCell="E1" sqref="E1:J20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16384" width="11.42578125" style="162"/>
  </cols>
  <sheetData>
    <row r="1" spans="1:10" ht="15" customHeight="1" x14ac:dyDescent="0.25">
      <c r="A1" s="161"/>
      <c r="B1" s="518">
        <v>45844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88"/>
      <c r="C4" s="188"/>
      <c r="D4" s="165">
        <f>D26</f>
        <v>4489.6959999999999</v>
      </c>
      <c r="F4" s="58" t="s">
        <v>51</v>
      </c>
      <c r="G4" s="59">
        <v>45838</v>
      </c>
      <c r="H4" s="58">
        <v>6219</v>
      </c>
      <c r="I4" s="141">
        <v>7807.4789999999994</v>
      </c>
      <c r="J4" s="60">
        <f>+I4/H4</f>
        <v>1.2554235407621803</v>
      </c>
    </row>
    <row r="5" spans="1:10" ht="15" customHeight="1" x14ac:dyDescent="0.25">
      <c r="A5" s="164"/>
      <c r="B5" s="168" t="s">
        <v>6</v>
      </c>
      <c r="C5" s="176">
        <v>3895</v>
      </c>
      <c r="D5" s="172">
        <v>166.07</v>
      </c>
      <c r="E5" s="80">
        <f>+D5/$D$4</f>
        <v>3.6989141358345863E-2</v>
      </c>
      <c r="F5" s="58" t="s">
        <v>52</v>
      </c>
      <c r="G5" s="59">
        <v>45839</v>
      </c>
      <c r="H5" s="58">
        <v>8082</v>
      </c>
      <c r="I5" s="141">
        <v>8301.6770000000015</v>
      </c>
      <c r="J5" s="60">
        <f t="shared" ref="J5:J11" si="0">+I5/H5</f>
        <v>1.0271810195496167</v>
      </c>
    </row>
    <row r="6" spans="1:10" ht="15" customHeight="1" x14ac:dyDescent="0.25">
      <c r="A6" s="164"/>
      <c r="B6" s="169" t="s">
        <v>10</v>
      </c>
      <c r="C6" s="177">
        <v>11679</v>
      </c>
      <c r="D6" s="173">
        <v>497.99399999999997</v>
      </c>
      <c r="E6" s="80">
        <f t="shared" ref="E6:E25" si="1">+D6/$D$4</f>
        <v>0.11091931391345873</v>
      </c>
      <c r="F6" s="58" t="s">
        <v>53</v>
      </c>
      <c r="G6" s="59">
        <v>45840</v>
      </c>
      <c r="H6" s="58">
        <v>7408</v>
      </c>
      <c r="I6" s="141">
        <v>7668.5070000000005</v>
      </c>
      <c r="J6" s="60">
        <f t="shared" si="0"/>
        <v>1.0351656317494602</v>
      </c>
    </row>
    <row r="7" spans="1:10" ht="15" customHeight="1" x14ac:dyDescent="0.25">
      <c r="A7" s="164"/>
      <c r="B7" s="169" t="s">
        <v>35</v>
      </c>
      <c r="C7" s="177">
        <v>16023</v>
      </c>
      <c r="D7" s="173">
        <v>683.58199999999999</v>
      </c>
      <c r="E7" s="80">
        <f t="shared" si="1"/>
        <v>0.15225574292780625</v>
      </c>
      <c r="F7" s="58" t="s">
        <v>54</v>
      </c>
      <c r="G7" s="59">
        <v>45841</v>
      </c>
      <c r="H7" s="58">
        <v>7964</v>
      </c>
      <c r="I7" s="141">
        <v>7668.5070000000005</v>
      </c>
      <c r="J7" s="60">
        <f t="shared" si="0"/>
        <v>0.96289640883977912</v>
      </c>
    </row>
    <row r="8" spans="1:10" ht="15" customHeight="1" x14ac:dyDescent="0.25">
      <c r="A8" s="164"/>
      <c r="B8" s="169" t="s">
        <v>4</v>
      </c>
      <c r="C8" s="177">
        <v>5490</v>
      </c>
      <c r="D8" s="173">
        <v>234.38</v>
      </c>
      <c r="E8" s="80">
        <f t="shared" si="1"/>
        <v>5.2203979957663058E-2</v>
      </c>
      <c r="F8" s="58" t="s">
        <v>55</v>
      </c>
      <c r="G8" s="59">
        <v>45842</v>
      </c>
      <c r="H8" s="58">
        <v>7126</v>
      </c>
      <c r="I8" s="141">
        <v>7094.15</v>
      </c>
      <c r="J8" s="60">
        <f t="shared" si="0"/>
        <v>0.99553045186640465</v>
      </c>
    </row>
    <row r="9" spans="1:10" ht="15" customHeight="1" x14ac:dyDescent="0.25">
      <c r="A9" s="164"/>
      <c r="B9" s="169" t="s">
        <v>37</v>
      </c>
      <c r="C9" s="177">
        <v>10290</v>
      </c>
      <c r="D9" s="173">
        <v>438.96399999999988</v>
      </c>
      <c r="E9" s="191">
        <f t="shared" si="1"/>
        <v>9.7771430404196613E-2</v>
      </c>
      <c r="F9" s="58" t="s">
        <v>56</v>
      </c>
      <c r="G9" s="59">
        <v>45843</v>
      </c>
      <c r="H9" s="58">
        <v>6314</v>
      </c>
      <c r="I9" s="141">
        <v>7469.03</v>
      </c>
      <c r="J9" s="60">
        <f t="shared" si="0"/>
        <v>1.1829315806145073</v>
      </c>
    </row>
    <row r="10" spans="1:10" ht="15" customHeight="1" x14ac:dyDescent="0.25">
      <c r="A10" s="164"/>
      <c r="B10" s="169" t="s">
        <v>38</v>
      </c>
      <c r="C10" s="177">
        <v>24721</v>
      </c>
      <c r="D10" s="173">
        <v>1054.2439999999999</v>
      </c>
      <c r="E10" s="191">
        <f t="shared" si="1"/>
        <v>0.23481411659052193</v>
      </c>
      <c r="F10" s="58" t="s">
        <v>57</v>
      </c>
      <c r="G10" s="59">
        <v>45844</v>
      </c>
      <c r="H10" s="58">
        <v>4537</v>
      </c>
      <c r="I10" s="141">
        <v>4489.6959999999999</v>
      </c>
      <c r="J10" s="60">
        <f t="shared" si="0"/>
        <v>0.98957372713246639</v>
      </c>
    </row>
    <row r="11" spans="1:10" ht="15" customHeight="1" x14ac:dyDescent="0.25">
      <c r="A11" s="164"/>
      <c r="B11" s="169" t="s">
        <v>42</v>
      </c>
      <c r="C11" s="177">
        <v>1550</v>
      </c>
      <c r="D11" s="173">
        <v>66.171999999999997</v>
      </c>
      <c r="E11" s="80">
        <f t="shared" si="1"/>
        <v>1.4738637092578206E-2</v>
      </c>
      <c r="H11" s="139">
        <f>+SUM(H4:H10)</f>
        <v>47650</v>
      </c>
      <c r="I11" s="142">
        <f>+SUM(I4:I10)</f>
        <v>50499.046000000002</v>
      </c>
      <c r="J11" s="140">
        <f t="shared" si="0"/>
        <v>1.0597911017838406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39</v>
      </c>
      <c r="C13" s="177">
        <v>192</v>
      </c>
      <c r="D13" s="173">
        <v>290.08</v>
      </c>
      <c r="E13" s="80">
        <f t="shared" si="1"/>
        <v>6.4610165142584261E-2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43</v>
      </c>
      <c r="C14" s="177">
        <v>139</v>
      </c>
      <c r="D14" s="173">
        <v>210.04999999999998</v>
      </c>
      <c r="E14" s="80">
        <f t="shared" si="1"/>
        <v>4.6784904813154386E-2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44</v>
      </c>
      <c r="C15" s="177">
        <v>66</v>
      </c>
      <c r="D15" s="173">
        <v>99.740000000000009</v>
      </c>
      <c r="E15" s="80">
        <f t="shared" si="1"/>
        <v>2.2215312573501639E-2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106</v>
      </c>
      <c r="D16" s="173">
        <v>159.5</v>
      </c>
      <c r="E16" s="80">
        <f t="shared" si="1"/>
        <v>3.5525790610321947E-2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0" ht="15" customHeight="1" x14ac:dyDescent="0.25">
      <c r="A17" s="164"/>
      <c r="B17" s="169" t="s">
        <v>41</v>
      </c>
      <c r="C17" s="177">
        <v>109</v>
      </c>
      <c r="D17" s="173">
        <v>163.85</v>
      </c>
      <c r="E17" s="80">
        <f t="shared" si="1"/>
        <v>3.6494675808785272E-2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0" ht="15" customHeight="1" x14ac:dyDescent="0.25">
      <c r="A18" s="164"/>
      <c r="B18" s="169" t="s">
        <v>118</v>
      </c>
      <c r="C18" s="177">
        <v>20</v>
      </c>
      <c r="D18" s="173">
        <v>30.12</v>
      </c>
      <c r="E18" s="80">
        <f t="shared" si="1"/>
        <v>6.708694753497787E-3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0" ht="15" customHeight="1" x14ac:dyDescent="0.25">
      <c r="A19" s="164"/>
      <c r="B19" s="169" t="s">
        <v>49</v>
      </c>
      <c r="C19" s="177"/>
      <c r="D19" s="173"/>
      <c r="E19" s="80">
        <f t="shared" si="1"/>
        <v>0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0" ht="15" customHeight="1" x14ac:dyDescent="0.25">
      <c r="A20" s="164"/>
      <c r="B20" s="169" t="s">
        <v>41</v>
      </c>
      <c r="C20" s="177"/>
      <c r="D20" s="173"/>
      <c r="E20" s="80">
        <f t="shared" si="1"/>
        <v>0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0" ht="15" customHeight="1" x14ac:dyDescent="0.25">
      <c r="A21" s="164"/>
      <c r="B21" s="169" t="s">
        <v>44</v>
      </c>
      <c r="C21" s="177"/>
      <c r="D21" s="173"/>
      <c r="E21" s="80">
        <f t="shared" si="1"/>
        <v>0</v>
      </c>
      <c r="G21" s="112" t="s">
        <v>135</v>
      </c>
      <c r="H21" s="190">
        <v>232937.965</v>
      </c>
      <c r="I21" s="190"/>
    </row>
    <row r="22" spans="1:10" ht="15" customHeight="1" x14ac:dyDescent="0.25">
      <c r="A22" s="164"/>
      <c r="B22" s="169" t="s">
        <v>136</v>
      </c>
      <c r="C22" s="177"/>
      <c r="D22" s="173"/>
      <c r="E22" s="80">
        <f t="shared" si="1"/>
        <v>0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0" ht="12.75" customHeight="1" x14ac:dyDescent="0.25">
      <c r="A23" s="164"/>
      <c r="B23" s="169" t="s">
        <v>9</v>
      </c>
      <c r="C23" s="177"/>
      <c r="D23" s="173">
        <v>91.64</v>
      </c>
      <c r="E23" s="80">
        <f t="shared" si="1"/>
        <v>2.0411181514294063E-2</v>
      </c>
    </row>
    <row r="24" spans="1:10" ht="15" customHeight="1" x14ac:dyDescent="0.25">
      <c r="A24" s="164"/>
      <c r="B24" s="169" t="s">
        <v>46</v>
      </c>
      <c r="C24" s="177"/>
      <c r="D24" s="173">
        <v>31.97</v>
      </c>
      <c r="E24" s="80">
        <f t="shared" si="1"/>
        <v>7.1207493781316154E-3</v>
      </c>
      <c r="I24" s="162" t="s">
        <v>130</v>
      </c>
      <c r="J24" s="71">
        <v>3577</v>
      </c>
    </row>
    <row r="25" spans="1:10" ht="15" customHeight="1" thickBot="1" x14ac:dyDescent="0.3">
      <c r="A25" s="164"/>
      <c r="B25" s="10" t="s">
        <v>40</v>
      </c>
      <c r="C25" s="54"/>
      <c r="D25" s="55">
        <v>271.34000000000003</v>
      </c>
      <c r="E25" s="80">
        <f t="shared" si="1"/>
        <v>6.0436163161158359E-2</v>
      </c>
      <c r="I25" s="162" t="s">
        <v>129</v>
      </c>
      <c r="J25" s="71">
        <v>442</v>
      </c>
    </row>
    <row r="26" spans="1:10" ht="15" customHeight="1" thickBot="1" x14ac:dyDescent="0.3">
      <c r="B26" s="178" t="s">
        <v>0</v>
      </c>
      <c r="C26" s="170"/>
      <c r="D26" s="171">
        <f>SUM(D5:D25)</f>
        <v>4489.6959999999999</v>
      </c>
      <c r="E26" s="98"/>
      <c r="I26" s="162" t="s">
        <v>131</v>
      </c>
      <c r="J26" s="186">
        <v>427</v>
      </c>
    </row>
    <row r="27" spans="1:10" ht="15" customHeight="1" x14ac:dyDescent="0.25">
      <c r="B27" s="166" t="s">
        <v>1</v>
      </c>
      <c r="C27" s="167"/>
      <c r="D27" s="174">
        <v>43189.343000000001</v>
      </c>
      <c r="E27" s="98">
        <f>+D27/E2</f>
        <v>0.19689514114300302</v>
      </c>
      <c r="F27" s="163"/>
      <c r="J27" s="71">
        <f>+SUM(J24:J26)</f>
        <v>4446</v>
      </c>
    </row>
    <row r="28" spans="1:10" x14ac:dyDescent="0.25">
      <c r="D28" s="193">
        <f>+(E2/31)*6</f>
        <v>42455.225806451614</v>
      </c>
      <c r="E28" s="98">
        <f>+D28/E2</f>
        <v>0.19354838709677419</v>
      </c>
      <c r="J28" s="71"/>
    </row>
    <row r="29" spans="1:10" x14ac:dyDescent="0.25">
      <c r="D29" s="183">
        <f>+D27-D28</f>
        <v>734.11719354838715</v>
      </c>
      <c r="E29" s="99">
        <f>+E27-E28</f>
        <v>3.3467540462288337E-3</v>
      </c>
      <c r="J29" s="71"/>
    </row>
    <row r="30" spans="1:10" x14ac:dyDescent="0.25">
      <c r="G30" s="163"/>
      <c r="J30" s="71"/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I31" s="162" t="s">
        <v>92</v>
      </c>
      <c r="J31" s="71"/>
    </row>
    <row r="32" spans="1:10" x14ac:dyDescent="0.25">
      <c r="B32" s="162" t="s">
        <v>61</v>
      </c>
      <c r="C32" s="162">
        <v>1779</v>
      </c>
      <c r="D32" s="108">
        <v>2142</v>
      </c>
      <c r="E32" s="57">
        <f>+C32/D32</f>
        <v>0.83053221288515411</v>
      </c>
      <c r="G32" s="86" t="s">
        <v>86</v>
      </c>
      <c r="H32" s="87">
        <v>6777</v>
      </c>
      <c r="I32" s="88">
        <v>169.42500000000001</v>
      </c>
      <c r="J32" s="71"/>
    </row>
    <row r="33" spans="1:10" x14ac:dyDescent="0.25">
      <c r="B33" s="162" t="s">
        <v>62</v>
      </c>
      <c r="C33" s="162">
        <v>1914</v>
      </c>
      <c r="D33" s="108">
        <v>1890</v>
      </c>
      <c r="E33" s="57">
        <f>+C33/D33</f>
        <v>1.0126984126984127</v>
      </c>
      <c r="G33" s="86" t="s">
        <v>104</v>
      </c>
      <c r="H33" s="87">
        <v>13</v>
      </c>
      <c r="I33" s="88">
        <v>0.32500000000000001</v>
      </c>
      <c r="J33" s="71"/>
    </row>
    <row r="34" spans="1:10" x14ac:dyDescent="0.25">
      <c r="B34" s="162" t="s">
        <v>63</v>
      </c>
      <c r="C34" s="67">
        <v>1298</v>
      </c>
      <c r="D34" s="108">
        <v>3006</v>
      </c>
      <c r="E34" s="57">
        <f>+C34/D34</f>
        <v>0.43180306054557549</v>
      </c>
      <c r="G34" s="89" t="s">
        <v>87</v>
      </c>
      <c r="H34" s="87">
        <v>115</v>
      </c>
      <c r="I34" s="88">
        <v>172.5</v>
      </c>
      <c r="J34" s="71"/>
    </row>
    <row r="35" spans="1:10" x14ac:dyDescent="0.25">
      <c r="C35" s="162">
        <f>+SUM(C32:C34)</f>
        <v>4991</v>
      </c>
      <c r="D35" s="110">
        <f>+SUM(D32:D34)</f>
        <v>7038</v>
      </c>
      <c r="E35" s="57">
        <f>+C35/D35</f>
        <v>0.70915032679738566</v>
      </c>
      <c r="G35" s="89" t="s">
        <v>91</v>
      </c>
      <c r="H35" s="87">
        <v>12</v>
      </c>
      <c r="I35" s="88">
        <v>18</v>
      </c>
      <c r="J35" s="71"/>
    </row>
    <row r="36" spans="1:10" x14ac:dyDescent="0.25">
      <c r="G36" s="89" t="s">
        <v>123</v>
      </c>
      <c r="H36" s="87">
        <v>97</v>
      </c>
      <c r="I36" s="88">
        <v>145.5</v>
      </c>
      <c r="J36" s="71"/>
    </row>
    <row r="37" spans="1:10" x14ac:dyDescent="0.25">
      <c r="B37" s="162" t="s">
        <v>66</v>
      </c>
      <c r="D37" s="162"/>
      <c r="G37" s="89" t="s">
        <v>96</v>
      </c>
      <c r="H37" s="87">
        <v>22</v>
      </c>
      <c r="I37" s="88">
        <v>33</v>
      </c>
      <c r="J37" s="71"/>
    </row>
    <row r="38" spans="1:10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244</v>
      </c>
      <c r="I38" s="88">
        <f>+H38*1.5</f>
        <v>366</v>
      </c>
      <c r="J38" s="189" t="s">
        <v>134</v>
      </c>
    </row>
    <row r="39" spans="1:10" x14ac:dyDescent="0.25">
      <c r="B39" s="73">
        <v>11</v>
      </c>
      <c r="C39" s="74">
        <v>2</v>
      </c>
      <c r="D39" s="74">
        <v>5</v>
      </c>
      <c r="E39" s="75">
        <f>+SUM(B39:D39)</f>
        <v>18</v>
      </c>
      <c r="J39" s="71"/>
    </row>
    <row r="40" spans="1:10" x14ac:dyDescent="0.25">
      <c r="E40" s="66" t="s">
        <v>76</v>
      </c>
      <c r="G40" s="144" t="s">
        <v>124</v>
      </c>
      <c r="H40" s="145">
        <v>30</v>
      </c>
      <c r="J40" s="71"/>
    </row>
    <row r="41" spans="1:10" x14ac:dyDescent="0.25">
      <c r="D41" s="162"/>
      <c r="F41" s="71" t="s">
        <v>90</v>
      </c>
      <c r="G41" s="144" t="s">
        <v>120</v>
      </c>
      <c r="H41" s="145">
        <v>12</v>
      </c>
      <c r="J41" s="71"/>
    </row>
    <row r="42" spans="1:10" x14ac:dyDescent="0.25">
      <c r="A42" s="162" t="s">
        <v>70</v>
      </c>
      <c r="B42" s="162">
        <v>0</v>
      </c>
      <c r="C42" s="162">
        <v>0</v>
      </c>
      <c r="D42" s="68">
        <v>2400</v>
      </c>
      <c r="E42" s="57">
        <f t="shared" ref="E42:E47" si="3">+C42/D42</f>
        <v>0</v>
      </c>
      <c r="F42" s="71">
        <v>7</v>
      </c>
      <c r="G42" s="144" t="s">
        <v>121</v>
      </c>
      <c r="H42" s="146">
        <v>53</v>
      </c>
      <c r="J42" s="71"/>
    </row>
    <row r="43" spans="1:10" x14ac:dyDescent="0.25">
      <c r="A43" s="162" t="s">
        <v>71</v>
      </c>
      <c r="B43" s="162">
        <v>5.16</v>
      </c>
      <c r="C43" s="162">
        <v>1406</v>
      </c>
      <c r="D43" s="68">
        <v>3600</v>
      </c>
      <c r="E43" s="57">
        <f t="shared" si="3"/>
        <v>0.39055555555555554</v>
      </c>
      <c r="F43" s="71">
        <v>12</v>
      </c>
      <c r="G43" s="71"/>
      <c r="J43" s="71"/>
    </row>
    <row r="44" spans="1:10" x14ac:dyDescent="0.25">
      <c r="A44" s="162" t="s">
        <v>72</v>
      </c>
      <c r="B44" s="162">
        <v>7.64</v>
      </c>
      <c r="C44" s="162">
        <v>0</v>
      </c>
      <c r="D44" s="68">
        <v>3900</v>
      </c>
      <c r="E44" s="57">
        <f t="shared" si="3"/>
        <v>0</v>
      </c>
      <c r="F44" s="71">
        <v>12</v>
      </c>
      <c r="G44" s="160" t="s">
        <v>128</v>
      </c>
      <c r="J44" s="71"/>
    </row>
    <row r="45" spans="1:10" x14ac:dyDescent="0.25">
      <c r="A45" s="162" t="s">
        <v>73</v>
      </c>
      <c r="B45" s="162">
        <v>13.34</v>
      </c>
      <c r="C45" s="162">
        <v>3561</v>
      </c>
      <c r="D45" s="68">
        <v>3900</v>
      </c>
      <c r="E45" s="57">
        <f t="shared" si="3"/>
        <v>0.91307692307692312</v>
      </c>
      <c r="F45" s="71">
        <v>10</v>
      </c>
      <c r="G45" s="154">
        <v>45811</v>
      </c>
      <c r="H45" s="155">
        <v>73</v>
      </c>
      <c r="J45" s="71"/>
    </row>
    <row r="46" spans="1:10" x14ac:dyDescent="0.25">
      <c r="A46" s="162" t="s">
        <v>74</v>
      </c>
      <c r="B46" s="162">
        <v>15.07</v>
      </c>
      <c r="C46" s="162">
        <v>1779</v>
      </c>
      <c r="D46" s="68">
        <v>3900</v>
      </c>
      <c r="E46" s="57">
        <f t="shared" si="3"/>
        <v>0.45615384615384613</v>
      </c>
      <c r="F46" s="71">
        <v>12</v>
      </c>
      <c r="G46" s="156">
        <v>45826</v>
      </c>
      <c r="H46" s="157">
        <v>29</v>
      </c>
      <c r="I46" s="520">
        <f>+SUM(H46:H48)</f>
        <v>133</v>
      </c>
      <c r="J46" s="71"/>
    </row>
    <row r="47" spans="1:10" x14ac:dyDescent="0.25">
      <c r="A47" s="162" t="s">
        <v>75</v>
      </c>
      <c r="B47" s="123">
        <v>5.4</v>
      </c>
      <c r="C47" s="124">
        <f>15070/B47</f>
        <v>2790.7407407407404</v>
      </c>
      <c r="D47" s="128">
        <v>4300</v>
      </c>
      <c r="E47" s="126">
        <f t="shared" si="3"/>
        <v>0.64900947459086988</v>
      </c>
      <c r="F47" s="71">
        <v>16</v>
      </c>
      <c r="G47" s="156">
        <v>45826</v>
      </c>
      <c r="H47" s="157">
        <v>72</v>
      </c>
      <c r="I47" s="520"/>
      <c r="J47" s="71">
        <f>+I46*1.5</f>
        <v>199.5</v>
      </c>
    </row>
    <row r="48" spans="1:10" x14ac:dyDescent="0.25">
      <c r="C48" s="71" t="s">
        <v>83</v>
      </c>
      <c r="D48" s="72" t="s">
        <v>79</v>
      </c>
      <c r="G48" s="156">
        <v>45827</v>
      </c>
      <c r="H48" s="157">
        <v>32</v>
      </c>
      <c r="I48" s="520"/>
      <c r="J48" s="71"/>
    </row>
    <row r="49" spans="2:10" x14ac:dyDescent="0.25">
      <c r="B49" s="162" t="s">
        <v>78</v>
      </c>
      <c r="C49" s="71">
        <v>4</v>
      </c>
      <c r="D49" s="72"/>
      <c r="G49" s="144">
        <v>45828</v>
      </c>
      <c r="H49" s="146">
        <v>6</v>
      </c>
      <c r="I49" s="520">
        <f>+SUM(H49:H51)</f>
        <v>38</v>
      </c>
      <c r="J49" s="71"/>
    </row>
    <row r="50" spans="2:10" x14ac:dyDescent="0.25">
      <c r="C50" s="71">
        <v>5</v>
      </c>
      <c r="D50" s="108">
        <v>9</v>
      </c>
      <c r="G50" s="144">
        <v>45829</v>
      </c>
      <c r="H50" s="146">
        <v>12</v>
      </c>
      <c r="I50" s="520"/>
      <c r="J50" s="71">
        <f>+I49*1.5</f>
        <v>57</v>
      </c>
    </row>
    <row r="51" spans="2:10" x14ac:dyDescent="0.25">
      <c r="C51" s="71">
        <v>6</v>
      </c>
      <c r="D51" s="108">
        <v>8</v>
      </c>
      <c r="G51" s="144">
        <v>45830</v>
      </c>
      <c r="H51" s="146">
        <v>20</v>
      </c>
      <c r="I51" s="520"/>
      <c r="J51" s="71"/>
    </row>
    <row r="52" spans="2:10" x14ac:dyDescent="0.25">
      <c r="C52" s="71">
        <v>8</v>
      </c>
      <c r="I52" s="162">
        <f>+I46+I49</f>
        <v>171</v>
      </c>
      <c r="J52" s="71">
        <f>+J50+J47</f>
        <v>256.5</v>
      </c>
    </row>
  </sheetData>
  <protectedRanges>
    <protectedRange password="D554" sqref="H40:H41" name="Rango1_1_2" securityDescriptor="O:WDG:WDD:(A;;CC;;;S-1-5-21-602234756-1814372317-3751740159-65568)(A;;CC;;;S-1-5-21-602234756-1814372317-3751740159-104412)"/>
  </protectedRanges>
  <mergeCells count="4">
    <mergeCell ref="B1:D1"/>
    <mergeCell ref="B3:D3"/>
    <mergeCell ref="I46:I48"/>
    <mergeCell ref="I49:I5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opLeftCell="A11" workbookViewId="0">
      <selection activeCell="H24" sqref="H24:I24"/>
    </sheetView>
  </sheetViews>
  <sheetFormatPr baseColWidth="10" defaultColWidth="11.42578125" defaultRowHeight="15.75" x14ac:dyDescent="0.25"/>
  <cols>
    <col min="1" max="1" width="3.5703125" style="162" bestFit="1" customWidth="1"/>
    <col min="2" max="2" width="50" style="162" bestFit="1" customWidth="1"/>
    <col min="3" max="3" width="15.28515625" style="162" customWidth="1"/>
    <col min="4" max="4" width="15.28515625" style="163" customWidth="1"/>
    <col min="5" max="10" width="11.42578125" style="162"/>
    <col min="11" max="11" width="6.7109375" style="162" bestFit="1" customWidth="1"/>
    <col min="12" max="16384" width="11.42578125" style="162"/>
  </cols>
  <sheetData>
    <row r="1" spans="1:10" ht="15" customHeight="1" x14ac:dyDescent="0.25">
      <c r="A1" s="161"/>
      <c r="B1" s="518">
        <v>45847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94"/>
      <c r="C4" s="194"/>
      <c r="D4" s="165">
        <f>D23</f>
        <v>8671.5470000000005</v>
      </c>
      <c r="F4" s="58" t="s">
        <v>51</v>
      </c>
      <c r="G4" s="59">
        <v>45845</v>
      </c>
      <c r="H4" s="58">
        <v>5582</v>
      </c>
      <c r="I4" s="141">
        <v>4917.75</v>
      </c>
      <c r="J4" s="60">
        <f>+I4/H4</f>
        <v>0.88100143317807234</v>
      </c>
    </row>
    <row r="5" spans="1:10" ht="15" customHeight="1" x14ac:dyDescent="0.25">
      <c r="A5" s="164"/>
      <c r="B5" s="168" t="s">
        <v>6</v>
      </c>
      <c r="C5" s="176">
        <v>6185</v>
      </c>
      <c r="D5" s="172">
        <v>263.86600000000004</v>
      </c>
      <c r="E5" s="80">
        <f>+D5/$D$4</f>
        <v>3.0428941917745474E-2</v>
      </c>
      <c r="F5" s="58" t="s">
        <v>52</v>
      </c>
      <c r="G5" s="59">
        <v>45846</v>
      </c>
      <c r="H5" s="58">
        <v>7770</v>
      </c>
      <c r="I5" s="141">
        <v>8542.68</v>
      </c>
      <c r="J5" s="60">
        <f t="shared" ref="J5:J11" si="0">+I5/H5</f>
        <v>1.0994440154440155</v>
      </c>
    </row>
    <row r="6" spans="1:10" ht="15" customHeight="1" x14ac:dyDescent="0.25">
      <c r="A6" s="164"/>
      <c r="B6" s="169" t="s">
        <v>10</v>
      </c>
      <c r="C6" s="177">
        <v>16873</v>
      </c>
      <c r="D6" s="173">
        <v>720.07199999999989</v>
      </c>
      <c r="E6" s="80">
        <f t="shared" ref="E6:E23" si="1">+D6/$D$4</f>
        <v>8.3038470528960961E-2</v>
      </c>
      <c r="F6" s="58" t="s">
        <v>53</v>
      </c>
      <c r="G6" s="59">
        <v>45847</v>
      </c>
      <c r="H6" s="58">
        <v>7799</v>
      </c>
      <c r="I6" s="141">
        <v>8671.5470000000005</v>
      </c>
      <c r="J6" s="60">
        <f t="shared" si="0"/>
        <v>1.1118793435055776</v>
      </c>
    </row>
    <row r="7" spans="1:10" ht="15" customHeight="1" x14ac:dyDescent="0.25">
      <c r="A7" s="164"/>
      <c r="B7" s="169" t="s">
        <v>35</v>
      </c>
      <c r="C7" s="177">
        <v>20242</v>
      </c>
      <c r="D7" s="173">
        <v>863.97199999999998</v>
      </c>
      <c r="E7" s="80">
        <f t="shared" si="1"/>
        <v>9.9632972063692898E-2</v>
      </c>
      <c r="F7" s="58" t="s">
        <v>54</v>
      </c>
      <c r="G7" s="59">
        <v>45848</v>
      </c>
      <c r="H7" s="58">
        <v>7772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7000</v>
      </c>
      <c r="D8" s="173">
        <v>298.55</v>
      </c>
      <c r="E8" s="80">
        <f t="shared" si="1"/>
        <v>3.4428689598291977E-2</v>
      </c>
      <c r="F8" s="58" t="s">
        <v>55</v>
      </c>
      <c r="G8" s="59">
        <v>45849</v>
      </c>
      <c r="H8" s="58">
        <v>7435.9999999999991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38691</v>
      </c>
      <c r="D9" s="173">
        <v>1650.2840000000003</v>
      </c>
      <c r="E9" s="191">
        <f t="shared" si="1"/>
        <v>0.1903102180037772</v>
      </c>
      <c r="F9" s="58" t="s">
        <v>56</v>
      </c>
      <c r="G9" s="59">
        <v>45850</v>
      </c>
      <c r="H9" s="58">
        <v>7202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44579</v>
      </c>
      <c r="D10" s="173">
        <v>1901.3069999999998</v>
      </c>
      <c r="E10" s="191">
        <f t="shared" si="1"/>
        <v>0.21925810930852357</v>
      </c>
      <c r="F10" s="58" t="s">
        <v>57</v>
      </c>
      <c r="G10" s="59">
        <v>45851</v>
      </c>
      <c r="H10" s="58">
        <v>5068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17079</v>
      </c>
      <c r="D11" s="173">
        <v>729.596</v>
      </c>
      <c r="E11" s="80">
        <f t="shared" si="1"/>
        <v>8.4136775133664146E-2</v>
      </c>
      <c r="H11" s="139">
        <f>+SUM(H4:H10)</f>
        <v>48629</v>
      </c>
      <c r="I11" s="142">
        <f>+SUM(I4:I10)</f>
        <v>22131.976999999999</v>
      </c>
      <c r="J11" s="140">
        <f t="shared" si="0"/>
        <v>0.45511890024470991</v>
      </c>
    </row>
    <row r="12" spans="1:10" ht="15" customHeight="1" x14ac:dyDescent="0.25">
      <c r="A12" s="164"/>
      <c r="B12" s="169" t="s">
        <v>44</v>
      </c>
      <c r="C12" s="177">
        <v>90</v>
      </c>
      <c r="D12" s="173">
        <v>136.32</v>
      </c>
      <c r="E12" s="80">
        <f t="shared" si="1"/>
        <v>1.5720378382311714E-2</v>
      </c>
    </row>
    <row r="13" spans="1:10" ht="15" customHeight="1" x14ac:dyDescent="0.25">
      <c r="A13" s="164"/>
      <c r="B13" s="169" t="s">
        <v>39</v>
      </c>
      <c r="C13" s="177">
        <v>398</v>
      </c>
      <c r="D13" s="173">
        <v>601.96</v>
      </c>
      <c r="E13" s="80">
        <f t="shared" si="1"/>
        <v>6.9417832827291373E-2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43</v>
      </c>
      <c r="C14" s="177">
        <v>227</v>
      </c>
      <c r="D14" s="173">
        <v>343.07000000000005</v>
      </c>
      <c r="E14" s="80">
        <f t="shared" si="1"/>
        <v>3.9562721622796948E-2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49</v>
      </c>
      <c r="C15" s="177">
        <v>44</v>
      </c>
      <c r="D15" s="173">
        <v>66.099999999999994</v>
      </c>
      <c r="E15" s="80">
        <f t="shared" si="1"/>
        <v>7.6226306563292557E-3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63</v>
      </c>
      <c r="D16" s="173">
        <v>94.72</v>
      </c>
      <c r="E16" s="80">
        <f t="shared" si="1"/>
        <v>1.0923079814939594E-2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0" ht="15" customHeight="1" x14ac:dyDescent="0.25">
      <c r="A17" s="164"/>
      <c r="B17" s="169" t="s">
        <v>41</v>
      </c>
      <c r="C17" s="177">
        <v>141</v>
      </c>
      <c r="D17" s="173">
        <v>212</v>
      </c>
      <c r="E17" s="80">
        <f t="shared" si="1"/>
        <v>2.4447771545261759E-2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0" ht="15" customHeight="1" x14ac:dyDescent="0.25">
      <c r="A18" s="164"/>
      <c r="B18" s="169" t="s">
        <v>85</v>
      </c>
      <c r="C18" s="177">
        <v>21</v>
      </c>
      <c r="D18" s="173">
        <v>31.51</v>
      </c>
      <c r="E18" s="80">
        <f t="shared" si="1"/>
        <v>3.6337230254301798E-3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0" ht="15" customHeight="1" x14ac:dyDescent="0.25">
      <c r="A19" s="164"/>
      <c r="B19" s="169" t="s">
        <v>88</v>
      </c>
      <c r="C19" s="177">
        <v>20</v>
      </c>
      <c r="D19" s="173">
        <v>29.72</v>
      </c>
      <c r="E19" s="80">
        <f t="shared" si="1"/>
        <v>3.427300803420658E-3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0" ht="15" customHeight="1" x14ac:dyDescent="0.25">
      <c r="A20" s="164"/>
      <c r="B20" s="169" t="s">
        <v>40</v>
      </c>
      <c r="C20" s="177"/>
      <c r="D20" s="173">
        <v>396.04999999999995</v>
      </c>
      <c r="E20" s="80">
        <f t="shared" si="1"/>
        <v>4.5672358115570376E-2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0" ht="15" customHeight="1" x14ac:dyDescent="0.25">
      <c r="A21" s="164"/>
      <c r="B21" s="169" t="s">
        <v>9</v>
      </c>
      <c r="C21" s="177"/>
      <c r="D21" s="173">
        <v>272.48</v>
      </c>
      <c r="E21" s="80">
        <f t="shared" si="1"/>
        <v>3.142230561628738E-2</v>
      </c>
      <c r="G21" s="112" t="s">
        <v>135</v>
      </c>
      <c r="H21" s="190">
        <v>232937.965</v>
      </c>
      <c r="I21" s="190"/>
    </row>
    <row r="22" spans="1:10" ht="15" customHeight="1" thickBot="1" x14ac:dyDescent="0.3">
      <c r="A22" s="164"/>
      <c r="B22" s="169" t="s">
        <v>46</v>
      </c>
      <c r="C22" s="177"/>
      <c r="D22" s="173">
        <v>59.97</v>
      </c>
      <c r="E22" s="80">
        <f t="shared" si="1"/>
        <v>6.9157210357044703E-3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0" ht="15" customHeight="1" thickBot="1" x14ac:dyDescent="0.3">
      <c r="B23" s="178" t="s">
        <v>0</v>
      </c>
      <c r="C23" s="170"/>
      <c r="D23" s="171">
        <f>SUM(D5:D22)</f>
        <v>8671.5470000000005</v>
      </c>
      <c r="E23" s="80">
        <f t="shared" si="1"/>
        <v>1</v>
      </c>
    </row>
    <row r="24" spans="1:10" ht="15" customHeight="1" x14ac:dyDescent="0.25">
      <c r="B24" s="166" t="s">
        <v>1</v>
      </c>
      <c r="C24" s="167"/>
      <c r="D24" s="174">
        <v>65354.50299999999</v>
      </c>
      <c r="E24" s="80">
        <f>+D24/$E$2</f>
        <v>0.29794350176884637</v>
      </c>
      <c r="H24" s="162" t="s">
        <v>130</v>
      </c>
      <c r="I24" s="71">
        <v>2833</v>
      </c>
      <c r="J24" s="71"/>
    </row>
    <row r="25" spans="1:10" x14ac:dyDescent="0.25">
      <c r="D25" s="193">
        <f>+(E2/31)*9</f>
        <v>63682.838709677424</v>
      </c>
      <c r="E25" s="98">
        <f>+D25/E2</f>
        <v>0.29032258064516131</v>
      </c>
      <c r="H25" s="162" t="s">
        <v>129</v>
      </c>
      <c r="I25" s="71">
        <v>476</v>
      </c>
      <c r="J25" s="71"/>
    </row>
    <row r="26" spans="1:10" x14ac:dyDescent="0.25">
      <c r="D26" s="138">
        <f>+D24-D25</f>
        <v>1671.6642903225656</v>
      </c>
      <c r="E26" s="99">
        <f>+E24-E25</f>
        <v>7.6209211236850649E-3</v>
      </c>
      <c r="H26" s="162" t="s">
        <v>131</v>
      </c>
      <c r="I26" s="186">
        <v>382</v>
      </c>
      <c r="J26" s="71"/>
    </row>
    <row r="27" spans="1:10" x14ac:dyDescent="0.25">
      <c r="G27" s="163"/>
      <c r="I27" s="71">
        <f>+SUM(I24:I26)</f>
        <v>3691</v>
      </c>
      <c r="J27" s="71"/>
    </row>
    <row r="28" spans="1:10" x14ac:dyDescent="0.25">
      <c r="B28" s="66" t="s">
        <v>60</v>
      </c>
      <c r="D28" s="109" t="s">
        <v>105</v>
      </c>
      <c r="E28" s="109" t="s">
        <v>80</v>
      </c>
      <c r="G28" s="163"/>
      <c r="I28" s="162" t="s">
        <v>92</v>
      </c>
      <c r="J28" s="71"/>
    </row>
    <row r="29" spans="1:10" x14ac:dyDescent="0.25">
      <c r="B29" s="162" t="s">
        <v>61</v>
      </c>
      <c r="C29" s="162">
        <v>435</v>
      </c>
      <c r="D29" s="108">
        <v>2142</v>
      </c>
      <c r="E29" s="57">
        <f>+C29/D29</f>
        <v>0.2030812324929972</v>
      </c>
      <c r="G29" s="86" t="s">
        <v>86</v>
      </c>
      <c r="H29" s="87">
        <v>6777</v>
      </c>
      <c r="I29" s="88">
        <v>169.42500000000001</v>
      </c>
      <c r="J29" s="71"/>
    </row>
    <row r="30" spans="1:10" x14ac:dyDescent="0.25">
      <c r="B30" s="162" t="s">
        <v>62</v>
      </c>
      <c r="C30" s="162">
        <v>1247</v>
      </c>
      <c r="D30" s="108">
        <v>1890</v>
      </c>
      <c r="E30" s="57">
        <f>+C30/D30</f>
        <v>0.65978835978835981</v>
      </c>
      <c r="G30" s="86" t="s">
        <v>104</v>
      </c>
      <c r="H30" s="87">
        <v>13</v>
      </c>
      <c r="I30" s="88">
        <v>0.32500000000000001</v>
      </c>
      <c r="J30" s="71"/>
    </row>
    <row r="31" spans="1:10" x14ac:dyDescent="0.25">
      <c r="B31" s="162" t="s">
        <v>63</v>
      </c>
      <c r="C31" s="67">
        <v>1440</v>
      </c>
      <c r="D31" s="108">
        <v>3006</v>
      </c>
      <c r="E31" s="57">
        <f>+C31/D31</f>
        <v>0.47904191616766467</v>
      </c>
      <c r="G31" s="89" t="s">
        <v>87</v>
      </c>
      <c r="H31" s="87">
        <v>115</v>
      </c>
      <c r="I31" s="88">
        <v>172.5</v>
      </c>
      <c r="J31" s="71"/>
    </row>
    <row r="32" spans="1:10" x14ac:dyDescent="0.25">
      <c r="C32" s="162">
        <f>+SUM(C29:C31)</f>
        <v>3122</v>
      </c>
      <c r="D32" s="110">
        <f>+SUM(D29:D31)</f>
        <v>7038</v>
      </c>
      <c r="E32" s="57">
        <f>+C32/D32</f>
        <v>0.44359192952543336</v>
      </c>
      <c r="G32" s="89" t="s">
        <v>91</v>
      </c>
      <c r="H32" s="87">
        <v>12</v>
      </c>
      <c r="I32" s="88">
        <v>18</v>
      </c>
      <c r="J32" s="71"/>
    </row>
    <row r="33" spans="1:11" x14ac:dyDescent="0.25">
      <c r="G33" s="89" t="s">
        <v>123</v>
      </c>
      <c r="H33" s="87">
        <v>97</v>
      </c>
      <c r="I33" s="88">
        <v>145.5</v>
      </c>
      <c r="J33" s="71"/>
    </row>
    <row r="34" spans="1:11" ht="15" customHeight="1" x14ac:dyDescent="0.25">
      <c r="B34" s="162" t="s">
        <v>66</v>
      </c>
      <c r="D34" s="162"/>
      <c r="G34" s="89" t="s">
        <v>96</v>
      </c>
      <c r="H34" s="87">
        <v>22</v>
      </c>
      <c r="I34" s="88">
        <v>33</v>
      </c>
      <c r="J34" s="71"/>
    </row>
    <row r="35" spans="1:11" x14ac:dyDescent="0.25">
      <c r="B35" s="76" t="s">
        <v>67</v>
      </c>
      <c r="C35" s="77" t="s">
        <v>68</v>
      </c>
      <c r="D35" s="78" t="s">
        <v>69</v>
      </c>
      <c r="E35" s="79" t="s">
        <v>33</v>
      </c>
      <c r="G35" s="89" t="s">
        <v>107</v>
      </c>
      <c r="H35" s="87">
        <v>244</v>
      </c>
      <c r="I35" s="88">
        <f>+H35*1.5</f>
        <v>366</v>
      </c>
      <c r="J35" s="189" t="s">
        <v>134</v>
      </c>
    </row>
    <row r="36" spans="1:11" x14ac:dyDescent="0.25">
      <c r="B36" s="73">
        <v>35</v>
      </c>
      <c r="C36" s="74">
        <v>1</v>
      </c>
      <c r="D36" s="74">
        <v>9</v>
      </c>
      <c r="E36" s="75">
        <f>+SUM(B36:D36)</f>
        <v>45</v>
      </c>
      <c r="J36" s="71"/>
    </row>
    <row r="37" spans="1:11" x14ac:dyDescent="0.25">
      <c r="E37" s="198" t="s">
        <v>76</v>
      </c>
      <c r="F37" s="198" t="s">
        <v>137</v>
      </c>
      <c r="H37" s="144" t="s">
        <v>124</v>
      </c>
      <c r="I37" s="145">
        <v>30</v>
      </c>
      <c r="K37" s="71"/>
    </row>
    <row r="38" spans="1:11" x14ac:dyDescent="0.25">
      <c r="D38" s="162"/>
      <c r="G38" s="71" t="s">
        <v>90</v>
      </c>
      <c r="H38" s="144" t="s">
        <v>120</v>
      </c>
      <c r="I38" s="145">
        <v>12</v>
      </c>
      <c r="K38" s="71"/>
    </row>
    <row r="39" spans="1:11" x14ac:dyDescent="0.25">
      <c r="A39" s="207" t="s">
        <v>70</v>
      </c>
      <c r="B39" s="199">
        <v>0</v>
      </c>
      <c r="C39" s="199">
        <v>0</v>
      </c>
      <c r="D39" s="200">
        <v>2400</v>
      </c>
      <c r="E39" s="201">
        <f t="shared" ref="E39:E44" si="3">+C39/D39</f>
        <v>0</v>
      </c>
      <c r="F39" s="201">
        <f t="shared" ref="F39:F44" si="4">+B39/24</f>
        <v>0</v>
      </c>
      <c r="G39" s="202">
        <v>7</v>
      </c>
      <c r="H39" s="144" t="s">
        <v>121</v>
      </c>
      <c r="I39" s="146">
        <v>53</v>
      </c>
      <c r="K39" s="71"/>
    </row>
    <row r="40" spans="1:11" x14ac:dyDescent="0.25">
      <c r="A40" s="207" t="s">
        <v>71</v>
      </c>
      <c r="B40" s="199">
        <v>14.82</v>
      </c>
      <c r="C40" s="199">
        <v>1697</v>
      </c>
      <c r="D40" s="200">
        <v>3600</v>
      </c>
      <c r="E40" s="201">
        <f t="shared" si="3"/>
        <v>0.47138888888888891</v>
      </c>
      <c r="F40" s="201">
        <f t="shared" si="4"/>
        <v>0.61750000000000005</v>
      </c>
      <c r="G40" s="202">
        <v>11</v>
      </c>
      <c r="H40" s="71"/>
      <c r="K40" s="71"/>
    </row>
    <row r="41" spans="1:11" x14ac:dyDescent="0.25">
      <c r="A41" s="207" t="s">
        <v>72</v>
      </c>
      <c r="B41" s="199">
        <v>10.98</v>
      </c>
      <c r="C41" s="199">
        <v>0</v>
      </c>
      <c r="D41" s="200">
        <v>3900</v>
      </c>
      <c r="E41" s="201">
        <f t="shared" si="3"/>
        <v>0</v>
      </c>
      <c r="F41" s="201">
        <f t="shared" si="4"/>
        <v>0.45750000000000002</v>
      </c>
      <c r="G41" s="202">
        <v>12</v>
      </c>
      <c r="H41" s="160" t="s">
        <v>128</v>
      </c>
      <c r="K41" s="71"/>
    </row>
    <row r="42" spans="1:11" x14ac:dyDescent="0.25">
      <c r="A42" s="207" t="s">
        <v>73</v>
      </c>
      <c r="B42" s="199">
        <v>16.420000000000002</v>
      </c>
      <c r="C42" s="199">
        <v>2436</v>
      </c>
      <c r="D42" s="200">
        <v>3900</v>
      </c>
      <c r="E42" s="201">
        <f t="shared" si="3"/>
        <v>0.62461538461538457</v>
      </c>
      <c r="F42" s="201">
        <f t="shared" si="4"/>
        <v>0.6841666666666667</v>
      </c>
      <c r="G42" s="202">
        <v>11</v>
      </c>
      <c r="H42" s="154">
        <v>45811</v>
      </c>
      <c r="I42" s="155">
        <v>73</v>
      </c>
      <c r="K42" s="71"/>
    </row>
    <row r="43" spans="1:11" x14ac:dyDescent="0.25">
      <c r="A43" s="207" t="s">
        <v>74</v>
      </c>
      <c r="B43" s="199">
        <v>16.829999999999998</v>
      </c>
      <c r="C43" s="199">
        <v>2344</v>
      </c>
      <c r="D43" s="200">
        <v>3900</v>
      </c>
      <c r="E43" s="201">
        <f t="shared" si="3"/>
        <v>0.60102564102564104</v>
      </c>
      <c r="F43" s="201">
        <f t="shared" si="4"/>
        <v>0.70124999999999993</v>
      </c>
      <c r="G43" s="202">
        <v>12</v>
      </c>
      <c r="H43" s="156">
        <v>45826</v>
      </c>
      <c r="I43" s="157">
        <v>29</v>
      </c>
      <c r="J43" s="195">
        <f>+SUM(I43:I45)</f>
        <v>133</v>
      </c>
      <c r="K43" s="71"/>
    </row>
    <row r="44" spans="1:11" x14ac:dyDescent="0.25">
      <c r="A44" s="207" t="s">
        <v>75</v>
      </c>
      <c r="B44" s="203">
        <v>7.43</v>
      </c>
      <c r="C44" s="204">
        <f>21080/B44</f>
        <v>2837.1467025572006</v>
      </c>
      <c r="D44" s="205">
        <v>4300</v>
      </c>
      <c r="E44" s="206">
        <f t="shared" si="3"/>
        <v>0.65980155873423274</v>
      </c>
      <c r="F44" s="201">
        <f t="shared" si="4"/>
        <v>0.30958333333333332</v>
      </c>
      <c r="G44" s="202">
        <v>16</v>
      </c>
      <c r="H44" s="156">
        <v>45826</v>
      </c>
      <c r="I44" s="157">
        <v>72</v>
      </c>
      <c r="J44" s="195"/>
      <c r="K44" s="71">
        <f>+J43*1.5</f>
        <v>199.5</v>
      </c>
    </row>
    <row r="45" spans="1:11" x14ac:dyDescent="0.25">
      <c r="C45" s="71" t="s">
        <v>83</v>
      </c>
      <c r="D45" s="72" t="s">
        <v>79</v>
      </c>
      <c r="H45" s="156">
        <v>45827</v>
      </c>
      <c r="I45" s="157">
        <v>32</v>
      </c>
      <c r="J45" s="195"/>
      <c r="K45" s="71"/>
    </row>
    <row r="46" spans="1:11" x14ac:dyDescent="0.25">
      <c r="B46" s="162" t="s">
        <v>78</v>
      </c>
      <c r="C46" s="71">
        <v>4</v>
      </c>
      <c r="D46" s="72"/>
      <c r="H46" s="144">
        <v>45828</v>
      </c>
      <c r="I46" s="146">
        <v>6</v>
      </c>
      <c r="J46" s="195">
        <f>+SUM(I46:I48)</f>
        <v>38</v>
      </c>
      <c r="K46" s="71"/>
    </row>
    <row r="47" spans="1:11" x14ac:dyDescent="0.25">
      <c r="C47" s="71">
        <v>5</v>
      </c>
      <c r="D47" s="108">
        <v>8</v>
      </c>
      <c r="H47" s="144">
        <v>45829</v>
      </c>
      <c r="I47" s="146">
        <v>12</v>
      </c>
      <c r="J47" s="195"/>
      <c r="K47" s="71">
        <f>+J46*1.5</f>
        <v>57</v>
      </c>
    </row>
    <row r="48" spans="1:11" x14ac:dyDescent="0.25">
      <c r="C48" s="71">
        <v>6</v>
      </c>
      <c r="D48" s="108">
        <v>9</v>
      </c>
      <c r="H48" s="144">
        <v>45830</v>
      </c>
      <c r="I48" s="146">
        <v>20</v>
      </c>
      <c r="J48" s="195"/>
      <c r="K48" s="71"/>
    </row>
    <row r="49" spans="3:11" x14ac:dyDescent="0.25">
      <c r="C49" s="71">
        <v>8</v>
      </c>
      <c r="J49" s="162">
        <f>+J43+J46</f>
        <v>171</v>
      </c>
      <c r="K49" s="71">
        <f>+K47+K44</f>
        <v>256.5</v>
      </c>
    </row>
  </sheetData>
  <protectedRanges>
    <protectedRange password="D554" sqref="I37:I38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opLeftCell="A10" workbookViewId="0">
      <selection activeCell="E31" sqref="E31"/>
    </sheetView>
  </sheetViews>
  <sheetFormatPr baseColWidth="10" defaultColWidth="11.42578125" defaultRowHeight="15.75" x14ac:dyDescent="0.25"/>
  <cols>
    <col min="1" max="1" width="3.5703125" style="162" bestFit="1" customWidth="1"/>
    <col min="2" max="2" width="44.5703125" style="162" customWidth="1"/>
    <col min="3" max="3" width="15.28515625" style="162" customWidth="1"/>
    <col min="4" max="4" width="15.28515625" style="163" customWidth="1"/>
    <col min="5" max="9" width="11.42578125" style="162"/>
    <col min="10" max="10" width="8" style="162" customWidth="1"/>
    <col min="11" max="11" width="7.5703125" style="162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94"/>
      <c r="C4" s="194"/>
      <c r="D4" s="165">
        <f>D22</f>
        <v>8913.9510000000009</v>
      </c>
      <c r="F4" s="58" t="s">
        <v>51</v>
      </c>
      <c r="G4" s="59">
        <v>45845</v>
      </c>
      <c r="H4" s="58">
        <v>5582</v>
      </c>
      <c r="I4" s="141">
        <v>4917.75</v>
      </c>
      <c r="J4" s="60">
        <f>+I4/H4</f>
        <v>0.88100143317807234</v>
      </c>
    </row>
    <row r="5" spans="1:10" ht="15" customHeight="1" x14ac:dyDescent="0.25">
      <c r="A5" s="164"/>
      <c r="B5" s="168" t="s">
        <v>6</v>
      </c>
      <c r="C5" s="176">
        <v>3178</v>
      </c>
      <c r="D5" s="172">
        <v>135.714</v>
      </c>
      <c r="E5" s="80">
        <f>+D5/$D$4</f>
        <v>1.5224898588740278E-2</v>
      </c>
      <c r="F5" s="58" t="s">
        <v>52</v>
      </c>
      <c r="G5" s="59">
        <v>45846</v>
      </c>
      <c r="H5" s="58">
        <v>7770</v>
      </c>
      <c r="I5" s="141">
        <v>8542.68</v>
      </c>
      <c r="J5" s="60">
        <f t="shared" ref="J5:J11" si="0">+I5/H5</f>
        <v>1.0994440154440155</v>
      </c>
    </row>
    <row r="6" spans="1:10" ht="15" customHeight="1" x14ac:dyDescent="0.25">
      <c r="A6" s="164"/>
      <c r="B6" s="169" t="s">
        <v>10</v>
      </c>
      <c r="C6" s="177">
        <v>17592</v>
      </c>
      <c r="D6" s="173">
        <v>751.45800000000008</v>
      </c>
      <c r="E6" s="80">
        <f t="shared" ref="E6:E22" si="1">+D6/$D$4</f>
        <v>8.4301338430063169E-2</v>
      </c>
      <c r="F6" s="58" t="s">
        <v>53</v>
      </c>
      <c r="G6" s="59">
        <v>45847</v>
      </c>
      <c r="H6" s="58">
        <v>7799</v>
      </c>
      <c r="I6" s="141">
        <v>8671.5470000000005</v>
      </c>
      <c r="J6" s="60">
        <f t="shared" si="0"/>
        <v>1.1118793435055776</v>
      </c>
    </row>
    <row r="7" spans="1:10" ht="15" customHeight="1" x14ac:dyDescent="0.25">
      <c r="A7" s="164"/>
      <c r="B7" s="169" t="s">
        <v>35</v>
      </c>
      <c r="C7" s="177">
        <v>27780</v>
      </c>
      <c r="D7" s="173">
        <v>1186.2</v>
      </c>
      <c r="E7" s="80">
        <f t="shared" si="1"/>
        <v>0.13307230430142591</v>
      </c>
      <c r="F7" s="58" t="s">
        <v>54</v>
      </c>
      <c r="G7" s="59">
        <v>45848</v>
      </c>
      <c r="H7" s="58">
        <v>7772</v>
      </c>
      <c r="I7" s="141">
        <v>8913.9510000000009</v>
      </c>
      <c r="J7" s="60">
        <f t="shared" si="0"/>
        <v>1.1469314204837882</v>
      </c>
    </row>
    <row r="8" spans="1:10" ht="15" customHeight="1" x14ac:dyDescent="0.25">
      <c r="A8" s="164"/>
      <c r="B8" s="169" t="s">
        <v>4</v>
      </c>
      <c r="C8" s="177">
        <v>1530</v>
      </c>
      <c r="D8" s="173">
        <v>65.28</v>
      </c>
      <c r="E8" s="80">
        <f t="shared" si="1"/>
        <v>7.3233519008574308E-3</v>
      </c>
      <c r="F8" s="58" t="s">
        <v>55</v>
      </c>
      <c r="G8" s="59">
        <v>45849</v>
      </c>
      <c r="H8" s="58">
        <v>7435.9999999999991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35607</v>
      </c>
      <c r="D9" s="173">
        <v>1520.096</v>
      </c>
      <c r="E9" s="191">
        <f t="shared" si="1"/>
        <v>0.1705299928168777</v>
      </c>
      <c r="F9" s="58" t="s">
        <v>56</v>
      </c>
      <c r="G9" s="59">
        <v>45850</v>
      </c>
      <c r="H9" s="58">
        <v>7202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52220</v>
      </c>
      <c r="D10" s="173">
        <v>2228.6290000000004</v>
      </c>
      <c r="E10" s="191">
        <f t="shared" si="1"/>
        <v>0.250015845947549</v>
      </c>
      <c r="F10" s="58" t="s">
        <v>57</v>
      </c>
      <c r="G10" s="59">
        <v>45851</v>
      </c>
      <c r="H10" s="58">
        <v>5068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16225</v>
      </c>
      <c r="D11" s="173">
        <v>693.35400000000016</v>
      </c>
      <c r="E11" s="80">
        <f t="shared" si="1"/>
        <v>7.7783016756542644E-2</v>
      </c>
      <c r="H11" s="139">
        <f>+SUM(H4:H10)</f>
        <v>48629</v>
      </c>
      <c r="I11" s="142">
        <f>+SUM(I4:I10)</f>
        <v>31045.928</v>
      </c>
      <c r="J11" s="140">
        <f t="shared" si="0"/>
        <v>0.63842415019844123</v>
      </c>
    </row>
    <row r="12" spans="1:10" ht="15" customHeight="1" x14ac:dyDescent="0.25">
      <c r="A12" s="164"/>
      <c r="B12" s="169" t="s">
        <v>39</v>
      </c>
      <c r="C12" s="177">
        <v>590</v>
      </c>
      <c r="D12" s="173">
        <v>892.94999999999982</v>
      </c>
      <c r="E12" s="80">
        <f t="shared" si="1"/>
        <v>0.10017443443429291</v>
      </c>
    </row>
    <row r="13" spans="1:10" ht="15" customHeight="1" x14ac:dyDescent="0.25">
      <c r="A13" s="164"/>
      <c r="B13" s="169" t="s">
        <v>43</v>
      </c>
      <c r="C13" s="177">
        <v>185</v>
      </c>
      <c r="D13" s="173">
        <v>279.94</v>
      </c>
      <c r="E13" s="80">
        <f t="shared" si="1"/>
        <v>3.1404704827298242E-2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49</v>
      </c>
      <c r="C14" s="177">
        <v>82</v>
      </c>
      <c r="D14" s="173">
        <v>123.38</v>
      </c>
      <c r="E14" s="80">
        <f t="shared" si="1"/>
        <v>1.3841224839580113E-2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45</v>
      </c>
      <c r="C15" s="177">
        <v>43</v>
      </c>
      <c r="D15" s="173">
        <v>64.58</v>
      </c>
      <c r="E15" s="80">
        <f t="shared" si="1"/>
        <v>7.2448233112342659E-3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41</v>
      </c>
      <c r="C16" s="177">
        <v>125</v>
      </c>
      <c r="D16" s="173">
        <v>188.22</v>
      </c>
      <c r="E16" s="80">
        <f t="shared" si="1"/>
        <v>2.1115215912674411E-2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0" ht="15" customHeight="1" x14ac:dyDescent="0.25">
      <c r="A17" s="164"/>
      <c r="B17" s="169" t="s">
        <v>88</v>
      </c>
      <c r="C17" s="177">
        <v>60</v>
      </c>
      <c r="D17" s="173">
        <v>58.83</v>
      </c>
      <c r="E17" s="80">
        <f t="shared" si="1"/>
        <v>6.5997670393296969E-3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0" ht="15" customHeight="1" x14ac:dyDescent="0.25">
      <c r="A18" s="164"/>
      <c r="B18" s="169" t="s">
        <v>118</v>
      </c>
      <c r="C18" s="177">
        <v>1</v>
      </c>
      <c r="D18" s="173">
        <v>1.5</v>
      </c>
      <c r="E18" s="80">
        <f t="shared" si="1"/>
        <v>1.682755491924961E-4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0" ht="15" customHeight="1" x14ac:dyDescent="0.25">
      <c r="A19" s="164"/>
      <c r="B19" s="169" t="s">
        <v>40</v>
      </c>
      <c r="C19" s="177"/>
      <c r="D19" s="173">
        <v>480.4</v>
      </c>
      <c r="E19" s="80">
        <f t="shared" si="1"/>
        <v>5.3893049221383417E-2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0" ht="15" customHeight="1" x14ac:dyDescent="0.25">
      <c r="A20" s="164"/>
      <c r="B20" s="169" t="s">
        <v>9</v>
      </c>
      <c r="C20" s="177"/>
      <c r="D20" s="173">
        <v>181.04</v>
      </c>
      <c r="E20" s="80">
        <f t="shared" si="1"/>
        <v>2.0309736950539663E-2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0" ht="15" customHeight="1" thickBot="1" x14ac:dyDescent="0.3">
      <c r="A21" s="164"/>
      <c r="B21" s="169" t="s">
        <v>46</v>
      </c>
      <c r="C21" s="177"/>
      <c r="D21" s="173">
        <v>62.38</v>
      </c>
      <c r="E21" s="80">
        <f t="shared" si="1"/>
        <v>6.9980191724186049E-3</v>
      </c>
      <c r="G21" s="112" t="s">
        <v>135</v>
      </c>
      <c r="H21" s="190">
        <v>232937.965</v>
      </c>
      <c r="I21" s="190"/>
    </row>
    <row r="22" spans="1:10" ht="15" customHeight="1" thickBot="1" x14ac:dyDescent="0.3">
      <c r="B22" s="178" t="s">
        <v>0</v>
      </c>
      <c r="C22" s="170"/>
      <c r="D22" s="171">
        <f>SUM(D5:D21)</f>
        <v>8913.9510000000009</v>
      </c>
      <c r="E22" s="80">
        <f t="shared" si="1"/>
        <v>1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0" ht="15" customHeight="1" x14ac:dyDescent="0.25">
      <c r="B23" s="166" t="s">
        <v>1</v>
      </c>
      <c r="C23" s="167"/>
      <c r="D23" s="174">
        <v>74576.003999999972</v>
      </c>
      <c r="E23" s="57">
        <f>+D23/$E$2</f>
        <v>0.33998324154783166</v>
      </c>
      <c r="H23" s="208" t="s">
        <v>130</v>
      </c>
      <c r="I23" s="209">
        <v>2833</v>
      </c>
    </row>
    <row r="24" spans="1:10" ht="15" customHeight="1" x14ac:dyDescent="0.25">
      <c r="D24" s="193">
        <f>+(E2/31)*10</f>
        <v>70758.709677419363</v>
      </c>
      <c r="E24" s="98">
        <f>+D24/E2</f>
        <v>0.32258064516129037</v>
      </c>
      <c r="H24" s="210" t="s">
        <v>129</v>
      </c>
      <c r="I24" s="211">
        <v>476</v>
      </c>
      <c r="J24" s="71"/>
    </row>
    <row r="25" spans="1:10" x14ac:dyDescent="0.25">
      <c r="D25" s="138">
        <f>+D23-D24</f>
        <v>3817.2943225806084</v>
      </c>
      <c r="E25" s="99">
        <f>+E23-E24</f>
        <v>1.7402596386541291E-2</v>
      </c>
      <c r="H25" s="210" t="s">
        <v>131</v>
      </c>
      <c r="I25" s="212">
        <v>382</v>
      </c>
      <c r="J25" s="71"/>
    </row>
    <row r="26" spans="1:10" ht="15" customHeight="1" x14ac:dyDescent="0.25">
      <c r="G26" s="163"/>
      <c r="H26" s="213"/>
      <c r="I26" s="75">
        <f>+SUM(I23:I25)</f>
        <v>3691</v>
      </c>
      <c r="J26" s="71"/>
    </row>
    <row r="27" spans="1:10" x14ac:dyDescent="0.25">
      <c r="B27" s="66" t="s">
        <v>60</v>
      </c>
      <c r="D27" s="109" t="s">
        <v>105</v>
      </c>
      <c r="E27" s="109" t="s">
        <v>80</v>
      </c>
      <c r="G27" s="163"/>
      <c r="I27" s="162" t="s">
        <v>92</v>
      </c>
      <c r="J27" s="71"/>
    </row>
    <row r="28" spans="1:10" x14ac:dyDescent="0.25">
      <c r="B28" s="162" t="s">
        <v>61</v>
      </c>
      <c r="C28" s="162">
        <v>820</v>
      </c>
      <c r="D28" s="108">
        <v>2142</v>
      </c>
      <c r="E28" s="57">
        <f>+C28/D28</f>
        <v>0.38281979458450049</v>
      </c>
      <c r="G28" s="86" t="s">
        <v>86</v>
      </c>
      <c r="H28" s="87">
        <v>6786</v>
      </c>
      <c r="I28" s="88">
        <v>169.65</v>
      </c>
      <c r="J28" s="71"/>
    </row>
    <row r="29" spans="1:10" x14ac:dyDescent="0.25">
      <c r="B29" s="162" t="s">
        <v>62</v>
      </c>
      <c r="C29" s="162">
        <v>1546</v>
      </c>
      <c r="D29" s="108">
        <v>1890</v>
      </c>
      <c r="E29" s="57">
        <f>+C29/D29</f>
        <v>0.81798941798941804</v>
      </c>
      <c r="G29" s="86" t="s">
        <v>104</v>
      </c>
      <c r="H29" s="87">
        <v>14</v>
      </c>
      <c r="I29" s="88">
        <v>0.35000000000000003</v>
      </c>
      <c r="J29" s="71"/>
    </row>
    <row r="30" spans="1:10" x14ac:dyDescent="0.25">
      <c r="B30" s="162" t="s">
        <v>138</v>
      </c>
      <c r="C30" s="67">
        <v>1850</v>
      </c>
      <c r="D30" s="108">
        <v>3006</v>
      </c>
      <c r="E30" s="57">
        <f>+C30/D30</f>
        <v>0.61543579507651369</v>
      </c>
      <c r="G30" s="89" t="s">
        <v>87</v>
      </c>
      <c r="H30" s="87">
        <v>91</v>
      </c>
      <c r="I30" s="88">
        <f>+H30*1.5</f>
        <v>136.5</v>
      </c>
      <c r="J30" s="71" t="s">
        <v>139</v>
      </c>
    </row>
    <row r="31" spans="1:10" x14ac:dyDescent="0.25">
      <c r="C31" s="162">
        <f>+SUM(C28:C30)</f>
        <v>4216</v>
      </c>
      <c r="D31" s="110">
        <f>+SUM(D28:D30)</f>
        <v>7038</v>
      </c>
      <c r="E31" s="57">
        <f>+C31/D31</f>
        <v>0.59903381642512077</v>
      </c>
      <c r="G31" s="89" t="s">
        <v>91</v>
      </c>
      <c r="H31" s="87">
        <v>12</v>
      </c>
      <c r="I31" s="88">
        <v>18</v>
      </c>
      <c r="J31" s="71"/>
    </row>
    <row r="32" spans="1:10" ht="15" customHeight="1" x14ac:dyDescent="0.25">
      <c r="G32" s="89" t="s">
        <v>123</v>
      </c>
      <c r="H32" s="87">
        <v>97</v>
      </c>
      <c r="I32" s="88">
        <v>145.5</v>
      </c>
      <c r="J32" s="71"/>
    </row>
    <row r="33" spans="1:11" x14ac:dyDescent="0.25">
      <c r="B33" s="162" t="s">
        <v>66</v>
      </c>
      <c r="D33" s="162"/>
      <c r="G33" s="89" t="s">
        <v>96</v>
      </c>
      <c r="H33" s="87">
        <v>22</v>
      </c>
      <c r="I33" s="88">
        <v>33</v>
      </c>
      <c r="J33" s="71"/>
    </row>
    <row r="34" spans="1:11" ht="15" customHeight="1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244</v>
      </c>
      <c r="I34" s="88">
        <f>+H34*1.5</f>
        <v>366</v>
      </c>
      <c r="J34" s="189" t="s">
        <v>134</v>
      </c>
    </row>
    <row r="35" spans="1:11" x14ac:dyDescent="0.25">
      <c r="B35" s="73">
        <v>12</v>
      </c>
      <c r="C35" s="74">
        <v>2</v>
      </c>
      <c r="D35" s="74">
        <v>25</v>
      </c>
      <c r="E35" s="75">
        <f>+SUM(B35:D35)</f>
        <v>39</v>
      </c>
      <c r="J35" s="71"/>
    </row>
    <row r="36" spans="1:11" x14ac:dyDescent="0.25">
      <c r="E36" s="198" t="s">
        <v>76</v>
      </c>
      <c r="F36" s="198" t="s">
        <v>137</v>
      </c>
      <c r="H36" s="144" t="s">
        <v>124</v>
      </c>
      <c r="I36" s="145">
        <v>30</v>
      </c>
      <c r="K36" s="71"/>
    </row>
    <row r="37" spans="1:11" x14ac:dyDescent="0.25">
      <c r="D37" s="162"/>
      <c r="G37" s="71" t="s">
        <v>90</v>
      </c>
      <c r="H37" s="144" t="s">
        <v>120</v>
      </c>
      <c r="I37" s="145">
        <v>12</v>
      </c>
      <c r="K37" s="71"/>
    </row>
    <row r="38" spans="1:11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146">
        <v>53</v>
      </c>
      <c r="K38" s="71"/>
    </row>
    <row r="39" spans="1:11" x14ac:dyDescent="0.25">
      <c r="A39" s="207" t="s">
        <v>71</v>
      </c>
      <c r="B39" s="199">
        <v>13.44</v>
      </c>
      <c r="C39" s="199">
        <v>1724</v>
      </c>
      <c r="D39" s="200">
        <v>3600</v>
      </c>
      <c r="E39" s="201">
        <f t="shared" si="3"/>
        <v>0.47888888888888886</v>
      </c>
      <c r="F39" s="201">
        <f t="shared" si="4"/>
        <v>0.55999999999999994</v>
      </c>
      <c r="G39" s="202">
        <v>11</v>
      </c>
      <c r="H39" s="71"/>
      <c r="K39" s="71"/>
    </row>
    <row r="40" spans="1:11" x14ac:dyDescent="0.25">
      <c r="A40" s="207" t="s">
        <v>72</v>
      </c>
      <c r="B40" s="199">
        <v>13.13</v>
      </c>
      <c r="C40" s="199">
        <v>0</v>
      </c>
      <c r="D40" s="200">
        <v>3900</v>
      </c>
      <c r="E40" s="201">
        <f t="shared" si="3"/>
        <v>0</v>
      </c>
      <c r="F40" s="201">
        <f t="shared" si="4"/>
        <v>0.54708333333333337</v>
      </c>
      <c r="G40" s="202">
        <v>12</v>
      </c>
      <c r="H40" s="160" t="s">
        <v>128</v>
      </c>
      <c r="K40" s="71"/>
    </row>
    <row r="41" spans="1:11" x14ac:dyDescent="0.25">
      <c r="A41" s="207" t="s">
        <v>73</v>
      </c>
      <c r="B41" s="199">
        <v>16.13</v>
      </c>
      <c r="C41" s="199">
        <v>2673</v>
      </c>
      <c r="D41" s="200">
        <v>3900</v>
      </c>
      <c r="E41" s="201">
        <f t="shared" si="3"/>
        <v>0.68538461538461537</v>
      </c>
      <c r="F41" s="201">
        <f t="shared" si="4"/>
        <v>0.67208333333333325</v>
      </c>
      <c r="G41" s="202">
        <v>11</v>
      </c>
      <c r="H41" s="154">
        <v>45811</v>
      </c>
      <c r="I41" s="155">
        <v>73</v>
      </c>
      <c r="K41" s="71"/>
    </row>
    <row r="42" spans="1:11" x14ac:dyDescent="0.25">
      <c r="A42" s="207" t="s">
        <v>74</v>
      </c>
      <c r="B42" s="199">
        <v>14.04</v>
      </c>
      <c r="C42" s="199">
        <v>2594</v>
      </c>
      <c r="D42" s="200">
        <v>3900</v>
      </c>
      <c r="E42" s="201">
        <f t="shared" si="3"/>
        <v>0.66512820512820514</v>
      </c>
      <c r="F42" s="201">
        <f t="shared" si="4"/>
        <v>0.58499999999999996</v>
      </c>
      <c r="G42" s="202">
        <v>12</v>
      </c>
      <c r="H42" s="156">
        <v>45826</v>
      </c>
      <c r="I42" s="157">
        <v>29</v>
      </c>
      <c r="J42" s="195">
        <f>+SUM(I42:I44)</f>
        <v>133</v>
      </c>
      <c r="K42" s="71"/>
    </row>
    <row r="43" spans="1:11" x14ac:dyDescent="0.25">
      <c r="A43" s="207" t="s">
        <v>75</v>
      </c>
      <c r="B43" s="203">
        <v>5.91</v>
      </c>
      <c r="C43" s="204">
        <v>2770</v>
      </c>
      <c r="D43" s="205">
        <v>4300</v>
      </c>
      <c r="E43" s="206">
        <f t="shared" si="3"/>
        <v>0.64418604651162792</v>
      </c>
      <c r="F43" s="201">
        <f t="shared" si="4"/>
        <v>0.24625</v>
      </c>
      <c r="G43" s="202">
        <v>16</v>
      </c>
      <c r="H43" s="156">
        <v>45826</v>
      </c>
      <c r="I43" s="157">
        <v>72</v>
      </c>
      <c r="J43" s="195"/>
      <c r="K43" s="71">
        <f>+J42*1.5</f>
        <v>199.5</v>
      </c>
    </row>
    <row r="44" spans="1:11" x14ac:dyDescent="0.25">
      <c r="C44" s="71" t="s">
        <v>83</v>
      </c>
      <c r="D44" s="72" t="s">
        <v>79</v>
      </c>
      <c r="H44" s="156">
        <v>45827</v>
      </c>
      <c r="I44" s="157">
        <v>32</v>
      </c>
      <c r="J44" s="195"/>
      <c r="K44" s="71"/>
    </row>
    <row r="45" spans="1:11" x14ac:dyDescent="0.25">
      <c r="B45" s="162" t="s">
        <v>78</v>
      </c>
      <c r="C45" s="71">
        <v>4</v>
      </c>
      <c r="D45" s="72"/>
      <c r="H45" s="144">
        <v>45828</v>
      </c>
      <c r="I45" s="146">
        <v>6</v>
      </c>
      <c r="J45" s="195">
        <f>+SUM(I45:I47)</f>
        <v>38</v>
      </c>
      <c r="K45" s="71"/>
    </row>
    <row r="46" spans="1:11" x14ac:dyDescent="0.25">
      <c r="C46" s="71">
        <v>5</v>
      </c>
      <c r="D46" s="108">
        <v>7</v>
      </c>
      <c r="H46" s="144">
        <v>45829</v>
      </c>
      <c r="I46" s="146">
        <v>12</v>
      </c>
      <c r="J46" s="195"/>
      <c r="K46" s="71">
        <f>+J45*1.5</f>
        <v>57</v>
      </c>
    </row>
    <row r="47" spans="1:11" x14ac:dyDescent="0.25">
      <c r="C47" s="71">
        <v>6</v>
      </c>
      <c r="D47" s="108">
        <v>7</v>
      </c>
      <c r="H47" s="144">
        <v>45830</v>
      </c>
      <c r="I47" s="146">
        <v>20</v>
      </c>
      <c r="J47" s="195"/>
      <c r="K47" s="71"/>
    </row>
    <row r="48" spans="1:11" x14ac:dyDescent="0.25">
      <c r="C48" s="71">
        <v>8</v>
      </c>
      <c r="J48" s="162">
        <f>+J42+J45</f>
        <v>171</v>
      </c>
      <c r="K48" s="71">
        <f>+K46+K43</f>
        <v>256.5</v>
      </c>
    </row>
  </sheetData>
  <protectedRanges>
    <protectedRange password="D554" sqref="I36:I37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opLeftCell="A7" workbookViewId="0">
      <selection activeCell="E30" sqref="C28:E30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16384" width="11.42578125" style="162"/>
  </cols>
  <sheetData>
    <row r="1" spans="1:10" ht="15" customHeight="1" x14ac:dyDescent="0.25">
      <c r="A1" s="161"/>
      <c r="B1" s="518">
        <v>45851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94"/>
      <c r="C4" s="194"/>
      <c r="D4" s="165">
        <f>D20</f>
        <v>4587.1610000000001</v>
      </c>
      <c r="F4" s="58" t="s">
        <v>51</v>
      </c>
      <c r="G4" s="59">
        <v>45845</v>
      </c>
      <c r="H4" s="58">
        <v>5582</v>
      </c>
      <c r="I4" s="141">
        <v>4917.75</v>
      </c>
      <c r="J4" s="60">
        <f>+I4/H4</f>
        <v>0.88100143317807234</v>
      </c>
    </row>
    <row r="5" spans="1:10" ht="15" customHeight="1" x14ac:dyDescent="0.25">
      <c r="A5" s="164"/>
      <c r="B5" s="168" t="s">
        <v>6</v>
      </c>
      <c r="C5" s="176">
        <v>1470</v>
      </c>
      <c r="D5" s="172">
        <v>62.61</v>
      </c>
      <c r="E5" s="80">
        <f>+D5/$D$4</f>
        <v>1.3648965013436414E-2</v>
      </c>
      <c r="F5" s="58" t="s">
        <v>52</v>
      </c>
      <c r="G5" s="59">
        <v>45846</v>
      </c>
      <c r="H5" s="58">
        <v>7770</v>
      </c>
      <c r="I5" s="141">
        <v>8542.68</v>
      </c>
      <c r="J5" s="60">
        <f t="shared" ref="J5:J11" si="0">+I5/H5</f>
        <v>1.0994440154440155</v>
      </c>
    </row>
    <row r="6" spans="1:10" ht="15" customHeight="1" x14ac:dyDescent="0.25">
      <c r="A6" s="164"/>
      <c r="B6" s="169" t="s">
        <v>10</v>
      </c>
      <c r="C6" s="177">
        <v>7084</v>
      </c>
      <c r="D6" s="173">
        <v>301.76</v>
      </c>
      <c r="E6" s="80">
        <f t="shared" ref="E6:E20" si="1">+D6/$D$4</f>
        <v>6.578360776959867E-2</v>
      </c>
      <c r="F6" s="58" t="s">
        <v>53</v>
      </c>
      <c r="G6" s="59">
        <v>45847</v>
      </c>
      <c r="H6" s="58">
        <v>7799</v>
      </c>
      <c r="I6" s="141">
        <v>8671.5470000000005</v>
      </c>
      <c r="J6" s="60">
        <f t="shared" si="0"/>
        <v>1.1118793435055776</v>
      </c>
    </row>
    <row r="7" spans="1:10" ht="15" customHeight="1" x14ac:dyDescent="0.25">
      <c r="A7" s="164"/>
      <c r="B7" s="169" t="s">
        <v>35</v>
      </c>
      <c r="C7" s="177">
        <v>11663</v>
      </c>
      <c r="D7" s="173">
        <v>496.71999999999997</v>
      </c>
      <c r="E7" s="80">
        <f t="shared" si="1"/>
        <v>0.10828484110324446</v>
      </c>
      <c r="F7" s="58" t="s">
        <v>54</v>
      </c>
      <c r="G7" s="59">
        <v>45848</v>
      </c>
      <c r="H7" s="58">
        <v>7772</v>
      </c>
      <c r="I7" s="141">
        <v>8913.9510000000009</v>
      </c>
      <c r="J7" s="60">
        <f t="shared" si="0"/>
        <v>1.1469314204837882</v>
      </c>
    </row>
    <row r="8" spans="1:10" ht="15" customHeight="1" x14ac:dyDescent="0.25">
      <c r="A8" s="164"/>
      <c r="B8" s="169" t="s">
        <v>4</v>
      </c>
      <c r="C8" s="177">
        <v>3770</v>
      </c>
      <c r="D8" s="173">
        <v>160.63999999999999</v>
      </c>
      <c r="E8" s="80">
        <f t="shared" si="1"/>
        <v>3.5019481548609253E-2</v>
      </c>
      <c r="F8" s="58" t="s">
        <v>55</v>
      </c>
      <c r="G8" s="59">
        <v>45849</v>
      </c>
      <c r="H8" s="58">
        <v>7435.9999999999991</v>
      </c>
      <c r="I8" s="141">
        <v>7220.04</v>
      </c>
      <c r="J8" s="60">
        <f t="shared" si="0"/>
        <v>0.97095750403442727</v>
      </c>
    </row>
    <row r="9" spans="1:10" ht="15" customHeight="1" x14ac:dyDescent="0.25">
      <c r="A9" s="164"/>
      <c r="B9" s="169" t="s">
        <v>37</v>
      </c>
      <c r="C9" s="177">
        <v>18874</v>
      </c>
      <c r="D9" s="173">
        <v>805.06799999999998</v>
      </c>
      <c r="E9" s="191">
        <f t="shared" si="1"/>
        <v>0.17550463129591484</v>
      </c>
      <c r="F9" s="58" t="s">
        <v>56</v>
      </c>
      <c r="G9" s="59">
        <v>45850</v>
      </c>
      <c r="H9" s="58">
        <v>7202</v>
      </c>
      <c r="I9" s="141">
        <v>6847.84</v>
      </c>
      <c r="J9" s="60">
        <f t="shared" si="0"/>
        <v>0.95082477089697304</v>
      </c>
    </row>
    <row r="10" spans="1:10" ht="15" customHeight="1" x14ac:dyDescent="0.25">
      <c r="A10" s="164"/>
      <c r="B10" s="169" t="s">
        <v>38</v>
      </c>
      <c r="C10" s="177">
        <v>36099</v>
      </c>
      <c r="D10" s="173">
        <v>1538.8049999999996</v>
      </c>
      <c r="E10" s="191">
        <f t="shared" si="1"/>
        <v>0.33545912166588432</v>
      </c>
      <c r="F10" s="58" t="s">
        <v>57</v>
      </c>
      <c r="G10" s="59">
        <v>45851</v>
      </c>
      <c r="H10" s="58">
        <v>5068</v>
      </c>
      <c r="I10" s="141">
        <v>4587.16</v>
      </c>
      <c r="J10" s="60">
        <f t="shared" si="0"/>
        <v>0.90512233622730853</v>
      </c>
    </row>
    <row r="11" spans="1:10" ht="15" customHeight="1" x14ac:dyDescent="0.25">
      <c r="A11" s="164"/>
      <c r="B11" s="169" t="s">
        <v>42</v>
      </c>
      <c r="C11" s="177">
        <v>6383</v>
      </c>
      <c r="D11" s="173">
        <v>272.08199999999999</v>
      </c>
      <c r="E11" s="80">
        <f t="shared" si="1"/>
        <v>5.9313810873435659E-2</v>
      </c>
      <c r="H11" s="139">
        <f>+SUM(H4:H10)</f>
        <v>48629</v>
      </c>
      <c r="I11" s="142">
        <f>+SUM(I4:I10)</f>
        <v>49700.968000000008</v>
      </c>
      <c r="J11" s="140">
        <f t="shared" si="0"/>
        <v>1.0220438010240804</v>
      </c>
    </row>
    <row r="12" spans="1:10" ht="15" customHeight="1" x14ac:dyDescent="0.25">
      <c r="A12" s="164"/>
      <c r="B12" s="169" t="s">
        <v>47</v>
      </c>
      <c r="C12" s="177">
        <v>1350</v>
      </c>
      <c r="D12" s="173">
        <v>34.015999999999998</v>
      </c>
      <c r="E12" s="80">
        <f t="shared" si="1"/>
        <v>7.4154798578031159E-3</v>
      </c>
    </row>
    <row r="13" spans="1:10" ht="15" customHeight="1" x14ac:dyDescent="0.25">
      <c r="A13" s="164"/>
      <c r="B13" s="169" t="s">
        <v>39</v>
      </c>
      <c r="C13" s="177">
        <v>21</v>
      </c>
      <c r="D13" s="173">
        <v>31.71</v>
      </c>
      <c r="E13" s="80">
        <f t="shared" si="1"/>
        <v>6.912772409775894E-3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49</v>
      </c>
      <c r="C14" s="177">
        <v>81</v>
      </c>
      <c r="D14" s="173">
        <v>121.95</v>
      </c>
      <c r="E14" s="80">
        <f t="shared" si="1"/>
        <v>2.658507080959225E-2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45</v>
      </c>
      <c r="C15" s="177">
        <v>24</v>
      </c>
      <c r="D15" s="173">
        <v>36.04</v>
      </c>
      <c r="E15" s="80">
        <f t="shared" si="1"/>
        <v>7.8567113733309119E-3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41</v>
      </c>
      <c r="C16" s="177">
        <v>63</v>
      </c>
      <c r="D16" s="173">
        <v>95.09</v>
      </c>
      <c r="E16" s="80">
        <f t="shared" si="1"/>
        <v>2.0729597238902234E-2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0" ht="15" customHeight="1" x14ac:dyDescent="0.25">
      <c r="A17" s="164"/>
      <c r="B17" s="169" t="s">
        <v>85</v>
      </c>
      <c r="C17" s="177">
        <v>135</v>
      </c>
      <c r="D17" s="173">
        <v>203.73000000000002</v>
      </c>
      <c r="E17" s="80">
        <f t="shared" si="1"/>
        <v>4.4413091234425828E-2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0" ht="15" customHeight="1" x14ac:dyDescent="0.25">
      <c r="A18" s="164"/>
      <c r="B18" s="169" t="s">
        <v>9</v>
      </c>
      <c r="C18" s="177"/>
      <c r="D18" s="173">
        <v>152.51</v>
      </c>
      <c r="E18" s="80">
        <f t="shared" si="1"/>
        <v>3.3247143494636443E-2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0" ht="15" customHeight="1" thickBot="1" x14ac:dyDescent="0.3">
      <c r="A19" s="164"/>
      <c r="B19" s="169" t="s">
        <v>40</v>
      </c>
      <c r="C19" s="177"/>
      <c r="D19" s="173">
        <v>274.43</v>
      </c>
      <c r="E19" s="80">
        <f t="shared" si="1"/>
        <v>5.9825674311409609E-2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0" ht="15" customHeight="1" thickBot="1" x14ac:dyDescent="0.3">
      <c r="B20" s="178" t="s">
        <v>0</v>
      </c>
      <c r="C20" s="170"/>
      <c r="D20" s="171">
        <f>SUM(D5:D19)</f>
        <v>4587.1610000000001</v>
      </c>
      <c r="E20" s="57">
        <f t="shared" si="1"/>
        <v>1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0" ht="15" customHeight="1" x14ac:dyDescent="0.25">
      <c r="B21" s="166" t="s">
        <v>1</v>
      </c>
      <c r="C21" s="167"/>
      <c r="D21" s="174">
        <v>93726.618999999962</v>
      </c>
      <c r="E21" s="57">
        <f>+D21/$E$2</f>
        <v>0.42728864564717878</v>
      </c>
      <c r="G21" s="112" t="s">
        <v>135</v>
      </c>
      <c r="H21" s="190">
        <v>232937.965</v>
      </c>
      <c r="I21" s="190"/>
    </row>
    <row r="22" spans="1:10" ht="15" customHeight="1" x14ac:dyDescent="0.25">
      <c r="D22" s="193">
        <f>+(E2/31)*13</f>
        <v>91986.322580645166</v>
      </c>
      <c r="E22" s="98">
        <f>+D22/E2</f>
        <v>0.41935483870967744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0" x14ac:dyDescent="0.25">
      <c r="D23" s="138">
        <f>+D21-D22</f>
        <v>1740.2964193547959</v>
      </c>
      <c r="E23" s="99">
        <f>+E21-E22</f>
        <v>7.933806937501342E-3</v>
      </c>
      <c r="H23" s="208" t="s">
        <v>130</v>
      </c>
      <c r="I23" s="209">
        <v>2833</v>
      </c>
    </row>
    <row r="24" spans="1:10" ht="15" customHeight="1" x14ac:dyDescent="0.25">
      <c r="D24" s="162"/>
      <c r="H24" s="210" t="s">
        <v>129</v>
      </c>
      <c r="I24" s="211">
        <v>476</v>
      </c>
      <c r="J24" s="71"/>
    </row>
    <row r="25" spans="1:10" x14ac:dyDescent="0.25">
      <c r="D25" s="162"/>
      <c r="H25" s="210" t="s">
        <v>131</v>
      </c>
      <c r="I25" s="212">
        <v>382</v>
      </c>
      <c r="J25" s="71"/>
    </row>
    <row r="26" spans="1:10" x14ac:dyDescent="0.25">
      <c r="G26" s="163"/>
      <c r="H26" s="213"/>
      <c r="I26" s="75">
        <f>+SUM(I23:I25)</f>
        <v>3691</v>
      </c>
      <c r="J26" s="71"/>
    </row>
    <row r="27" spans="1:10" x14ac:dyDescent="0.25">
      <c r="B27" s="66" t="s">
        <v>60</v>
      </c>
      <c r="D27" s="109" t="s">
        <v>105</v>
      </c>
      <c r="E27" s="109" t="s">
        <v>80</v>
      </c>
      <c r="G27" s="163"/>
      <c r="I27" s="162" t="s">
        <v>92</v>
      </c>
      <c r="J27" s="71"/>
    </row>
    <row r="28" spans="1:10" x14ac:dyDescent="0.25">
      <c r="B28" s="162" t="s">
        <v>61</v>
      </c>
      <c r="C28" s="162">
        <v>969</v>
      </c>
      <c r="D28" s="108">
        <v>2142</v>
      </c>
      <c r="E28" s="57">
        <f>+C28/D28</f>
        <v>0.45238095238095238</v>
      </c>
      <c r="G28" s="86" t="s">
        <v>86</v>
      </c>
      <c r="H28" s="87">
        <v>6122</v>
      </c>
      <c r="I28" s="88">
        <v>153.05000000000001</v>
      </c>
      <c r="J28" s="71"/>
    </row>
    <row r="29" spans="1:10" ht="15" customHeight="1" x14ac:dyDescent="0.25">
      <c r="B29" s="162" t="s">
        <v>62</v>
      </c>
      <c r="C29" s="162">
        <v>1461</v>
      </c>
      <c r="D29" s="108">
        <v>1890</v>
      </c>
      <c r="E29" s="57">
        <f>+C29/D29</f>
        <v>0.77301587301587305</v>
      </c>
      <c r="G29" s="86" t="s">
        <v>104</v>
      </c>
      <c r="H29" s="87">
        <v>14</v>
      </c>
      <c r="I29" s="88">
        <v>0.35000000000000003</v>
      </c>
      <c r="J29" s="71"/>
    </row>
    <row r="30" spans="1:10" ht="15" customHeight="1" x14ac:dyDescent="0.25">
      <c r="B30" s="162" t="s">
        <v>140</v>
      </c>
      <c r="C30" s="67">
        <v>3550</v>
      </c>
      <c r="D30" s="108">
        <v>3006</v>
      </c>
      <c r="E30" s="57">
        <f>+C30/D30</f>
        <v>1.1809713905522288</v>
      </c>
      <c r="G30" s="89" t="s">
        <v>87</v>
      </c>
      <c r="H30" s="87">
        <v>72</v>
      </c>
      <c r="I30" s="88">
        <v>108</v>
      </c>
      <c r="J30" s="71" t="s">
        <v>139</v>
      </c>
    </row>
    <row r="31" spans="1:10" x14ac:dyDescent="0.25">
      <c r="C31" s="162">
        <f>+SUM(C28:C30)</f>
        <v>5980</v>
      </c>
      <c r="D31" s="110">
        <f>+SUM(D28:D30)</f>
        <v>7038</v>
      </c>
      <c r="E31" s="57">
        <f>+C31/D31</f>
        <v>0.84967320261437906</v>
      </c>
      <c r="G31" s="89" t="s">
        <v>91</v>
      </c>
      <c r="H31" s="87">
        <v>253</v>
      </c>
      <c r="I31" s="88">
        <v>379.5</v>
      </c>
      <c r="J31" s="71"/>
    </row>
    <row r="32" spans="1:10" ht="15" customHeight="1" x14ac:dyDescent="0.25">
      <c r="G32" s="89" t="s">
        <v>123</v>
      </c>
      <c r="H32" s="87">
        <f>+I36+I38</f>
        <v>83</v>
      </c>
      <c r="I32" s="88">
        <v>145.5</v>
      </c>
      <c r="J32" s="71"/>
    </row>
    <row r="33" spans="1:11" x14ac:dyDescent="0.25">
      <c r="B33" s="162" t="s">
        <v>66</v>
      </c>
      <c r="D33" s="162"/>
      <c r="G33" s="89" t="s">
        <v>96</v>
      </c>
      <c r="H33" s="87">
        <v>22</v>
      </c>
      <c r="I33" s="88">
        <v>33</v>
      </c>
      <c r="J33" s="71"/>
    </row>
    <row r="34" spans="1:11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244</v>
      </c>
      <c r="I34" s="88">
        <f>+H34*1.5</f>
        <v>366</v>
      </c>
      <c r="J34" s="189" t="s">
        <v>134</v>
      </c>
    </row>
    <row r="35" spans="1:11" x14ac:dyDescent="0.25">
      <c r="B35" s="73">
        <v>12</v>
      </c>
      <c r="C35" s="74">
        <v>2</v>
      </c>
      <c r="D35" s="74">
        <v>25</v>
      </c>
      <c r="E35" s="75">
        <f>+SUM(B35:D35)</f>
        <v>39</v>
      </c>
      <c r="J35" s="71"/>
    </row>
    <row r="36" spans="1:11" x14ac:dyDescent="0.25">
      <c r="E36" s="198" t="s">
        <v>76</v>
      </c>
      <c r="F36" s="198" t="s">
        <v>137</v>
      </c>
      <c r="H36" s="144" t="s">
        <v>124</v>
      </c>
      <c r="I36" s="145">
        <v>30</v>
      </c>
      <c r="K36" s="71"/>
    </row>
    <row r="37" spans="1:11" x14ac:dyDescent="0.25">
      <c r="D37" s="162"/>
      <c r="G37" s="71" t="s">
        <v>90</v>
      </c>
      <c r="H37" s="144" t="s">
        <v>120</v>
      </c>
      <c r="I37" s="145">
        <v>0</v>
      </c>
      <c r="K37" s="71"/>
    </row>
    <row r="38" spans="1:11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146">
        <v>53</v>
      </c>
      <c r="K38" s="71"/>
    </row>
    <row r="39" spans="1:11" x14ac:dyDescent="0.25">
      <c r="A39" s="207" t="s">
        <v>71</v>
      </c>
      <c r="B39" s="199">
        <v>7.34</v>
      </c>
      <c r="C39" s="199">
        <v>1564</v>
      </c>
      <c r="D39" s="200">
        <v>3600</v>
      </c>
      <c r="E39" s="201">
        <f t="shared" si="3"/>
        <v>0.43444444444444447</v>
      </c>
      <c r="F39" s="201">
        <f t="shared" si="4"/>
        <v>0.30583333333333335</v>
      </c>
      <c r="G39" s="202">
        <v>11</v>
      </c>
      <c r="H39" s="71"/>
      <c r="K39" s="71"/>
    </row>
    <row r="40" spans="1:11" x14ac:dyDescent="0.25">
      <c r="A40" s="207" t="s">
        <v>72</v>
      </c>
      <c r="B40" s="199">
        <v>12.87</v>
      </c>
      <c r="C40" s="199">
        <v>1663</v>
      </c>
      <c r="D40" s="200">
        <v>3900</v>
      </c>
      <c r="E40" s="201">
        <f t="shared" si="3"/>
        <v>0.42641025641025643</v>
      </c>
      <c r="F40" s="201">
        <f t="shared" si="4"/>
        <v>0.53625</v>
      </c>
      <c r="G40" s="202">
        <v>12</v>
      </c>
      <c r="H40" s="160" t="s">
        <v>128</v>
      </c>
      <c r="K40" s="71"/>
    </row>
    <row r="41" spans="1:11" x14ac:dyDescent="0.25">
      <c r="A41" s="207" t="s">
        <v>73</v>
      </c>
      <c r="B41" s="199">
        <v>14.38</v>
      </c>
      <c r="C41" s="199">
        <v>3040</v>
      </c>
      <c r="D41" s="200">
        <v>3900</v>
      </c>
      <c r="E41" s="201">
        <f t="shared" si="3"/>
        <v>0.77948717948717949</v>
      </c>
      <c r="F41" s="201">
        <f t="shared" si="4"/>
        <v>0.59916666666666674</v>
      </c>
      <c r="G41" s="202">
        <v>11</v>
      </c>
      <c r="H41" s="154">
        <v>45811</v>
      </c>
      <c r="I41" s="155">
        <v>73</v>
      </c>
      <c r="K41" s="71"/>
    </row>
    <row r="42" spans="1:11" x14ac:dyDescent="0.25">
      <c r="A42" s="207" t="s">
        <v>74</v>
      </c>
      <c r="B42" s="199">
        <v>8.86</v>
      </c>
      <c r="C42" s="199">
        <v>2595</v>
      </c>
      <c r="D42" s="200">
        <v>3900</v>
      </c>
      <c r="E42" s="201">
        <f t="shared" si="3"/>
        <v>0.66538461538461535</v>
      </c>
      <c r="F42" s="201">
        <f t="shared" si="4"/>
        <v>0.36916666666666664</v>
      </c>
      <c r="G42" s="202">
        <v>12</v>
      </c>
      <c r="H42" s="156">
        <v>45826</v>
      </c>
      <c r="I42" s="157">
        <v>29</v>
      </c>
      <c r="J42" s="195">
        <f>+SUM(I42:I44)</f>
        <v>133</v>
      </c>
      <c r="K42" s="71"/>
    </row>
    <row r="43" spans="1:11" x14ac:dyDescent="0.25">
      <c r="A43" s="207" t="s">
        <v>75</v>
      </c>
      <c r="B43" s="203">
        <v>9.31</v>
      </c>
      <c r="C43" s="204">
        <v>2636</v>
      </c>
      <c r="D43" s="205">
        <v>4300</v>
      </c>
      <c r="E43" s="206">
        <f t="shared" si="3"/>
        <v>0.61302325581395345</v>
      </c>
      <c r="F43" s="201">
        <f t="shared" si="4"/>
        <v>0.38791666666666669</v>
      </c>
      <c r="G43" s="202">
        <v>16</v>
      </c>
      <c r="H43" s="156">
        <v>45826</v>
      </c>
      <c r="I43" s="157">
        <v>72</v>
      </c>
      <c r="J43" s="195"/>
      <c r="K43" s="71">
        <f>+J42*1.5</f>
        <v>199.5</v>
      </c>
    </row>
    <row r="44" spans="1:11" x14ac:dyDescent="0.25">
      <c r="C44" s="71" t="s">
        <v>83</v>
      </c>
      <c r="D44" s="72" t="s">
        <v>79</v>
      </c>
      <c r="H44" s="156">
        <v>45827</v>
      </c>
      <c r="I44" s="157">
        <v>32</v>
      </c>
      <c r="J44" s="195"/>
      <c r="K44" s="71"/>
    </row>
    <row r="45" spans="1:11" x14ac:dyDescent="0.25">
      <c r="B45" s="162" t="s">
        <v>78</v>
      </c>
      <c r="C45" s="71">
        <v>4</v>
      </c>
      <c r="D45" s="72"/>
      <c r="H45" s="144">
        <v>45828</v>
      </c>
      <c r="I45" s="146">
        <v>6</v>
      </c>
      <c r="J45" s="195">
        <f>+SUM(I45:I47)</f>
        <v>38</v>
      </c>
      <c r="K45" s="71"/>
    </row>
    <row r="46" spans="1:11" x14ac:dyDescent="0.25">
      <c r="C46" s="71">
        <v>5</v>
      </c>
      <c r="D46" s="108">
        <v>2</v>
      </c>
      <c r="H46" s="144">
        <v>45829</v>
      </c>
      <c r="I46" s="146">
        <v>12</v>
      </c>
      <c r="J46" s="195"/>
      <c r="K46" s="71">
        <f>+J45*1.5</f>
        <v>57</v>
      </c>
    </row>
    <row r="47" spans="1:11" x14ac:dyDescent="0.25">
      <c r="C47" s="71">
        <v>6</v>
      </c>
      <c r="D47" s="108">
        <v>6</v>
      </c>
      <c r="H47" s="144">
        <v>45830</v>
      </c>
      <c r="I47" s="146">
        <v>20</v>
      </c>
      <c r="J47" s="195"/>
      <c r="K47" s="71"/>
    </row>
    <row r="48" spans="1:11" x14ac:dyDescent="0.25">
      <c r="C48" s="71">
        <v>8</v>
      </c>
      <c r="J48" s="162">
        <f>+J42+J45</f>
        <v>171</v>
      </c>
      <c r="K48" s="71">
        <f>+K46+K43</f>
        <v>256.5</v>
      </c>
    </row>
  </sheetData>
  <protectedRanges>
    <protectedRange password="D554" sqref="I36:I37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E31" sqref="E31"/>
    </sheetView>
  </sheetViews>
  <sheetFormatPr baseColWidth="10" defaultColWidth="11.42578125" defaultRowHeight="15.75" x14ac:dyDescent="0.25"/>
  <cols>
    <col min="1" max="1" width="3.5703125" style="162" bestFit="1" customWidth="1"/>
    <col min="2" max="2" width="40" style="162" customWidth="1"/>
    <col min="3" max="3" width="15.28515625" style="162" customWidth="1"/>
    <col min="4" max="4" width="15.28515625" style="163" customWidth="1"/>
    <col min="5" max="5" width="18.42578125" style="162" customWidth="1"/>
    <col min="6" max="6" width="9.5703125" style="162" customWidth="1"/>
    <col min="7" max="9" width="11.42578125" style="162"/>
    <col min="10" max="10" width="7.7109375" style="162" customWidth="1"/>
    <col min="11" max="11" width="6.7109375" style="162" bestFit="1" customWidth="1"/>
    <col min="12" max="16384" width="11.42578125" style="162"/>
  </cols>
  <sheetData>
    <row r="1" spans="1:10" ht="15" customHeight="1" x14ac:dyDescent="0.25">
      <c r="A1" s="161"/>
      <c r="B1" s="518">
        <v>45852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94"/>
      <c r="C4" s="194"/>
      <c r="D4" s="165">
        <f>D22</f>
        <v>6584.9399999999978</v>
      </c>
      <c r="F4" s="58" t="s">
        <v>51</v>
      </c>
      <c r="G4" s="59">
        <v>45845</v>
      </c>
      <c r="H4" s="58">
        <v>4956</v>
      </c>
      <c r="I4" s="141">
        <v>6584.9399999999978</v>
      </c>
      <c r="J4" s="60">
        <f>+I4/H4</f>
        <v>1.3286803874092006</v>
      </c>
    </row>
    <row r="5" spans="1:10" ht="15" customHeight="1" x14ac:dyDescent="0.25">
      <c r="A5" s="164"/>
      <c r="B5" s="168" t="s">
        <v>6</v>
      </c>
      <c r="C5" s="176">
        <v>1565</v>
      </c>
      <c r="D5" s="172">
        <v>66.772000000000006</v>
      </c>
      <c r="E5" s="80">
        <f>+D5/$D$4</f>
        <v>1.014010757880862E-2</v>
      </c>
      <c r="F5" s="58" t="s">
        <v>52</v>
      </c>
      <c r="G5" s="59">
        <v>45846</v>
      </c>
      <c r="H5" s="58">
        <v>8181</v>
      </c>
      <c r="I5" s="141"/>
      <c r="J5" s="60">
        <f t="shared" ref="J5:J11" si="0">+I5/H5</f>
        <v>0</v>
      </c>
    </row>
    <row r="6" spans="1:10" ht="15" customHeight="1" x14ac:dyDescent="0.25">
      <c r="A6" s="164"/>
      <c r="B6" s="169" t="s">
        <v>10</v>
      </c>
      <c r="C6" s="177">
        <v>15674</v>
      </c>
      <c r="D6" s="173">
        <v>668.62599999999998</v>
      </c>
      <c r="E6" s="80">
        <f t="shared" ref="E6:E19" si="1">+D6/$D$4</f>
        <v>0.10153866246313561</v>
      </c>
      <c r="F6" s="58" t="s">
        <v>53</v>
      </c>
      <c r="G6" s="59">
        <v>45847</v>
      </c>
      <c r="H6" s="58">
        <v>8519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12222</v>
      </c>
      <c r="D7" s="173">
        <v>520.4</v>
      </c>
      <c r="E7" s="80">
        <f t="shared" si="1"/>
        <v>7.9028814233690833E-2</v>
      </c>
      <c r="F7" s="58" t="s">
        <v>54</v>
      </c>
      <c r="G7" s="59">
        <v>45848</v>
      </c>
      <c r="H7" s="58">
        <v>8363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1616</v>
      </c>
      <c r="D8" s="173">
        <v>68.900000000000006</v>
      </c>
      <c r="E8" s="80">
        <f t="shared" si="1"/>
        <v>1.0463269217335317E-2</v>
      </c>
      <c r="F8" s="58" t="s">
        <v>55</v>
      </c>
      <c r="G8" s="59">
        <v>45849</v>
      </c>
      <c r="H8" s="58">
        <v>7105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28793</v>
      </c>
      <c r="D9" s="173">
        <v>1229.204</v>
      </c>
      <c r="E9" s="191">
        <f t="shared" si="1"/>
        <v>0.18666897496408477</v>
      </c>
      <c r="F9" s="58" t="s">
        <v>56</v>
      </c>
      <c r="G9" s="59">
        <v>45850</v>
      </c>
      <c r="H9" s="58">
        <v>7099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37992</v>
      </c>
      <c r="D10" s="173">
        <v>1619.954</v>
      </c>
      <c r="E10" s="191">
        <f t="shared" si="1"/>
        <v>0.2460089233918609</v>
      </c>
      <c r="F10" s="58" t="s">
        <v>57</v>
      </c>
      <c r="G10" s="59">
        <v>45851</v>
      </c>
      <c r="H10" s="58">
        <v>5227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9459</v>
      </c>
      <c r="D11" s="173">
        <v>404.18200000000002</v>
      </c>
      <c r="E11" s="80">
        <f t="shared" si="1"/>
        <v>6.1379754409303676E-2</v>
      </c>
      <c r="H11" s="139">
        <f>+SUM(H4:H10)</f>
        <v>49450</v>
      </c>
      <c r="I11" s="142">
        <f>+SUM(I4:I10)</f>
        <v>6584.9399999999978</v>
      </c>
      <c r="J11" s="140">
        <f t="shared" si="0"/>
        <v>0.13316359959555102</v>
      </c>
    </row>
    <row r="12" spans="1:10" ht="15" customHeight="1" x14ac:dyDescent="0.25">
      <c r="A12" s="164"/>
      <c r="B12" s="169" t="s">
        <v>81</v>
      </c>
      <c r="C12" s="177">
        <v>3919</v>
      </c>
      <c r="D12" s="173">
        <v>167.512</v>
      </c>
      <c r="E12" s="80">
        <f t="shared" si="1"/>
        <v>2.5438652440265219E-2</v>
      </c>
    </row>
    <row r="13" spans="1:10" ht="15" customHeight="1" x14ac:dyDescent="0.25">
      <c r="A13" s="164"/>
      <c r="B13" s="169" t="s">
        <v>141</v>
      </c>
      <c r="C13" s="177">
        <v>87</v>
      </c>
      <c r="D13" s="173">
        <v>131.61000000000001</v>
      </c>
      <c r="E13" s="80">
        <f t="shared" si="1"/>
        <v>1.9986514683505097E-2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39</v>
      </c>
      <c r="C14" s="177">
        <v>484</v>
      </c>
      <c r="D14" s="173">
        <v>732.03</v>
      </c>
      <c r="E14" s="80">
        <f t="shared" si="1"/>
        <v>0.11116729992983994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142</v>
      </c>
      <c r="C15" s="177">
        <v>44</v>
      </c>
      <c r="D15" s="173">
        <v>66.5</v>
      </c>
      <c r="E15" s="80">
        <f t="shared" si="1"/>
        <v>1.0098801203959342E-2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47</v>
      </c>
      <c r="D16" s="173">
        <v>70.650000000000006</v>
      </c>
      <c r="E16" s="80">
        <f t="shared" si="1"/>
        <v>1.0729027143755301E-2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64</v>
      </c>
      <c r="D17" s="173">
        <v>96.23</v>
      </c>
      <c r="E17" s="80">
        <f t="shared" si="1"/>
        <v>1.4613648719654248E-2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1" ht="15" customHeight="1" x14ac:dyDescent="0.25">
      <c r="A18" s="164"/>
      <c r="B18" s="169" t="s">
        <v>85</v>
      </c>
      <c r="C18" s="177">
        <v>88</v>
      </c>
      <c r="D18" s="173">
        <v>132.5</v>
      </c>
      <c r="E18" s="80">
        <f t="shared" si="1"/>
        <v>2.0121671571798685E-2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1" ht="15" customHeight="1" x14ac:dyDescent="0.25">
      <c r="A19" s="164"/>
      <c r="B19" s="169" t="s">
        <v>46</v>
      </c>
      <c r="C19" s="177"/>
      <c r="D19" s="173">
        <v>31.96</v>
      </c>
      <c r="E19" s="80">
        <f t="shared" si="1"/>
        <v>4.8534990447900838E-3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1" ht="15" customHeight="1" x14ac:dyDescent="0.25">
      <c r="A20" s="164"/>
      <c r="B20" s="169" t="s">
        <v>9</v>
      </c>
      <c r="C20" s="177"/>
      <c r="D20" s="173">
        <v>244.49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1" ht="15" customHeight="1" thickBot="1" x14ac:dyDescent="0.3">
      <c r="A21" s="164"/>
      <c r="B21" s="169" t="s">
        <v>40</v>
      </c>
      <c r="C21" s="177"/>
      <c r="D21" s="173">
        <v>333.42</v>
      </c>
      <c r="G21" s="112" t="s">
        <v>135</v>
      </c>
      <c r="H21" s="190">
        <v>232937.965</v>
      </c>
      <c r="I21" s="190"/>
    </row>
    <row r="22" spans="1:11" ht="15" customHeight="1" thickBot="1" x14ac:dyDescent="0.3">
      <c r="B22" s="178" t="s">
        <v>0</v>
      </c>
      <c r="C22" s="170"/>
      <c r="D22" s="171">
        <f>SUM(D5:D21)</f>
        <v>6584.9399999999978</v>
      </c>
      <c r="E22" s="57">
        <f>+D22/$D$4</f>
        <v>1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1" ht="15" customHeight="1" x14ac:dyDescent="0.25">
      <c r="B23" s="166" t="s">
        <v>1</v>
      </c>
      <c r="C23" s="167"/>
      <c r="D23" s="174">
        <v>100442.033</v>
      </c>
      <c r="E23" s="57">
        <f>+D23/$E$2</f>
        <v>0.45790342919143656</v>
      </c>
      <c r="H23" s="208" t="s">
        <v>130</v>
      </c>
      <c r="I23" s="209">
        <v>2833</v>
      </c>
    </row>
    <row r="24" spans="1:11" ht="15" customHeight="1" x14ac:dyDescent="0.25">
      <c r="D24" s="193">
        <f>+(E2/31)*14</f>
        <v>99062.193548387091</v>
      </c>
      <c r="E24" s="98">
        <f>+D24/E2</f>
        <v>0.45161290322580644</v>
      </c>
      <c r="H24" s="210" t="s">
        <v>129</v>
      </c>
      <c r="I24" s="211">
        <v>476</v>
      </c>
      <c r="J24" s="71"/>
    </row>
    <row r="25" spans="1:11" x14ac:dyDescent="0.25">
      <c r="D25" s="138">
        <f>+D23-D24</f>
        <v>1379.8394516129047</v>
      </c>
      <c r="E25" s="99">
        <f>+E23-E24</f>
        <v>6.2905259656301227E-3</v>
      </c>
      <c r="H25" s="210" t="s">
        <v>131</v>
      </c>
      <c r="I25" s="212">
        <v>382</v>
      </c>
      <c r="J25" s="71"/>
    </row>
    <row r="26" spans="1:11" ht="15" customHeight="1" x14ac:dyDescent="0.25">
      <c r="G26" s="163"/>
      <c r="H26" s="213"/>
      <c r="I26" s="75">
        <f>+SUM(I23:I25)</f>
        <v>3691</v>
      </c>
      <c r="J26" s="71"/>
    </row>
    <row r="27" spans="1:11" x14ac:dyDescent="0.25">
      <c r="B27" s="66" t="s">
        <v>60</v>
      </c>
      <c r="D27" s="109" t="s">
        <v>105</v>
      </c>
      <c r="E27" s="109" t="s">
        <v>80</v>
      </c>
      <c r="G27" s="163"/>
      <c r="I27" s="162" t="s">
        <v>92</v>
      </c>
      <c r="J27" s="71"/>
    </row>
    <row r="28" spans="1:11" x14ac:dyDescent="0.25">
      <c r="B28" s="162" t="s">
        <v>61</v>
      </c>
      <c r="C28" s="162">
        <v>292</v>
      </c>
      <c r="D28" s="108">
        <v>2142</v>
      </c>
      <c r="E28" s="57">
        <f>+C28/D28</f>
        <v>0.13632119514472454</v>
      </c>
      <c r="G28" s="86" t="s">
        <v>86</v>
      </c>
      <c r="H28" s="87">
        <v>4842</v>
      </c>
      <c r="I28" s="88">
        <v>121.05000000000001</v>
      </c>
      <c r="J28" s="71"/>
    </row>
    <row r="29" spans="1:11" x14ac:dyDescent="0.25">
      <c r="B29" s="162" t="s">
        <v>62</v>
      </c>
      <c r="C29" s="162">
        <v>1191</v>
      </c>
      <c r="D29" s="108">
        <v>1890</v>
      </c>
      <c r="E29" s="57">
        <f>+C29/D29</f>
        <v>0.63015873015873014</v>
      </c>
      <c r="G29" s="86" t="s">
        <v>104</v>
      </c>
      <c r="H29" s="87">
        <v>14</v>
      </c>
      <c r="I29" s="88">
        <v>0.35000000000000003</v>
      </c>
      <c r="J29" s="71"/>
    </row>
    <row r="30" spans="1:11" x14ac:dyDescent="0.25">
      <c r="B30" s="162" t="s">
        <v>140</v>
      </c>
      <c r="C30" s="67">
        <v>2407</v>
      </c>
      <c r="D30" s="108">
        <v>3006</v>
      </c>
      <c r="E30" s="57">
        <f>+C30/D30</f>
        <v>0.800731869594145</v>
      </c>
      <c r="G30" s="89" t="s">
        <v>87</v>
      </c>
      <c r="H30" s="87">
        <v>52</v>
      </c>
      <c r="I30" s="88">
        <v>78</v>
      </c>
      <c r="J30" s="71"/>
    </row>
    <row r="31" spans="1:11" ht="15" customHeight="1" x14ac:dyDescent="0.25">
      <c r="C31" s="162">
        <f>+SUM(C28:C30)</f>
        <v>3890</v>
      </c>
      <c r="D31" s="110">
        <f>+SUM(D28:D30)</f>
        <v>7038</v>
      </c>
      <c r="E31" s="57">
        <f>+C31/D31</f>
        <v>0.55271383915885197</v>
      </c>
      <c r="G31" s="89" t="s">
        <v>91</v>
      </c>
      <c r="H31" s="87">
        <v>166</v>
      </c>
      <c r="I31" s="88">
        <v>249</v>
      </c>
      <c r="J31" s="71">
        <v>253</v>
      </c>
      <c r="K31" s="162">
        <v>379.5</v>
      </c>
    </row>
    <row r="32" spans="1:11" ht="15" customHeight="1" x14ac:dyDescent="0.25">
      <c r="G32" s="89" t="s">
        <v>123</v>
      </c>
      <c r="H32" s="87">
        <f>+I36+I38</f>
        <v>83</v>
      </c>
      <c r="I32" s="88">
        <v>145.5</v>
      </c>
      <c r="J32" s="71"/>
    </row>
    <row r="33" spans="1:11" x14ac:dyDescent="0.25">
      <c r="B33" s="162" t="s">
        <v>66</v>
      </c>
      <c r="D33" s="162"/>
      <c r="G33" s="89" t="s">
        <v>96</v>
      </c>
      <c r="H33" s="87">
        <v>22</v>
      </c>
      <c r="I33" s="88">
        <v>33</v>
      </c>
      <c r="J33" s="71"/>
    </row>
    <row r="34" spans="1:11" ht="15" customHeight="1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244</v>
      </c>
      <c r="I34" s="88">
        <f>+H34*1.5</f>
        <v>366</v>
      </c>
      <c r="J34" s="189" t="s">
        <v>134</v>
      </c>
    </row>
    <row r="35" spans="1:11" x14ac:dyDescent="0.25">
      <c r="B35" s="73">
        <v>17</v>
      </c>
      <c r="C35" s="74">
        <v>2</v>
      </c>
      <c r="D35" s="74">
        <v>16</v>
      </c>
      <c r="E35" s="75">
        <f>+SUM(B35:D35)</f>
        <v>35</v>
      </c>
      <c r="J35" s="71"/>
    </row>
    <row r="36" spans="1:11" x14ac:dyDescent="0.25">
      <c r="E36" s="198" t="s">
        <v>76</v>
      </c>
      <c r="F36" s="198" t="s">
        <v>137</v>
      </c>
      <c r="H36" s="144" t="s">
        <v>124</v>
      </c>
      <c r="I36" s="145">
        <v>30</v>
      </c>
      <c r="K36" s="71"/>
    </row>
    <row r="37" spans="1:11" x14ac:dyDescent="0.25">
      <c r="D37" s="162"/>
      <c r="G37" s="71" t="s">
        <v>90</v>
      </c>
      <c r="H37" s="144" t="s">
        <v>120</v>
      </c>
      <c r="I37" s="145">
        <v>0</v>
      </c>
      <c r="K37" s="71"/>
    </row>
    <row r="38" spans="1:11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146">
        <v>53</v>
      </c>
      <c r="K38" s="71"/>
    </row>
    <row r="39" spans="1:11" x14ac:dyDescent="0.25">
      <c r="A39" s="207" t="s">
        <v>71</v>
      </c>
      <c r="B39" s="199">
        <v>8.74</v>
      </c>
      <c r="C39" s="199">
        <v>1833</v>
      </c>
      <c r="D39" s="200">
        <v>3600</v>
      </c>
      <c r="E39" s="201">
        <f t="shared" si="3"/>
        <v>0.50916666666666666</v>
      </c>
      <c r="F39" s="201">
        <f t="shared" si="4"/>
        <v>0.36416666666666669</v>
      </c>
      <c r="G39" s="202">
        <v>12</v>
      </c>
      <c r="H39" s="71"/>
      <c r="K39" s="71"/>
    </row>
    <row r="40" spans="1:11" x14ac:dyDescent="0.25">
      <c r="A40" s="207" t="s">
        <v>72</v>
      </c>
      <c r="B40" s="199">
        <v>7.02</v>
      </c>
      <c r="C40" s="199">
        <v>1491</v>
      </c>
      <c r="D40" s="200">
        <v>3900</v>
      </c>
      <c r="E40" s="201">
        <f t="shared" si="3"/>
        <v>0.38230769230769229</v>
      </c>
      <c r="F40" s="201">
        <f t="shared" si="4"/>
        <v>0.29249999999999998</v>
      </c>
      <c r="G40" s="202">
        <v>12</v>
      </c>
      <c r="H40" s="160" t="s">
        <v>128</v>
      </c>
      <c r="K40" s="71"/>
    </row>
    <row r="41" spans="1:11" x14ac:dyDescent="0.25">
      <c r="A41" s="207" t="s">
        <v>73</v>
      </c>
      <c r="B41" s="199">
        <v>11.78</v>
      </c>
      <c r="C41" s="199">
        <v>2574</v>
      </c>
      <c r="D41" s="200">
        <v>3900</v>
      </c>
      <c r="E41" s="201">
        <f t="shared" si="3"/>
        <v>0.66</v>
      </c>
      <c r="F41" s="201">
        <f t="shared" si="4"/>
        <v>0.49083333333333329</v>
      </c>
      <c r="G41" s="202">
        <v>12</v>
      </c>
      <c r="H41" s="154">
        <v>45811</v>
      </c>
      <c r="I41" s="155">
        <v>73</v>
      </c>
      <c r="K41" s="71"/>
    </row>
    <row r="42" spans="1:11" x14ac:dyDescent="0.25">
      <c r="A42" s="207" t="s">
        <v>74</v>
      </c>
      <c r="B42" s="199">
        <v>5.54</v>
      </c>
      <c r="C42" s="199">
        <v>2578</v>
      </c>
      <c r="D42" s="200">
        <v>3900</v>
      </c>
      <c r="E42" s="201">
        <f t="shared" si="3"/>
        <v>0.66102564102564099</v>
      </c>
      <c r="F42" s="201">
        <f t="shared" si="4"/>
        <v>0.23083333333333333</v>
      </c>
      <c r="G42" s="202">
        <v>12</v>
      </c>
      <c r="H42" s="156">
        <v>45826</v>
      </c>
      <c r="I42" s="157">
        <v>29</v>
      </c>
      <c r="J42" s="195">
        <f>+SUM(I42:I44)</f>
        <v>133</v>
      </c>
      <c r="K42" s="71"/>
    </row>
    <row r="43" spans="1:11" x14ac:dyDescent="0.25">
      <c r="A43" s="207" t="s">
        <v>75</v>
      </c>
      <c r="B43" s="203">
        <v>0.3</v>
      </c>
      <c r="C43" s="204">
        <v>1149</v>
      </c>
      <c r="D43" s="205">
        <v>4300</v>
      </c>
      <c r="E43" s="206">
        <f t="shared" si="3"/>
        <v>0.26720930232558138</v>
      </c>
      <c r="F43" s="201">
        <f t="shared" si="4"/>
        <v>1.2499999999999999E-2</v>
      </c>
      <c r="G43" s="202">
        <v>16</v>
      </c>
      <c r="H43" s="156">
        <v>45826</v>
      </c>
      <c r="I43" s="157">
        <v>72</v>
      </c>
      <c r="J43" s="195"/>
      <c r="K43" s="71">
        <f>+J42*1.5</f>
        <v>199.5</v>
      </c>
    </row>
    <row r="44" spans="1:11" x14ac:dyDescent="0.25">
      <c r="C44" s="71" t="s">
        <v>83</v>
      </c>
      <c r="D44" s="72" t="s">
        <v>79</v>
      </c>
      <c r="H44" s="156">
        <v>45827</v>
      </c>
      <c r="I44" s="157">
        <v>32</v>
      </c>
      <c r="J44" s="195"/>
      <c r="K44" s="71"/>
    </row>
    <row r="45" spans="1:11" x14ac:dyDescent="0.25">
      <c r="B45" s="162" t="s">
        <v>78</v>
      </c>
      <c r="C45" s="71">
        <v>4</v>
      </c>
      <c r="D45" s="72"/>
      <c r="H45" s="144">
        <v>45828</v>
      </c>
      <c r="I45" s="146">
        <v>6</v>
      </c>
      <c r="J45" s="195">
        <f>+SUM(I45:I47)</f>
        <v>38</v>
      </c>
      <c r="K45" s="71"/>
    </row>
    <row r="46" spans="1:11" x14ac:dyDescent="0.25">
      <c r="C46" s="71">
        <v>5</v>
      </c>
      <c r="D46" s="108">
        <v>2</v>
      </c>
      <c r="H46" s="144">
        <v>45829</v>
      </c>
      <c r="I46" s="146">
        <v>12</v>
      </c>
      <c r="J46" s="195"/>
      <c r="K46" s="71">
        <f>+J45*1.5</f>
        <v>57</v>
      </c>
    </row>
    <row r="47" spans="1:11" x14ac:dyDescent="0.25">
      <c r="C47" s="71">
        <v>6</v>
      </c>
      <c r="D47" s="108">
        <v>3</v>
      </c>
      <c r="H47" s="144">
        <v>45830</v>
      </c>
      <c r="I47" s="146">
        <v>20</v>
      </c>
      <c r="J47" s="195"/>
      <c r="K47" s="71"/>
    </row>
    <row r="48" spans="1:11" x14ac:dyDescent="0.25">
      <c r="C48" s="71">
        <v>8</v>
      </c>
      <c r="J48" s="162">
        <f>+J42+J45</f>
        <v>171</v>
      </c>
      <c r="K48" s="71">
        <f>+K46+K43</f>
        <v>256.5</v>
      </c>
    </row>
  </sheetData>
  <protectedRanges>
    <protectedRange password="D554" sqref="I36:I37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workbookViewId="0">
      <selection activeCell="E31" sqref="E31"/>
    </sheetView>
  </sheetViews>
  <sheetFormatPr baseColWidth="10" defaultColWidth="11.42578125" defaultRowHeight="15.75" x14ac:dyDescent="0.25"/>
  <cols>
    <col min="1" max="1" width="2.42578125" style="162" customWidth="1"/>
    <col min="2" max="2" width="45.42578125" style="162" customWidth="1"/>
    <col min="3" max="3" width="15.28515625" style="162" customWidth="1"/>
    <col min="4" max="4" width="15.28515625" style="163" customWidth="1"/>
    <col min="5" max="5" width="10.28515625" style="162" bestFit="1" customWidth="1"/>
    <col min="6" max="10" width="11.42578125" style="162"/>
    <col min="11" max="11" width="6.7109375" style="162" bestFit="1" customWidth="1"/>
    <col min="12" max="16384" width="11.42578125" style="162"/>
  </cols>
  <sheetData>
    <row r="1" spans="1:10" ht="15" customHeight="1" x14ac:dyDescent="0.25">
      <c r="A1" s="161"/>
      <c r="B1" s="518">
        <v>45853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96"/>
      <c r="C4" s="196"/>
      <c r="D4" s="165">
        <f>D22</f>
        <v>8798.9840000000022</v>
      </c>
      <c r="F4" s="58" t="s">
        <v>51</v>
      </c>
      <c r="G4" s="59">
        <v>45845</v>
      </c>
      <c r="H4" s="58">
        <v>4956</v>
      </c>
      <c r="I4" s="141">
        <v>6584.9399999999978</v>
      </c>
      <c r="J4" s="60">
        <f>+I4/H4</f>
        <v>1.3286803874092006</v>
      </c>
    </row>
    <row r="5" spans="1:10" ht="15" customHeight="1" x14ac:dyDescent="0.25">
      <c r="A5" s="164"/>
      <c r="B5" s="168" t="s">
        <v>6</v>
      </c>
      <c r="C5" s="176">
        <v>6226</v>
      </c>
      <c r="D5" s="172">
        <v>265.48399999999998</v>
      </c>
      <c r="E5" s="80">
        <f>+D5/$D$4</f>
        <v>3.0172119872021577E-2</v>
      </c>
      <c r="F5" s="58" t="s">
        <v>52</v>
      </c>
      <c r="G5" s="59">
        <v>45846</v>
      </c>
      <c r="H5" s="58">
        <v>8181</v>
      </c>
      <c r="I5" s="141">
        <v>8798.9840000000022</v>
      </c>
      <c r="J5" s="60">
        <f t="shared" ref="J5:J11" si="0">+I5/H5</f>
        <v>1.0755389316709452</v>
      </c>
    </row>
    <row r="6" spans="1:10" ht="15" customHeight="1" x14ac:dyDescent="0.25">
      <c r="A6" s="164"/>
      <c r="B6" s="169" t="s">
        <v>10</v>
      </c>
      <c r="C6" s="177">
        <v>11922</v>
      </c>
      <c r="D6" s="173">
        <v>508.54399999999998</v>
      </c>
      <c r="E6" s="80">
        <f t="shared" ref="E6:E21" si="1">+D6/$D$4</f>
        <v>5.7795763692717231E-2</v>
      </c>
      <c r="F6" s="58" t="s">
        <v>53</v>
      </c>
      <c r="G6" s="59">
        <v>45847</v>
      </c>
      <c r="H6" s="58">
        <v>8519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23192</v>
      </c>
      <c r="D7" s="173">
        <v>988.87</v>
      </c>
      <c r="E7" s="80">
        <f t="shared" si="1"/>
        <v>0.1123845662180997</v>
      </c>
      <c r="F7" s="58" t="s">
        <v>54</v>
      </c>
      <c r="G7" s="59">
        <v>45848</v>
      </c>
      <c r="H7" s="58">
        <v>8363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2295</v>
      </c>
      <c r="D8" s="173">
        <v>97.83</v>
      </c>
      <c r="E8" s="80">
        <f t="shared" si="1"/>
        <v>1.1118329116179774E-2</v>
      </c>
      <c r="F8" s="58" t="s">
        <v>55</v>
      </c>
      <c r="G8" s="59">
        <v>45849</v>
      </c>
      <c r="H8" s="58">
        <v>7105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42123</v>
      </c>
      <c r="D9" s="173">
        <v>1797.566</v>
      </c>
      <c r="E9" s="191">
        <f t="shared" si="1"/>
        <v>0.20429245012833294</v>
      </c>
      <c r="F9" s="58" t="s">
        <v>56</v>
      </c>
      <c r="G9" s="59">
        <v>45850</v>
      </c>
      <c r="H9" s="58">
        <v>7099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45515</v>
      </c>
      <c r="D10" s="173">
        <v>1942.434</v>
      </c>
      <c r="E10" s="191">
        <f t="shared" si="1"/>
        <v>0.2207566237192839</v>
      </c>
      <c r="F10" s="58" t="s">
        <v>57</v>
      </c>
      <c r="G10" s="59">
        <v>45851</v>
      </c>
      <c r="H10" s="58">
        <v>5227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16195</v>
      </c>
      <c r="D11" s="173">
        <v>691.81399999999996</v>
      </c>
      <c r="E11" s="80">
        <f t="shared" si="1"/>
        <v>7.8624304806100317E-2</v>
      </c>
      <c r="H11" s="139">
        <f>+SUM(H4:H10)</f>
        <v>49450</v>
      </c>
      <c r="I11" s="142">
        <f>+SUM(I4:I10)</f>
        <v>15383.923999999999</v>
      </c>
      <c r="J11" s="140">
        <f t="shared" si="0"/>
        <v>0.31110058645096056</v>
      </c>
    </row>
    <row r="12" spans="1:10" ht="15" customHeight="1" x14ac:dyDescent="0.25">
      <c r="A12" s="164"/>
      <c r="B12" s="169" t="s">
        <v>95</v>
      </c>
      <c r="C12" s="177">
        <v>1280</v>
      </c>
      <c r="D12" s="173">
        <v>32.052</v>
      </c>
      <c r="E12" s="80">
        <f t="shared" si="1"/>
        <v>3.6426932927710737E-3</v>
      </c>
    </row>
    <row r="13" spans="1:10" ht="15" customHeight="1" x14ac:dyDescent="0.25">
      <c r="A13" s="164"/>
      <c r="B13" s="169" t="s">
        <v>88</v>
      </c>
      <c r="C13" s="177"/>
      <c r="D13" s="173">
        <v>29.56</v>
      </c>
      <c r="E13" s="80">
        <f t="shared" si="1"/>
        <v>3.359478776185977E-3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39</v>
      </c>
      <c r="C14" s="177">
        <v>499</v>
      </c>
      <c r="D14" s="173">
        <v>753.55</v>
      </c>
      <c r="E14" s="80">
        <f t="shared" si="1"/>
        <v>8.5640569411195633E-2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142</v>
      </c>
      <c r="C15" s="177">
        <v>359</v>
      </c>
      <c r="D15" s="173">
        <v>541.34</v>
      </c>
      <c r="E15" s="80">
        <f t="shared" si="1"/>
        <v>6.1523012202317894E-2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66</v>
      </c>
      <c r="D16" s="173">
        <v>99.14</v>
      </c>
      <c r="E16" s="80">
        <f t="shared" si="1"/>
        <v>1.1267209941511426E-2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125</v>
      </c>
      <c r="D17" s="173">
        <v>187.96</v>
      </c>
      <c r="E17" s="80">
        <f t="shared" si="1"/>
        <v>2.1361557197967396E-2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1" ht="15" customHeight="1" x14ac:dyDescent="0.25">
      <c r="A18" s="164"/>
      <c r="B18" s="169" t="s">
        <v>85</v>
      </c>
      <c r="C18" s="177">
        <v>131</v>
      </c>
      <c r="D18" s="173">
        <v>197.93</v>
      </c>
      <c r="E18" s="80">
        <f t="shared" si="1"/>
        <v>2.2494642563277756E-2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1" ht="15" customHeight="1" x14ac:dyDescent="0.25">
      <c r="A19" s="164"/>
      <c r="B19" s="169" t="s">
        <v>46</v>
      </c>
      <c r="C19" s="177"/>
      <c r="D19" s="173">
        <v>30.35</v>
      </c>
      <c r="E19" s="80">
        <f t="shared" si="1"/>
        <v>3.4492618693249123E-3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1" ht="15" customHeight="1" x14ac:dyDescent="0.25">
      <c r="A20" s="164"/>
      <c r="B20" s="169" t="s">
        <v>9</v>
      </c>
      <c r="C20" s="177"/>
      <c r="D20" s="173">
        <v>183.27</v>
      </c>
      <c r="E20" s="80">
        <f t="shared" si="1"/>
        <v>2.0828541113383087E-2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1" ht="15" customHeight="1" thickBot="1" x14ac:dyDescent="0.3">
      <c r="A21" s="164"/>
      <c r="B21" s="169" t="s">
        <v>40</v>
      </c>
      <c r="C21" s="177"/>
      <c r="D21" s="173">
        <v>451.29</v>
      </c>
      <c r="E21" s="80">
        <f t="shared" si="1"/>
        <v>5.1288876079329151E-2</v>
      </c>
      <c r="G21" s="112" t="s">
        <v>135</v>
      </c>
      <c r="H21" s="190">
        <v>232937.965</v>
      </c>
      <c r="I21" s="190"/>
    </row>
    <row r="22" spans="1:11" ht="15" customHeight="1" thickBot="1" x14ac:dyDescent="0.3">
      <c r="B22" s="178" t="s">
        <v>0</v>
      </c>
      <c r="C22" s="170"/>
      <c r="D22" s="171">
        <f>SUM(D5:D21)</f>
        <v>8798.9840000000022</v>
      </c>
      <c r="E22" s="57">
        <f>+D22/$D$4</f>
        <v>1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1" ht="15" customHeight="1" x14ac:dyDescent="0.25">
      <c r="B23" s="166" t="s">
        <v>1</v>
      </c>
      <c r="C23" s="167"/>
      <c r="D23" s="174">
        <v>109241.01700000001</v>
      </c>
      <c r="E23" s="57">
        <f>+D23/$E$2</f>
        <v>0.49801696360188191</v>
      </c>
      <c r="H23" s="208" t="s">
        <v>130</v>
      </c>
      <c r="I23" s="209">
        <v>2833</v>
      </c>
    </row>
    <row r="24" spans="1:11" x14ac:dyDescent="0.25">
      <c r="D24" s="193">
        <f>+(E2/31)*15</f>
        <v>106138.06451612903</v>
      </c>
      <c r="E24" s="98">
        <f>+D24/E2</f>
        <v>0.4838709677419355</v>
      </c>
      <c r="H24" s="210" t="s">
        <v>129</v>
      </c>
      <c r="I24" s="211">
        <v>476</v>
      </c>
      <c r="J24" s="71"/>
    </row>
    <row r="25" spans="1:11" ht="15" customHeight="1" x14ac:dyDescent="0.25">
      <c r="D25" s="138">
        <f>+D23-D24</f>
        <v>3102.9524838709767</v>
      </c>
      <c r="E25" s="99">
        <f>+E23-E24</f>
        <v>1.4145995859946414E-2</v>
      </c>
      <c r="H25" s="210" t="s">
        <v>131</v>
      </c>
      <c r="I25" s="212">
        <v>382</v>
      </c>
      <c r="J25" s="71"/>
    </row>
    <row r="26" spans="1:11" x14ac:dyDescent="0.25">
      <c r="G26" s="163"/>
      <c r="H26" s="213"/>
      <c r="I26" s="75">
        <f>+SUM(I23:I25)</f>
        <v>3691</v>
      </c>
      <c r="J26" s="71"/>
    </row>
    <row r="27" spans="1:11" ht="15" customHeight="1" x14ac:dyDescent="0.25">
      <c r="B27" s="66" t="s">
        <v>60</v>
      </c>
      <c r="D27" s="109" t="s">
        <v>105</v>
      </c>
      <c r="E27" s="109" t="s">
        <v>80</v>
      </c>
      <c r="G27" s="163"/>
      <c r="I27" s="162" t="s">
        <v>92</v>
      </c>
      <c r="J27" s="71"/>
    </row>
    <row r="28" spans="1:11" x14ac:dyDescent="0.25">
      <c r="B28" s="162" t="s">
        <v>61</v>
      </c>
      <c r="C28" s="162">
        <v>403</v>
      </c>
      <c r="D28" s="108">
        <v>2142</v>
      </c>
      <c r="E28" s="57">
        <f>+C28/D28</f>
        <v>0.18814192343604108</v>
      </c>
      <c r="G28" s="86" t="s">
        <v>86</v>
      </c>
      <c r="H28" s="87">
        <v>3643</v>
      </c>
      <c r="I28" s="88">
        <v>91.075000000000003</v>
      </c>
      <c r="J28" s="71"/>
    </row>
    <row r="29" spans="1:11" x14ac:dyDescent="0.25">
      <c r="B29" s="162" t="s">
        <v>62</v>
      </c>
      <c r="C29" s="162">
        <v>1016</v>
      </c>
      <c r="D29" s="108">
        <v>1890</v>
      </c>
      <c r="E29" s="57">
        <f>+C29/D29</f>
        <v>0.53756613756613758</v>
      </c>
      <c r="G29" s="86" t="s">
        <v>104</v>
      </c>
      <c r="H29" s="87">
        <v>14</v>
      </c>
      <c r="I29" s="88">
        <v>0.35000000000000003</v>
      </c>
      <c r="J29" s="71"/>
    </row>
    <row r="30" spans="1:11" x14ac:dyDescent="0.25">
      <c r="B30" s="162" t="s">
        <v>140</v>
      </c>
      <c r="C30" s="67">
        <v>1653</v>
      </c>
      <c r="D30" s="108">
        <v>3006</v>
      </c>
      <c r="E30" s="57">
        <f>+C30/D30</f>
        <v>0.54990019960079839</v>
      </c>
      <c r="G30" s="89" t="s">
        <v>87</v>
      </c>
      <c r="H30" s="87">
        <v>52</v>
      </c>
      <c r="I30" s="88">
        <v>78</v>
      </c>
      <c r="J30" s="71"/>
    </row>
    <row r="31" spans="1:11" x14ac:dyDescent="0.25">
      <c r="C31" s="162">
        <f>+SUM(C28:C30)</f>
        <v>3072</v>
      </c>
      <c r="D31" s="110">
        <f>+SUM(D28:D30)</f>
        <v>7038</v>
      </c>
      <c r="E31" s="57">
        <f>+C31/D31</f>
        <v>0.43648763853367434</v>
      </c>
      <c r="G31" s="89" t="s">
        <v>91</v>
      </c>
      <c r="H31" s="87">
        <v>70</v>
      </c>
      <c r="I31" s="88">
        <v>105</v>
      </c>
      <c r="J31" s="71">
        <v>253</v>
      </c>
      <c r="K31" s="162">
        <v>379.5</v>
      </c>
    </row>
    <row r="32" spans="1:11" ht="15" customHeight="1" x14ac:dyDescent="0.25">
      <c r="G32" s="89" t="s">
        <v>123</v>
      </c>
      <c r="H32" s="87">
        <f>+I36+I38</f>
        <v>83</v>
      </c>
      <c r="I32" s="88">
        <v>145.5</v>
      </c>
      <c r="J32" s="71"/>
    </row>
    <row r="33" spans="1:11" ht="15" customHeight="1" x14ac:dyDescent="0.25">
      <c r="B33" s="162" t="s">
        <v>66</v>
      </c>
      <c r="D33" s="162"/>
      <c r="G33" s="89" t="s">
        <v>96</v>
      </c>
      <c r="H33" s="87">
        <v>22</v>
      </c>
      <c r="I33" s="88">
        <v>33</v>
      </c>
      <c r="J33" s="71"/>
    </row>
    <row r="34" spans="1:11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244</v>
      </c>
      <c r="I34" s="88">
        <f>+H34*1.5</f>
        <v>366</v>
      </c>
      <c r="J34" s="189" t="s">
        <v>134</v>
      </c>
    </row>
    <row r="35" spans="1:11" ht="15" customHeight="1" x14ac:dyDescent="0.25">
      <c r="B35" s="73">
        <v>15</v>
      </c>
      <c r="C35" s="74">
        <v>2</v>
      </c>
      <c r="D35" s="74">
        <v>12</v>
      </c>
      <c r="E35" s="75">
        <f>+SUM(B35:D35)</f>
        <v>29</v>
      </c>
      <c r="J35" s="71"/>
    </row>
    <row r="36" spans="1:11" x14ac:dyDescent="0.25">
      <c r="E36" s="198" t="s">
        <v>76</v>
      </c>
      <c r="F36" s="198" t="s">
        <v>137</v>
      </c>
      <c r="H36" s="144" t="s">
        <v>124</v>
      </c>
      <c r="I36" s="145">
        <v>30</v>
      </c>
      <c r="K36" s="71"/>
    </row>
    <row r="37" spans="1:11" x14ac:dyDescent="0.25">
      <c r="D37" s="162"/>
      <c r="G37" s="71" t="s">
        <v>90</v>
      </c>
      <c r="H37" s="144" t="s">
        <v>120</v>
      </c>
      <c r="I37" s="145">
        <v>0</v>
      </c>
      <c r="K37" s="71"/>
    </row>
    <row r="38" spans="1:11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146">
        <v>53</v>
      </c>
      <c r="K38" s="71"/>
    </row>
    <row r="39" spans="1:11" x14ac:dyDescent="0.25">
      <c r="A39" s="207" t="s">
        <v>71</v>
      </c>
      <c r="B39" s="199">
        <v>12.33</v>
      </c>
      <c r="C39" s="199">
        <v>1689</v>
      </c>
      <c r="D39" s="200">
        <v>3600</v>
      </c>
      <c r="E39" s="201">
        <f t="shared" si="3"/>
        <v>0.46916666666666668</v>
      </c>
      <c r="F39" s="201">
        <f t="shared" si="4"/>
        <v>0.51375000000000004</v>
      </c>
      <c r="G39" s="202">
        <v>12</v>
      </c>
      <c r="H39" s="71"/>
      <c r="K39" s="71"/>
    </row>
    <row r="40" spans="1:11" x14ac:dyDescent="0.25">
      <c r="A40" s="207" t="s">
        <v>72</v>
      </c>
      <c r="B40" s="199">
        <v>14.43</v>
      </c>
      <c r="C40" s="199">
        <v>1307</v>
      </c>
      <c r="D40" s="200">
        <v>3900</v>
      </c>
      <c r="E40" s="201">
        <f t="shared" si="3"/>
        <v>0.33512820512820513</v>
      </c>
      <c r="F40" s="201">
        <f t="shared" si="4"/>
        <v>0.60124999999999995</v>
      </c>
      <c r="G40" s="202">
        <v>11</v>
      </c>
      <c r="H40" s="160" t="s">
        <v>128</v>
      </c>
      <c r="K40" s="71"/>
    </row>
    <row r="41" spans="1:11" x14ac:dyDescent="0.25">
      <c r="A41" s="207" t="s">
        <v>73</v>
      </c>
      <c r="B41" s="199">
        <v>14.56</v>
      </c>
      <c r="C41" s="199">
        <v>3073</v>
      </c>
      <c r="D41" s="200">
        <v>3900</v>
      </c>
      <c r="E41" s="201">
        <f t="shared" si="3"/>
        <v>0.7879487179487179</v>
      </c>
      <c r="F41" s="201">
        <f t="shared" si="4"/>
        <v>0.60666666666666669</v>
      </c>
      <c r="G41" s="202">
        <v>12</v>
      </c>
      <c r="H41" s="154">
        <v>45811</v>
      </c>
      <c r="I41" s="155">
        <v>73</v>
      </c>
      <c r="K41" s="71"/>
    </row>
    <row r="42" spans="1:11" x14ac:dyDescent="0.25">
      <c r="A42" s="207" t="s">
        <v>74</v>
      </c>
      <c r="B42" s="199">
        <v>10.15</v>
      </c>
      <c r="C42" s="199">
        <v>2627</v>
      </c>
      <c r="D42" s="200">
        <v>3900</v>
      </c>
      <c r="E42" s="201">
        <f t="shared" si="3"/>
        <v>0.67358974358974355</v>
      </c>
      <c r="F42" s="201">
        <f t="shared" si="4"/>
        <v>0.42291666666666666</v>
      </c>
      <c r="G42" s="202">
        <v>12</v>
      </c>
      <c r="H42" s="156">
        <v>45826</v>
      </c>
      <c r="I42" s="157">
        <v>29</v>
      </c>
      <c r="J42" s="197">
        <f>+SUM(I42:I44)</f>
        <v>133</v>
      </c>
      <c r="K42" s="71"/>
    </row>
    <row r="43" spans="1:11" x14ac:dyDescent="0.25">
      <c r="A43" s="207" t="s">
        <v>75</v>
      </c>
      <c r="B43" s="203">
        <v>3.73</v>
      </c>
      <c r="C43" s="204">
        <f>7576/B43</f>
        <v>2031.0991957104557</v>
      </c>
      <c r="D43" s="205">
        <v>4300</v>
      </c>
      <c r="E43" s="206">
        <f t="shared" si="3"/>
        <v>0.47234865016522226</v>
      </c>
      <c r="F43" s="201">
        <f t="shared" si="4"/>
        <v>0.15541666666666668</v>
      </c>
      <c r="G43" s="202">
        <v>16</v>
      </c>
      <c r="H43" s="156">
        <v>45826</v>
      </c>
      <c r="I43" s="157">
        <v>72</v>
      </c>
      <c r="J43" s="197"/>
      <c r="K43" s="71">
        <f>+J42*1.5</f>
        <v>199.5</v>
      </c>
    </row>
    <row r="44" spans="1:11" x14ac:dyDescent="0.25">
      <c r="C44" s="71" t="s">
        <v>83</v>
      </c>
      <c r="D44" s="72" t="s">
        <v>79</v>
      </c>
      <c r="H44" s="156">
        <v>45827</v>
      </c>
      <c r="I44" s="157">
        <v>32</v>
      </c>
      <c r="J44" s="197"/>
      <c r="K44" s="71"/>
    </row>
    <row r="45" spans="1:11" x14ac:dyDescent="0.25">
      <c r="B45" s="162" t="s">
        <v>78</v>
      </c>
      <c r="C45" s="71">
        <v>4</v>
      </c>
      <c r="D45" s="72"/>
      <c r="H45" s="144">
        <v>45828</v>
      </c>
      <c r="I45" s="146">
        <v>6</v>
      </c>
      <c r="J45" s="197">
        <f>+SUM(I45:I47)</f>
        <v>38</v>
      </c>
      <c r="K45" s="71"/>
    </row>
    <row r="46" spans="1:11" x14ac:dyDescent="0.25">
      <c r="C46" s="71">
        <v>5</v>
      </c>
      <c r="D46" s="108">
        <v>5</v>
      </c>
      <c r="H46" s="144">
        <v>45829</v>
      </c>
      <c r="I46" s="146">
        <v>12</v>
      </c>
      <c r="J46" s="197"/>
      <c r="K46" s="71">
        <f>+J45*1.5</f>
        <v>57</v>
      </c>
    </row>
    <row r="47" spans="1:11" x14ac:dyDescent="0.25">
      <c r="C47" s="71">
        <v>6</v>
      </c>
      <c r="D47" s="108">
        <v>5</v>
      </c>
      <c r="H47" s="144">
        <v>45830</v>
      </c>
      <c r="I47" s="146">
        <v>20</v>
      </c>
      <c r="J47" s="197"/>
      <c r="K47" s="71"/>
    </row>
    <row r="48" spans="1:11" x14ac:dyDescent="0.25">
      <c r="C48" s="71">
        <v>8</v>
      </c>
      <c r="J48" s="162">
        <f>+J42+J45</f>
        <v>171</v>
      </c>
      <c r="K48" s="71">
        <f>+K46+K43</f>
        <v>256.5</v>
      </c>
    </row>
  </sheetData>
  <protectedRanges>
    <protectedRange password="D554" sqref="I36:I37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topLeftCell="A10" workbookViewId="0">
      <selection activeCell="E31" sqref="E31"/>
    </sheetView>
  </sheetViews>
  <sheetFormatPr baseColWidth="10" defaultColWidth="11.42578125" defaultRowHeight="15.75" x14ac:dyDescent="0.25"/>
  <cols>
    <col min="1" max="1" width="2.42578125" style="162" customWidth="1"/>
    <col min="2" max="2" width="40.85546875" style="162" customWidth="1"/>
    <col min="3" max="3" width="13" style="162" customWidth="1"/>
    <col min="4" max="4" width="15.28515625" style="163" customWidth="1"/>
    <col min="5" max="5" width="21.7109375" style="162" customWidth="1"/>
    <col min="6" max="6" width="8.85546875" style="162" customWidth="1"/>
    <col min="7" max="9" width="11.42578125" style="162"/>
    <col min="10" max="10" width="10" style="162" customWidth="1"/>
    <col min="11" max="11" width="6.42578125" style="162" customWidth="1"/>
    <col min="12" max="16384" width="11.42578125" style="162"/>
  </cols>
  <sheetData>
    <row r="1" spans="1:10" ht="15" customHeight="1" x14ac:dyDescent="0.25">
      <c r="A1" s="161"/>
      <c r="B1" s="518">
        <v>45854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96"/>
      <c r="C4" s="196"/>
      <c r="D4" s="165">
        <f>D22</f>
        <v>9177.8359999999993</v>
      </c>
      <c r="F4" s="58" t="s">
        <v>51</v>
      </c>
      <c r="G4" s="59">
        <v>45845</v>
      </c>
      <c r="H4" s="58">
        <v>4956</v>
      </c>
      <c r="I4" s="141">
        <v>6584.9399999999978</v>
      </c>
      <c r="J4" s="60">
        <f>+I4/H4</f>
        <v>1.3286803874092006</v>
      </c>
    </row>
    <row r="5" spans="1:10" ht="15" customHeight="1" x14ac:dyDescent="0.25">
      <c r="A5" s="164"/>
      <c r="B5" s="168" t="s">
        <v>6</v>
      </c>
      <c r="C5" s="176">
        <v>5495</v>
      </c>
      <c r="D5" s="172">
        <v>234.75200000000001</v>
      </c>
      <c r="E5" s="80">
        <f>+D5/$D$4</f>
        <v>2.5578142821466851E-2</v>
      </c>
      <c r="F5" s="58" t="s">
        <v>52</v>
      </c>
      <c r="G5" s="59">
        <v>45846</v>
      </c>
      <c r="H5" s="58">
        <v>8181</v>
      </c>
      <c r="I5" s="141">
        <v>8798.9840000000022</v>
      </c>
      <c r="J5" s="60">
        <f t="shared" ref="J5:J11" si="0">+I5/H5</f>
        <v>1.0755389316709452</v>
      </c>
    </row>
    <row r="6" spans="1:10" ht="15" customHeight="1" x14ac:dyDescent="0.25">
      <c r="A6" s="164"/>
      <c r="B6" s="169" t="s">
        <v>10</v>
      </c>
      <c r="C6" s="177">
        <v>14723</v>
      </c>
      <c r="D6" s="173">
        <v>628.48</v>
      </c>
      <c r="E6" s="80">
        <f t="shared" ref="E6:E21" si="1">+D6/$D$4</f>
        <v>6.8478015950601004E-2</v>
      </c>
      <c r="F6" s="58" t="s">
        <v>53</v>
      </c>
      <c r="G6" s="59">
        <v>45847</v>
      </c>
      <c r="H6" s="58">
        <v>8519</v>
      </c>
      <c r="I6" s="141">
        <v>9177.8359999999993</v>
      </c>
      <c r="J6" s="60">
        <f t="shared" si="0"/>
        <v>1.0773372461556521</v>
      </c>
    </row>
    <row r="7" spans="1:10" ht="15" customHeight="1" x14ac:dyDescent="0.25">
      <c r="A7" s="164"/>
      <c r="B7" s="169" t="s">
        <v>35</v>
      </c>
      <c r="C7" s="177">
        <v>13397</v>
      </c>
      <c r="D7" s="173">
        <v>571.73</v>
      </c>
      <c r="E7" s="80">
        <f t="shared" si="1"/>
        <v>6.2294641133269331E-2</v>
      </c>
      <c r="F7" s="58" t="s">
        <v>54</v>
      </c>
      <c r="G7" s="59">
        <v>45848</v>
      </c>
      <c r="H7" s="58">
        <v>8363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2260</v>
      </c>
      <c r="D8" s="173">
        <v>96.26</v>
      </c>
      <c r="E8" s="80">
        <f t="shared" si="1"/>
        <v>1.048831118795324E-2</v>
      </c>
      <c r="F8" s="58" t="s">
        <v>55</v>
      </c>
      <c r="G8" s="59">
        <v>45849</v>
      </c>
      <c r="H8" s="58">
        <v>7105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43664</v>
      </c>
      <c r="D9" s="173">
        <v>1863.63</v>
      </c>
      <c r="E9" s="191">
        <f t="shared" si="1"/>
        <v>0.20305767067530955</v>
      </c>
      <c r="F9" s="58" t="s">
        <v>56</v>
      </c>
      <c r="G9" s="59">
        <v>45850</v>
      </c>
      <c r="H9" s="58">
        <v>7099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61858</v>
      </c>
      <c r="D10" s="173">
        <v>2639.866</v>
      </c>
      <c r="E10" s="191">
        <f t="shared" si="1"/>
        <v>0.2876349065291644</v>
      </c>
      <c r="F10" s="58" t="s">
        <v>57</v>
      </c>
      <c r="G10" s="59">
        <v>45851</v>
      </c>
      <c r="H10" s="58">
        <v>5227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13020</v>
      </c>
      <c r="D11" s="173">
        <v>556.06799999999998</v>
      </c>
      <c r="E11" s="80">
        <f t="shared" si="1"/>
        <v>6.0588138641832351E-2</v>
      </c>
      <c r="H11" s="139">
        <f>+SUM(H4:H10)</f>
        <v>49450</v>
      </c>
      <c r="I11" s="142">
        <f>+SUM(I4:I10)</f>
        <v>24561.759999999998</v>
      </c>
      <c r="J11" s="140">
        <f t="shared" si="0"/>
        <v>0.49669888776541959</v>
      </c>
    </row>
    <row r="12" spans="1:10" ht="15" customHeight="1" x14ac:dyDescent="0.25">
      <c r="A12" s="164"/>
      <c r="B12" s="169" t="s">
        <v>44</v>
      </c>
      <c r="C12" s="177">
        <v>91</v>
      </c>
      <c r="D12" s="173">
        <v>137.47999999999999</v>
      </c>
      <c r="E12" s="80">
        <f t="shared" si="1"/>
        <v>1.4979565989193967E-2</v>
      </c>
    </row>
    <row r="13" spans="1:10" ht="15" customHeight="1" x14ac:dyDescent="0.25">
      <c r="A13" s="164"/>
      <c r="B13" s="169" t="s">
        <v>49</v>
      </c>
      <c r="C13" s="177">
        <v>61</v>
      </c>
      <c r="D13" s="173">
        <v>91.63</v>
      </c>
      <c r="E13" s="80">
        <f t="shared" si="1"/>
        <v>9.9838349693762238E-3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39</v>
      </c>
      <c r="C14" s="177">
        <v>594</v>
      </c>
      <c r="D14" s="173">
        <v>897.01</v>
      </c>
      <c r="E14" s="80">
        <f t="shared" si="1"/>
        <v>9.7736547046602271E-2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142</v>
      </c>
      <c r="C15" s="177">
        <v>164</v>
      </c>
      <c r="D15" s="173">
        <v>247.44</v>
      </c>
      <c r="E15" s="80">
        <f t="shared" si="1"/>
        <v>2.6960603785031682E-2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88</v>
      </c>
      <c r="D16" s="173">
        <v>132.27000000000001</v>
      </c>
      <c r="E16" s="80">
        <f t="shared" si="1"/>
        <v>1.4411894045611625E-2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67</v>
      </c>
      <c r="D17" s="173">
        <v>100.71</v>
      </c>
      <c r="E17" s="80">
        <f t="shared" si="1"/>
        <v>1.097317494014929E-2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1" ht="15" customHeight="1" x14ac:dyDescent="0.25">
      <c r="A18" s="164"/>
      <c r="B18" s="169" t="s">
        <v>85</v>
      </c>
      <c r="C18" s="177">
        <v>65</v>
      </c>
      <c r="D18" s="173">
        <v>98.19</v>
      </c>
      <c r="E18" s="80">
        <f t="shared" si="1"/>
        <v>1.0698600410815797E-2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1" ht="15" customHeight="1" x14ac:dyDescent="0.25">
      <c r="A19" s="164"/>
      <c r="B19" s="169" t="s">
        <v>46</v>
      </c>
      <c r="C19" s="177"/>
      <c r="D19" s="173">
        <v>123.07</v>
      </c>
      <c r="E19" s="80">
        <f t="shared" si="1"/>
        <v>1.3409479097251247E-2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1" ht="15" customHeight="1" x14ac:dyDescent="0.25">
      <c r="A20" s="164"/>
      <c r="B20" s="169" t="s">
        <v>9</v>
      </c>
      <c r="C20" s="177"/>
      <c r="D20" s="173">
        <v>334.28</v>
      </c>
      <c r="E20" s="80">
        <f t="shared" si="1"/>
        <v>3.6422529232381137E-2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1" ht="15" customHeight="1" thickBot="1" x14ac:dyDescent="0.3">
      <c r="A21" s="164"/>
      <c r="B21" s="169" t="s">
        <v>40</v>
      </c>
      <c r="C21" s="177"/>
      <c r="D21" s="173">
        <v>424.97</v>
      </c>
      <c r="E21" s="80">
        <f t="shared" si="1"/>
        <v>4.6303943543990117E-2</v>
      </c>
      <c r="G21" s="112" t="s">
        <v>135</v>
      </c>
      <c r="H21" s="190">
        <v>232937.965</v>
      </c>
      <c r="I21" s="190"/>
    </row>
    <row r="22" spans="1:11" ht="15" customHeight="1" thickBot="1" x14ac:dyDescent="0.3">
      <c r="B22" s="178" t="s">
        <v>0</v>
      </c>
      <c r="C22" s="170"/>
      <c r="D22" s="171">
        <f>SUM(D5:D21)</f>
        <v>9177.8359999999993</v>
      </c>
      <c r="E22" s="57">
        <f>+D22/$D$4</f>
        <v>1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1" ht="15" customHeight="1" x14ac:dyDescent="0.25">
      <c r="B23" s="166" t="s">
        <v>1</v>
      </c>
      <c r="C23" s="167"/>
      <c r="D23" s="174">
        <v>118350.893</v>
      </c>
      <c r="E23" s="57">
        <f>+D23/$E$2</f>
        <v>0.53954781811882269</v>
      </c>
      <c r="H23" s="208" t="s">
        <v>130</v>
      </c>
      <c r="I23" s="209">
        <v>2833</v>
      </c>
    </row>
    <row r="24" spans="1:11" ht="15" customHeight="1" x14ac:dyDescent="0.25">
      <c r="D24" s="193">
        <f>+(E2/31)*16</f>
        <v>113213.93548387097</v>
      </c>
      <c r="E24" s="98">
        <f>+D24/E2</f>
        <v>0.5161290322580645</v>
      </c>
      <c r="H24" s="210" t="s">
        <v>129</v>
      </c>
      <c r="I24" s="211">
        <v>476</v>
      </c>
      <c r="J24" s="71"/>
    </row>
    <row r="25" spans="1:11" x14ac:dyDescent="0.25">
      <c r="D25" s="138">
        <f>+D23-D24</f>
        <v>5136.9575161290268</v>
      </c>
      <c r="E25" s="99">
        <f>+E23-E24</f>
        <v>2.3418785860758184E-2</v>
      </c>
      <c r="H25" s="210" t="s">
        <v>131</v>
      </c>
      <c r="I25" s="212">
        <v>382</v>
      </c>
      <c r="J25" s="71"/>
    </row>
    <row r="26" spans="1:11" ht="15" customHeight="1" x14ac:dyDescent="0.25">
      <c r="G26" s="163"/>
      <c r="H26" s="213"/>
      <c r="I26" s="75">
        <f>+SUM(I23:I25)</f>
        <v>3691</v>
      </c>
      <c r="J26" s="71"/>
    </row>
    <row r="27" spans="1:11" x14ac:dyDescent="0.25">
      <c r="B27" s="66" t="s">
        <v>60</v>
      </c>
      <c r="D27" s="109" t="s">
        <v>105</v>
      </c>
      <c r="E27" s="109" t="s">
        <v>80</v>
      </c>
      <c r="G27" s="163"/>
      <c r="I27" s="162" t="s">
        <v>92</v>
      </c>
      <c r="J27" s="71"/>
    </row>
    <row r="28" spans="1:11" x14ac:dyDescent="0.25">
      <c r="B28" s="162" t="s">
        <v>61</v>
      </c>
      <c r="C28" s="162">
        <v>274</v>
      </c>
      <c r="D28" s="108">
        <v>2142</v>
      </c>
      <c r="E28" s="57">
        <f>+C28/D28</f>
        <v>0.12791783380018673</v>
      </c>
      <c r="G28" s="86" t="s">
        <v>86</v>
      </c>
      <c r="H28" s="87">
        <v>2358</v>
      </c>
      <c r="I28" s="88">
        <v>58.95</v>
      </c>
      <c r="J28" s="71"/>
    </row>
    <row r="29" spans="1:11" x14ac:dyDescent="0.25">
      <c r="B29" s="162" t="s">
        <v>62</v>
      </c>
      <c r="C29" s="162">
        <v>866</v>
      </c>
      <c r="D29" s="108">
        <v>1890</v>
      </c>
      <c r="E29" s="57">
        <f>+C29/D29</f>
        <v>0.45820105820105822</v>
      </c>
      <c r="G29" s="86" t="s">
        <v>104</v>
      </c>
      <c r="H29" s="87">
        <v>14</v>
      </c>
      <c r="I29" s="88">
        <v>0.35000000000000003</v>
      </c>
      <c r="J29" s="71"/>
    </row>
    <row r="30" spans="1:11" x14ac:dyDescent="0.25">
      <c r="B30" s="162" t="s">
        <v>63</v>
      </c>
      <c r="C30" s="67">
        <v>198</v>
      </c>
      <c r="D30" s="108">
        <v>3006</v>
      </c>
      <c r="E30" s="57">
        <f>+C30/D30</f>
        <v>6.5868263473053898E-2</v>
      </c>
      <c r="G30" s="89" t="s">
        <v>87</v>
      </c>
      <c r="H30" s="87">
        <v>52</v>
      </c>
      <c r="I30" s="88">
        <v>78</v>
      </c>
      <c r="J30" s="71"/>
    </row>
    <row r="31" spans="1:11" ht="15" customHeight="1" x14ac:dyDescent="0.25">
      <c r="C31" s="162">
        <f>+SUM(C28:C30)</f>
        <v>1338</v>
      </c>
      <c r="D31" s="110">
        <f>+SUM(D28:D30)</f>
        <v>7038</v>
      </c>
      <c r="E31" s="57">
        <f>+C31/D31</f>
        <v>0.19011082693947143</v>
      </c>
      <c r="G31" s="89" t="s">
        <v>91</v>
      </c>
      <c r="H31" s="87">
        <v>6</v>
      </c>
      <c r="I31" s="88">
        <v>9</v>
      </c>
      <c r="J31" s="71">
        <v>253</v>
      </c>
      <c r="K31" s="162">
        <v>379.5</v>
      </c>
    </row>
    <row r="32" spans="1:11" ht="15" customHeight="1" x14ac:dyDescent="0.25">
      <c r="G32" s="89" t="s">
        <v>123</v>
      </c>
      <c r="H32" s="87">
        <f>+I36+I38</f>
        <v>83</v>
      </c>
      <c r="I32" s="88">
        <v>145.5</v>
      </c>
      <c r="J32" s="71"/>
    </row>
    <row r="33" spans="1:11" x14ac:dyDescent="0.25">
      <c r="B33" s="162" t="s">
        <v>66</v>
      </c>
      <c r="D33" s="162"/>
      <c r="G33" s="89" t="s">
        <v>96</v>
      </c>
      <c r="H33" s="87">
        <v>22</v>
      </c>
      <c r="I33" s="88">
        <v>33</v>
      </c>
      <c r="J33" s="71"/>
    </row>
    <row r="34" spans="1:11" ht="15" customHeight="1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244</v>
      </c>
      <c r="I34" s="88">
        <f>+H34*1.5</f>
        <v>366</v>
      </c>
      <c r="J34" s="189" t="s">
        <v>134</v>
      </c>
    </row>
    <row r="35" spans="1:11" x14ac:dyDescent="0.25">
      <c r="B35" s="73">
        <v>41</v>
      </c>
      <c r="C35" s="74">
        <v>1</v>
      </c>
      <c r="D35" s="74">
        <v>21</v>
      </c>
      <c r="E35" s="75">
        <f>+SUM(B35:D35)</f>
        <v>63</v>
      </c>
      <c r="J35" s="71"/>
    </row>
    <row r="36" spans="1:11" x14ac:dyDescent="0.25">
      <c r="E36" s="198" t="s">
        <v>76</v>
      </c>
      <c r="F36" s="198" t="s">
        <v>137</v>
      </c>
      <c r="H36" s="144" t="s">
        <v>124</v>
      </c>
      <c r="I36" s="145">
        <v>30</v>
      </c>
      <c r="K36" s="71"/>
    </row>
    <row r="37" spans="1:11" x14ac:dyDescent="0.25">
      <c r="D37" s="162"/>
      <c r="G37" s="71" t="s">
        <v>90</v>
      </c>
      <c r="H37" s="144" t="s">
        <v>120</v>
      </c>
      <c r="I37" s="145">
        <v>0</v>
      </c>
      <c r="K37" s="71"/>
    </row>
    <row r="38" spans="1:11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146">
        <v>53</v>
      </c>
      <c r="K38" s="71"/>
    </row>
    <row r="39" spans="1:11" x14ac:dyDescent="0.25">
      <c r="A39" s="207" t="s">
        <v>71</v>
      </c>
      <c r="B39" s="199">
        <v>11.02</v>
      </c>
      <c r="C39" s="199">
        <v>1810</v>
      </c>
      <c r="D39" s="200">
        <v>3600</v>
      </c>
      <c r="E39" s="201">
        <f t="shared" si="3"/>
        <v>0.50277777777777777</v>
      </c>
      <c r="F39" s="201">
        <f t="shared" si="4"/>
        <v>0.45916666666666667</v>
      </c>
      <c r="G39" s="202">
        <v>12</v>
      </c>
      <c r="H39" s="71"/>
      <c r="K39" s="71"/>
    </row>
    <row r="40" spans="1:11" x14ac:dyDescent="0.25">
      <c r="A40" s="207" t="s">
        <v>72</v>
      </c>
      <c r="B40" s="199">
        <v>13.24</v>
      </c>
      <c r="C40" s="199">
        <v>1244</v>
      </c>
      <c r="D40" s="200">
        <v>3900</v>
      </c>
      <c r="E40" s="201">
        <f t="shared" si="3"/>
        <v>0.318974358974359</v>
      </c>
      <c r="F40" s="201">
        <f t="shared" si="4"/>
        <v>0.55166666666666664</v>
      </c>
      <c r="G40" s="202">
        <v>11</v>
      </c>
      <c r="H40" s="160" t="s">
        <v>128</v>
      </c>
      <c r="K40" s="71"/>
    </row>
    <row r="41" spans="1:11" x14ac:dyDescent="0.25">
      <c r="A41" s="207" t="s">
        <v>73</v>
      </c>
      <c r="B41" s="199">
        <v>16.52</v>
      </c>
      <c r="C41" s="199">
        <v>2925</v>
      </c>
      <c r="D41" s="200">
        <v>3900</v>
      </c>
      <c r="E41" s="201">
        <f t="shared" si="3"/>
        <v>0.75</v>
      </c>
      <c r="F41" s="201">
        <f t="shared" si="4"/>
        <v>0.68833333333333335</v>
      </c>
      <c r="G41" s="202">
        <v>12</v>
      </c>
      <c r="H41" s="154">
        <v>45811</v>
      </c>
      <c r="I41" s="155">
        <v>73</v>
      </c>
      <c r="K41" s="71"/>
    </row>
    <row r="42" spans="1:11" x14ac:dyDescent="0.25">
      <c r="A42" s="207" t="s">
        <v>74</v>
      </c>
      <c r="B42" s="199">
        <v>9.26</v>
      </c>
      <c r="C42" s="199">
        <v>1503</v>
      </c>
      <c r="D42" s="200">
        <v>3900</v>
      </c>
      <c r="E42" s="201">
        <f t="shared" si="3"/>
        <v>0.38538461538461538</v>
      </c>
      <c r="F42" s="201">
        <f t="shared" si="4"/>
        <v>0.38583333333333331</v>
      </c>
      <c r="G42" s="202">
        <v>12</v>
      </c>
      <c r="H42" s="156">
        <v>45826</v>
      </c>
      <c r="I42" s="157">
        <v>29</v>
      </c>
      <c r="J42" s="197">
        <f>+SUM(I42:I44)</f>
        <v>133</v>
      </c>
      <c r="K42" s="71"/>
    </row>
    <row r="43" spans="1:11" x14ac:dyDescent="0.25">
      <c r="A43" s="207" t="s">
        <v>75</v>
      </c>
      <c r="B43" s="203">
        <v>6.29</v>
      </c>
      <c r="C43" s="204">
        <v>882</v>
      </c>
      <c r="D43" s="205">
        <v>4300</v>
      </c>
      <c r="E43" s="206">
        <f t="shared" si="3"/>
        <v>0.20511627906976745</v>
      </c>
      <c r="F43" s="201">
        <f t="shared" si="4"/>
        <v>0.26208333333333333</v>
      </c>
      <c r="G43" s="202">
        <v>16</v>
      </c>
      <c r="H43" s="156">
        <v>45826</v>
      </c>
      <c r="I43" s="157">
        <v>72</v>
      </c>
      <c r="J43" s="197"/>
      <c r="K43" s="71">
        <f>+J42*1.5</f>
        <v>199.5</v>
      </c>
    </row>
    <row r="44" spans="1:11" x14ac:dyDescent="0.25">
      <c r="C44" s="71" t="s">
        <v>83</v>
      </c>
      <c r="D44" s="72" t="s">
        <v>79</v>
      </c>
      <c r="H44" s="156">
        <v>45827</v>
      </c>
      <c r="I44" s="157">
        <v>32</v>
      </c>
      <c r="J44" s="197"/>
      <c r="K44" s="71"/>
    </row>
    <row r="45" spans="1:11" x14ac:dyDescent="0.25">
      <c r="B45" s="162" t="s">
        <v>78</v>
      </c>
      <c r="C45" s="71">
        <v>4</v>
      </c>
      <c r="D45" s="72"/>
      <c r="H45" s="144">
        <v>45828</v>
      </c>
      <c r="I45" s="146">
        <v>6</v>
      </c>
      <c r="J45" s="197">
        <f>+SUM(I45:I47)</f>
        <v>38</v>
      </c>
      <c r="K45" s="71"/>
    </row>
    <row r="46" spans="1:11" x14ac:dyDescent="0.25">
      <c r="C46" s="71">
        <v>5</v>
      </c>
      <c r="D46" s="108">
        <v>5</v>
      </c>
      <c r="H46" s="144">
        <v>45829</v>
      </c>
      <c r="I46" s="146">
        <v>12</v>
      </c>
      <c r="J46" s="197"/>
      <c r="K46" s="71">
        <f>+J45*1.5</f>
        <v>57</v>
      </c>
    </row>
    <row r="47" spans="1:11" x14ac:dyDescent="0.25">
      <c r="C47" s="71">
        <v>6</v>
      </c>
      <c r="D47" s="108">
        <v>10</v>
      </c>
      <c r="H47" s="144">
        <v>45830</v>
      </c>
      <c r="I47" s="146">
        <v>20</v>
      </c>
      <c r="J47" s="197"/>
      <c r="K47" s="71"/>
    </row>
    <row r="48" spans="1:11" x14ac:dyDescent="0.25">
      <c r="C48" s="71">
        <v>8</v>
      </c>
      <c r="J48" s="162">
        <f>+J42+J45</f>
        <v>171</v>
      </c>
      <c r="K48" s="71">
        <f>+K46+K43</f>
        <v>256.5</v>
      </c>
    </row>
  </sheetData>
  <protectedRanges>
    <protectedRange password="D554" sqref="I36:I37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8"/>
  <sheetViews>
    <sheetView topLeftCell="A13" workbookViewId="0">
      <selection activeCell="E31" sqref="E31"/>
    </sheetView>
  </sheetViews>
  <sheetFormatPr baseColWidth="10" defaultColWidth="11.42578125" defaultRowHeight="15.75" x14ac:dyDescent="0.25"/>
  <cols>
    <col min="1" max="1" width="2.42578125" style="162" customWidth="1"/>
    <col min="2" max="2" width="44.7109375" style="162" customWidth="1"/>
    <col min="3" max="3" width="15.28515625" style="162" customWidth="1"/>
    <col min="4" max="4" width="15.28515625" style="163" customWidth="1"/>
    <col min="5" max="5" width="15" style="162" customWidth="1"/>
    <col min="6" max="6" width="16.5703125" style="162" customWidth="1"/>
    <col min="7" max="7" width="19.140625" style="162" bestFit="1" customWidth="1"/>
    <col min="8" max="8" width="11.5703125" style="162" customWidth="1"/>
    <col min="9" max="9" width="9" style="162" customWidth="1"/>
    <col min="10" max="10" width="8.140625" style="162" customWidth="1"/>
    <col min="11" max="11" width="6.7109375" style="162" bestFit="1" customWidth="1"/>
    <col min="12" max="16384" width="11.42578125" style="162"/>
  </cols>
  <sheetData>
    <row r="1" spans="1:10" ht="15" customHeight="1" x14ac:dyDescent="0.25">
      <c r="A1" s="161"/>
      <c r="B1" s="518">
        <v>45855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196"/>
      <c r="C4" s="196"/>
      <c r="D4" s="165">
        <f>D22</f>
        <v>7109.67</v>
      </c>
      <c r="F4" s="58" t="s">
        <v>51</v>
      </c>
      <c r="G4" s="59">
        <v>45845</v>
      </c>
      <c r="H4" s="58">
        <v>4956</v>
      </c>
      <c r="I4" s="141">
        <v>6584.9399999999978</v>
      </c>
      <c r="J4" s="60">
        <f>+I4/H4</f>
        <v>1.3286803874092006</v>
      </c>
    </row>
    <row r="5" spans="1:10" ht="15" customHeight="1" x14ac:dyDescent="0.25">
      <c r="A5" s="164"/>
      <c r="B5" s="168" t="s">
        <v>6</v>
      </c>
      <c r="C5" s="176">
        <v>1510</v>
      </c>
      <c r="D5" s="172">
        <v>64.343999999999994</v>
      </c>
      <c r="E5" s="80">
        <f>+D5/$D$4</f>
        <v>9.0502090814341581E-3</v>
      </c>
      <c r="F5" s="58" t="s">
        <v>52</v>
      </c>
      <c r="G5" s="59">
        <v>45846</v>
      </c>
      <c r="H5" s="58">
        <v>8181</v>
      </c>
      <c r="I5" s="141">
        <v>8798.9840000000022</v>
      </c>
      <c r="J5" s="60">
        <f t="shared" ref="J5:J11" si="0">+I5/H5</f>
        <v>1.0755389316709452</v>
      </c>
    </row>
    <row r="6" spans="1:10" ht="15" customHeight="1" x14ac:dyDescent="0.25">
      <c r="A6" s="164"/>
      <c r="B6" s="169" t="s">
        <v>10</v>
      </c>
      <c r="C6" s="177">
        <v>8546</v>
      </c>
      <c r="D6" s="173">
        <v>364.64600000000002</v>
      </c>
      <c r="E6" s="80">
        <f t="shared" ref="E6:E21" si="1">+D6/$D$4</f>
        <v>5.1288737733256255E-2</v>
      </c>
      <c r="F6" s="58" t="s">
        <v>53</v>
      </c>
      <c r="G6" s="59">
        <v>45847</v>
      </c>
      <c r="H6" s="58">
        <v>8519</v>
      </c>
      <c r="I6" s="141">
        <v>9177.8359999999993</v>
      </c>
      <c r="J6" s="60">
        <f t="shared" si="0"/>
        <v>1.0773372461556521</v>
      </c>
    </row>
    <row r="7" spans="1:10" ht="15" customHeight="1" x14ac:dyDescent="0.25">
      <c r="A7" s="164"/>
      <c r="B7" s="169" t="s">
        <v>35</v>
      </c>
      <c r="C7" s="177">
        <v>11466</v>
      </c>
      <c r="D7" s="173">
        <v>489.12</v>
      </c>
      <c r="E7" s="80">
        <f t="shared" si="1"/>
        <v>6.8796442028954935E-2</v>
      </c>
      <c r="F7" s="58" t="s">
        <v>54</v>
      </c>
      <c r="G7" s="59">
        <v>45848</v>
      </c>
      <c r="H7" s="58">
        <v>8363</v>
      </c>
      <c r="I7" s="141">
        <v>7109.67</v>
      </c>
      <c r="J7" s="60">
        <f t="shared" si="0"/>
        <v>0.85013392323328951</v>
      </c>
    </row>
    <row r="8" spans="1:10" ht="15" customHeight="1" x14ac:dyDescent="0.25">
      <c r="A8" s="164"/>
      <c r="B8" s="169" t="s">
        <v>4</v>
      </c>
      <c r="C8" s="177">
        <v>1740</v>
      </c>
      <c r="D8" s="173">
        <v>74.38</v>
      </c>
      <c r="E8" s="80">
        <f t="shared" si="1"/>
        <v>1.0461807650706713E-2</v>
      </c>
      <c r="F8" s="58" t="s">
        <v>55</v>
      </c>
      <c r="G8" s="59">
        <v>45849</v>
      </c>
      <c r="H8" s="58">
        <v>7105</v>
      </c>
      <c r="I8" s="141">
        <v>9582.7199999999993</v>
      </c>
      <c r="J8" s="60">
        <f t="shared" si="0"/>
        <v>1.3487290640394087</v>
      </c>
    </row>
    <row r="9" spans="1:10" ht="15" customHeight="1" x14ac:dyDescent="0.25">
      <c r="A9" s="164"/>
      <c r="B9" s="169" t="s">
        <v>37</v>
      </c>
      <c r="C9" s="177">
        <v>37283</v>
      </c>
      <c r="D9" s="173">
        <v>1591.452</v>
      </c>
      <c r="E9" s="191">
        <f t="shared" si="1"/>
        <v>0.22384330074391637</v>
      </c>
      <c r="F9" s="58" t="s">
        <v>56</v>
      </c>
      <c r="G9" s="59">
        <v>45850</v>
      </c>
      <c r="H9" s="58">
        <v>7099</v>
      </c>
      <c r="I9" s="141">
        <v>8958.19</v>
      </c>
      <c r="J9" s="60">
        <f t="shared" si="0"/>
        <v>1.2618946330469081</v>
      </c>
    </row>
    <row r="10" spans="1:10" ht="15" customHeight="1" x14ac:dyDescent="0.25">
      <c r="A10" s="164"/>
      <c r="B10" s="169" t="s">
        <v>38</v>
      </c>
      <c r="C10" s="177">
        <v>41972</v>
      </c>
      <c r="D10" s="173">
        <v>1791.32</v>
      </c>
      <c r="E10" s="191">
        <f t="shared" si="1"/>
        <v>0.25195543534369386</v>
      </c>
      <c r="F10" s="58" t="s">
        <v>57</v>
      </c>
      <c r="G10" s="59">
        <v>45851</v>
      </c>
      <c r="H10" s="58">
        <v>5227</v>
      </c>
      <c r="I10" s="141">
        <v>6017.16</v>
      </c>
      <c r="J10" s="60">
        <f t="shared" si="0"/>
        <v>1.1511689305528985</v>
      </c>
    </row>
    <row r="11" spans="1:10" ht="15" customHeight="1" x14ac:dyDescent="0.25">
      <c r="A11" s="164"/>
      <c r="B11" s="169" t="s">
        <v>42</v>
      </c>
      <c r="C11" s="177">
        <v>12350</v>
      </c>
      <c r="D11" s="173">
        <v>526.87599999999998</v>
      </c>
      <c r="E11" s="80">
        <f t="shared" si="1"/>
        <v>7.4106955737748725E-2</v>
      </c>
      <c r="H11" s="139">
        <f>+SUM(H4:H10)</f>
        <v>49450</v>
      </c>
      <c r="I11" s="142">
        <f>+SUM(I4:I10)</f>
        <v>56229.5</v>
      </c>
      <c r="J11" s="140">
        <f t="shared" si="0"/>
        <v>1.1370980788675429</v>
      </c>
    </row>
    <row r="12" spans="1:10" ht="15" customHeight="1" x14ac:dyDescent="0.25">
      <c r="A12" s="164"/>
      <c r="B12" s="169" t="s">
        <v>44</v>
      </c>
      <c r="C12" s="177">
        <v>41</v>
      </c>
      <c r="D12" s="173">
        <v>61.89</v>
      </c>
      <c r="E12" s="80">
        <f t="shared" si="1"/>
        <v>8.7050453818531669E-3</v>
      </c>
    </row>
    <row r="13" spans="1:10" ht="15" customHeight="1" x14ac:dyDescent="0.25">
      <c r="A13" s="164"/>
      <c r="B13" s="169" t="s">
        <v>49</v>
      </c>
      <c r="C13" s="177">
        <v>24</v>
      </c>
      <c r="D13" s="173">
        <v>36.049999999999997</v>
      </c>
      <c r="E13" s="80">
        <f t="shared" si="1"/>
        <v>5.0705588304379807E-3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39</v>
      </c>
      <c r="C14" s="177">
        <v>415</v>
      </c>
      <c r="D14" s="173">
        <v>625.52</v>
      </c>
      <c r="E14" s="80">
        <f t="shared" si="1"/>
        <v>8.7981580017075331E-2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142</v>
      </c>
      <c r="C15" s="177">
        <v>322</v>
      </c>
      <c r="D15" s="173">
        <v>485.92</v>
      </c>
      <c r="E15" s="80">
        <f t="shared" si="1"/>
        <v>6.8346350815157386E-2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46</v>
      </c>
      <c r="D16" s="173">
        <v>69.239999999999995</v>
      </c>
      <c r="E16" s="80">
        <f t="shared" si="1"/>
        <v>9.7388486385444045E-3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147</v>
      </c>
      <c r="D17" s="173">
        <v>220.91</v>
      </c>
      <c r="E17" s="80">
        <f t="shared" si="1"/>
        <v>3.1071765637504974E-2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1" ht="15" customHeight="1" x14ac:dyDescent="0.25">
      <c r="A18" s="164"/>
      <c r="B18" s="169" t="s">
        <v>95</v>
      </c>
      <c r="C18" s="177">
        <v>1285</v>
      </c>
      <c r="D18" s="173">
        <v>32.601999999999997</v>
      </c>
      <c r="E18" s="80">
        <f t="shared" si="1"/>
        <v>4.5855855475711244E-3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1" ht="15" customHeight="1" x14ac:dyDescent="0.25">
      <c r="A19" s="164"/>
      <c r="B19" s="169" t="s">
        <v>46</v>
      </c>
      <c r="C19" s="177"/>
      <c r="D19" s="173"/>
      <c r="E19" s="80">
        <f t="shared" si="1"/>
        <v>0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1" ht="15" customHeight="1" x14ac:dyDescent="0.25">
      <c r="A20" s="164"/>
      <c r="B20" s="169" t="s">
        <v>9</v>
      </c>
      <c r="C20" s="177"/>
      <c r="D20" s="173">
        <v>94.18</v>
      </c>
      <c r="E20" s="80">
        <f t="shared" si="1"/>
        <v>1.3246747036079032E-2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1" ht="15" customHeight="1" thickBot="1" x14ac:dyDescent="0.3">
      <c r="A21" s="164"/>
      <c r="B21" s="169" t="s">
        <v>40</v>
      </c>
      <c r="C21" s="177"/>
      <c r="D21" s="173">
        <v>581.22</v>
      </c>
      <c r="E21" s="80">
        <f t="shared" si="1"/>
        <v>8.1750629776065564E-2</v>
      </c>
      <c r="G21" s="112" t="s">
        <v>135</v>
      </c>
      <c r="H21" s="190">
        <v>232937.965</v>
      </c>
      <c r="I21" s="190"/>
    </row>
    <row r="22" spans="1:11" ht="15" customHeight="1" thickBot="1" x14ac:dyDescent="0.3">
      <c r="B22" s="178" t="s">
        <v>0</v>
      </c>
      <c r="C22" s="170"/>
      <c r="D22" s="171">
        <f>SUM(D5:D21)</f>
        <v>7109.67</v>
      </c>
      <c r="E22" s="57">
        <f>+D22/$D$4</f>
        <v>1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1" ht="15" customHeight="1" x14ac:dyDescent="0.25">
      <c r="B23" s="166" t="s">
        <v>1</v>
      </c>
      <c r="C23" s="167"/>
      <c r="D23" s="174">
        <v>125460.56299999999</v>
      </c>
      <c r="E23" s="57">
        <f>+D23/$E$2</f>
        <v>0.57195996845253294</v>
      </c>
    </row>
    <row r="24" spans="1:11" x14ac:dyDescent="0.25">
      <c r="D24" s="193">
        <f>+(E2/31)*17</f>
        <v>120289.80645161291</v>
      </c>
      <c r="E24" s="98">
        <f>+D24/E2</f>
        <v>0.54838709677419362</v>
      </c>
    </row>
    <row r="25" spans="1:11" x14ac:dyDescent="0.25">
      <c r="D25" s="138">
        <f>+D23-D24</f>
        <v>5170.7565483870858</v>
      </c>
      <c r="E25" s="99">
        <f>+E23-E24</f>
        <v>2.3572871678339324E-2</v>
      </c>
    </row>
    <row r="26" spans="1:11" x14ac:dyDescent="0.25">
      <c r="G26" s="163"/>
      <c r="H26" s="163"/>
      <c r="I26" s="163"/>
      <c r="J26" s="163"/>
    </row>
    <row r="27" spans="1:11" x14ac:dyDescent="0.25">
      <c r="B27" s="66" t="s">
        <v>60</v>
      </c>
      <c r="D27" s="109" t="s">
        <v>105</v>
      </c>
      <c r="E27" s="109" t="s">
        <v>80</v>
      </c>
      <c r="G27" s="163"/>
      <c r="I27" s="162" t="s">
        <v>92</v>
      </c>
      <c r="J27" s="71"/>
    </row>
    <row r="28" spans="1:11" ht="15" customHeight="1" x14ac:dyDescent="0.25">
      <c r="B28" s="162" t="s">
        <v>61</v>
      </c>
      <c r="C28" s="162">
        <v>462</v>
      </c>
      <c r="D28" s="108">
        <v>2142</v>
      </c>
      <c r="E28" s="57">
        <f>+C28/D28</f>
        <v>0.21568627450980393</v>
      </c>
      <c r="G28" s="86" t="s">
        <v>86</v>
      </c>
      <c r="H28" s="87">
        <v>2358</v>
      </c>
      <c r="I28" s="88">
        <v>58.95</v>
      </c>
      <c r="J28" s="71"/>
    </row>
    <row r="29" spans="1:11" ht="15" customHeight="1" x14ac:dyDescent="0.25">
      <c r="B29" s="162" t="s">
        <v>62</v>
      </c>
      <c r="C29" s="162">
        <v>857</v>
      </c>
      <c r="D29" s="108">
        <v>1890</v>
      </c>
      <c r="E29" s="57">
        <f>+C29/D29</f>
        <v>0.45343915343915342</v>
      </c>
      <c r="G29" s="86" t="s">
        <v>104</v>
      </c>
      <c r="H29" s="87">
        <v>14</v>
      </c>
      <c r="I29" s="88">
        <v>0.35000000000000003</v>
      </c>
      <c r="J29" s="71">
        <v>111</v>
      </c>
      <c r="K29" s="215" t="s">
        <v>144</v>
      </c>
    </row>
    <row r="30" spans="1:11" x14ac:dyDescent="0.25">
      <c r="B30" s="162" t="s">
        <v>63</v>
      </c>
      <c r="C30" s="67">
        <v>681</v>
      </c>
      <c r="D30" s="108">
        <v>3006</v>
      </c>
      <c r="E30" s="57">
        <f>+C30/D30</f>
        <v>0.22654690618762474</v>
      </c>
      <c r="G30" s="89" t="s">
        <v>87</v>
      </c>
      <c r="H30" s="87">
        <f>52+111+26</f>
        <v>189</v>
      </c>
      <c r="I30" s="88">
        <v>78</v>
      </c>
      <c r="J30" s="71">
        <v>26</v>
      </c>
      <c r="K30" s="215" t="s">
        <v>143</v>
      </c>
    </row>
    <row r="31" spans="1:11" ht="15" customHeight="1" x14ac:dyDescent="0.25">
      <c r="C31" s="162">
        <f>+SUM(C28:C30)</f>
        <v>2000</v>
      </c>
      <c r="D31" s="110">
        <f>+SUM(D28:D30)</f>
        <v>7038</v>
      </c>
      <c r="E31" s="57">
        <f>+C31/D31</f>
        <v>0.28417163967036091</v>
      </c>
      <c r="G31" s="89" t="s">
        <v>91</v>
      </c>
      <c r="H31" s="87">
        <v>6</v>
      </c>
      <c r="I31" s="88">
        <v>9</v>
      </c>
      <c r="J31" s="71"/>
    </row>
    <row r="32" spans="1:11" x14ac:dyDescent="0.25">
      <c r="G32" s="89" t="s">
        <v>123</v>
      </c>
      <c r="H32" s="87">
        <f>+I36+I38</f>
        <v>83</v>
      </c>
      <c r="I32" s="88">
        <v>145.5</v>
      </c>
      <c r="J32" s="71"/>
    </row>
    <row r="33" spans="1:11" x14ac:dyDescent="0.25">
      <c r="B33" s="162" t="s">
        <v>66</v>
      </c>
      <c r="D33" s="162"/>
      <c r="G33" s="89" t="s">
        <v>96</v>
      </c>
      <c r="H33" s="87">
        <v>22</v>
      </c>
      <c r="I33" s="88">
        <v>33</v>
      </c>
      <c r="J33" s="71"/>
    </row>
    <row r="34" spans="1:11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244</v>
      </c>
      <c r="I34" s="88">
        <f>+H34*1.5</f>
        <v>366</v>
      </c>
      <c r="J34" s="189" t="s">
        <v>134</v>
      </c>
    </row>
    <row r="35" spans="1:11" x14ac:dyDescent="0.25">
      <c r="B35" s="73">
        <v>52</v>
      </c>
      <c r="C35" s="74">
        <v>4</v>
      </c>
      <c r="D35" s="74">
        <v>24</v>
      </c>
      <c r="E35" s="75">
        <f>+SUM(B35:D35)</f>
        <v>80</v>
      </c>
      <c r="J35" s="71"/>
    </row>
    <row r="36" spans="1:11" x14ac:dyDescent="0.25">
      <c r="E36" s="198" t="s">
        <v>76</v>
      </c>
      <c r="F36" s="198" t="s">
        <v>137</v>
      </c>
      <c r="H36" s="144" t="s">
        <v>124</v>
      </c>
      <c r="I36" s="145">
        <v>30</v>
      </c>
      <c r="K36" s="71"/>
    </row>
    <row r="37" spans="1:11" x14ac:dyDescent="0.25">
      <c r="D37" s="162"/>
      <c r="G37" s="71" t="s">
        <v>90</v>
      </c>
      <c r="H37" s="144" t="s">
        <v>120</v>
      </c>
      <c r="I37" s="145">
        <v>0</v>
      </c>
      <c r="K37" s="71"/>
    </row>
    <row r="38" spans="1:11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146">
        <v>53</v>
      </c>
      <c r="K38" s="71"/>
    </row>
    <row r="39" spans="1:11" x14ac:dyDescent="0.25">
      <c r="A39" s="207" t="s">
        <v>71</v>
      </c>
      <c r="B39" s="199">
        <v>12.82</v>
      </c>
      <c r="C39" s="199">
        <v>1822</v>
      </c>
      <c r="D39" s="200">
        <v>3600</v>
      </c>
      <c r="E39" s="201">
        <f t="shared" si="3"/>
        <v>0.50611111111111107</v>
      </c>
      <c r="F39" s="201">
        <f t="shared" si="4"/>
        <v>0.53416666666666668</v>
      </c>
      <c r="G39" s="202">
        <v>12</v>
      </c>
      <c r="H39" s="71"/>
      <c r="K39" s="71"/>
    </row>
    <row r="40" spans="1:11" x14ac:dyDescent="0.25">
      <c r="A40" s="207" t="s">
        <v>72</v>
      </c>
      <c r="B40" s="199">
        <v>12.12</v>
      </c>
      <c r="C40" s="199">
        <v>1399</v>
      </c>
      <c r="D40" s="200">
        <v>3900</v>
      </c>
      <c r="E40" s="201">
        <f t="shared" si="3"/>
        <v>0.35871794871794871</v>
      </c>
      <c r="F40" s="201">
        <f t="shared" si="4"/>
        <v>0.505</v>
      </c>
      <c r="G40" s="202">
        <v>11</v>
      </c>
      <c r="H40" s="160" t="s">
        <v>128</v>
      </c>
      <c r="K40" s="71"/>
    </row>
    <row r="41" spans="1:11" x14ac:dyDescent="0.25">
      <c r="A41" s="207" t="s">
        <v>73</v>
      </c>
      <c r="B41" s="199">
        <v>17.5</v>
      </c>
      <c r="C41" s="199">
        <v>2447</v>
      </c>
      <c r="D41" s="200">
        <v>3900</v>
      </c>
      <c r="E41" s="201">
        <f t="shared" si="3"/>
        <v>0.62743589743589745</v>
      </c>
      <c r="F41" s="201">
        <f t="shared" si="4"/>
        <v>0.72916666666666663</v>
      </c>
      <c r="G41" s="202">
        <v>12</v>
      </c>
      <c r="H41" s="154">
        <v>45811</v>
      </c>
      <c r="I41" s="155">
        <v>73</v>
      </c>
      <c r="K41" s="71"/>
    </row>
    <row r="42" spans="1:11" x14ac:dyDescent="0.25">
      <c r="A42" s="207" t="s">
        <v>74</v>
      </c>
      <c r="B42" s="199">
        <v>7</v>
      </c>
      <c r="C42" s="199">
        <v>2722</v>
      </c>
      <c r="D42" s="200">
        <v>3900</v>
      </c>
      <c r="E42" s="201">
        <f t="shared" si="3"/>
        <v>0.69794871794871793</v>
      </c>
      <c r="F42" s="201">
        <f t="shared" si="4"/>
        <v>0.29166666666666669</v>
      </c>
      <c r="G42" s="202">
        <v>12</v>
      </c>
      <c r="H42" s="156">
        <v>45826</v>
      </c>
      <c r="I42" s="157">
        <v>29</v>
      </c>
      <c r="J42" s="197">
        <f>+SUM(I42:I44)</f>
        <v>133</v>
      </c>
      <c r="K42" s="71"/>
    </row>
    <row r="43" spans="1:11" x14ac:dyDescent="0.25">
      <c r="A43" s="207" t="s">
        <v>75</v>
      </c>
      <c r="B43" s="203">
        <v>4.32</v>
      </c>
      <c r="C43" s="204">
        <v>2777</v>
      </c>
      <c r="D43" s="205">
        <v>4300</v>
      </c>
      <c r="E43" s="206">
        <f t="shared" si="3"/>
        <v>0.64581395348837212</v>
      </c>
      <c r="F43" s="201">
        <f t="shared" si="4"/>
        <v>0.18000000000000002</v>
      </c>
      <c r="G43" s="202">
        <v>16</v>
      </c>
      <c r="H43" s="156">
        <v>45826</v>
      </c>
      <c r="I43" s="157">
        <v>72</v>
      </c>
      <c r="J43" s="197"/>
      <c r="K43" s="71">
        <f>+J42*1.5</f>
        <v>199.5</v>
      </c>
    </row>
    <row r="44" spans="1:11" x14ac:dyDescent="0.25">
      <c r="C44" s="71" t="s">
        <v>83</v>
      </c>
      <c r="D44" s="72" t="s">
        <v>79</v>
      </c>
      <c r="H44" s="156">
        <v>45827</v>
      </c>
      <c r="I44" s="157">
        <v>32</v>
      </c>
      <c r="J44" s="197"/>
      <c r="K44" s="71"/>
    </row>
    <row r="45" spans="1:11" x14ac:dyDescent="0.25">
      <c r="B45" s="162" t="s">
        <v>78</v>
      </c>
      <c r="C45" s="71">
        <v>4</v>
      </c>
      <c r="D45" s="72"/>
      <c r="H45" s="144">
        <v>45828</v>
      </c>
      <c r="I45" s="146">
        <v>6</v>
      </c>
      <c r="J45" s="197">
        <f>+SUM(I45:I47)</f>
        <v>38</v>
      </c>
      <c r="K45" s="71"/>
    </row>
    <row r="46" spans="1:11" x14ac:dyDescent="0.25">
      <c r="C46" s="71">
        <v>5</v>
      </c>
      <c r="D46" s="108">
        <v>0</v>
      </c>
      <c r="H46" s="144">
        <v>45829</v>
      </c>
      <c r="I46" s="146">
        <v>12</v>
      </c>
      <c r="J46" s="197"/>
      <c r="K46" s="71">
        <f>+J45*1.5</f>
        <v>57</v>
      </c>
    </row>
    <row r="47" spans="1:11" x14ac:dyDescent="0.25">
      <c r="C47" s="71">
        <v>6</v>
      </c>
      <c r="D47" s="108">
        <v>14</v>
      </c>
      <c r="H47" s="144">
        <v>45830</v>
      </c>
      <c r="I47" s="146">
        <v>20</v>
      </c>
      <c r="J47" s="197"/>
      <c r="K47" s="71"/>
    </row>
    <row r="48" spans="1:11" x14ac:dyDescent="0.25">
      <c r="C48" s="71">
        <v>8</v>
      </c>
      <c r="J48" s="162">
        <f>+J42+J45</f>
        <v>171</v>
      </c>
      <c r="K48" s="71">
        <f>+K46+K43</f>
        <v>256.5</v>
      </c>
    </row>
  </sheetData>
  <protectedRanges>
    <protectedRange password="D554" sqref="I36:I37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4"/>
  <sheetViews>
    <sheetView topLeftCell="A13" workbookViewId="0">
      <selection activeCell="E34" sqref="E34"/>
    </sheetView>
  </sheetViews>
  <sheetFormatPr baseColWidth="10" defaultColWidth="11.42578125" defaultRowHeight="15.75" x14ac:dyDescent="0.25"/>
  <cols>
    <col min="1" max="1" width="3.5703125" style="162" bestFit="1" customWidth="1"/>
    <col min="2" max="2" width="43.85546875" style="162" customWidth="1"/>
    <col min="3" max="3" width="15.28515625" style="162" customWidth="1"/>
    <col min="4" max="4" width="15.28515625" style="163" customWidth="1"/>
    <col min="5" max="5" width="14.28515625" style="162" customWidth="1"/>
    <col min="6" max="6" width="9.7109375" style="162" bestFit="1" customWidth="1"/>
    <col min="7" max="7" width="16" style="162" customWidth="1"/>
    <col min="8" max="8" width="9.7109375" style="162" customWidth="1"/>
    <col min="9" max="9" width="11.42578125" style="162"/>
    <col min="10" max="10" width="10.42578125" style="162" customWidth="1"/>
    <col min="11" max="16384" width="11.42578125" style="162"/>
  </cols>
  <sheetData>
    <row r="1" spans="1:10" ht="15" customHeight="1" x14ac:dyDescent="0.25">
      <c r="A1" s="161"/>
      <c r="B1" s="518">
        <v>45858</v>
      </c>
      <c r="C1" s="518"/>
      <c r="D1" s="518"/>
      <c r="E1" s="61" t="s">
        <v>133</v>
      </c>
      <c r="F1" s="62"/>
      <c r="J1" s="71"/>
    </row>
    <row r="2" spans="1:10" x14ac:dyDescent="0.25">
      <c r="E2" s="62">
        <v>219352</v>
      </c>
      <c r="F2" s="62"/>
      <c r="J2" s="71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14"/>
      <c r="C4" s="214"/>
      <c r="D4" s="165">
        <f>D25</f>
        <v>6017.9839999999995</v>
      </c>
      <c r="F4" s="58" t="s">
        <v>51</v>
      </c>
      <c r="G4" s="59">
        <v>45845</v>
      </c>
      <c r="H4" s="58">
        <v>4956</v>
      </c>
      <c r="I4" s="141">
        <v>6584.9399999999978</v>
      </c>
      <c r="J4" s="60">
        <f>+I4/H4</f>
        <v>1.3286803874092006</v>
      </c>
    </row>
    <row r="5" spans="1:10" ht="15" customHeight="1" x14ac:dyDescent="0.25">
      <c r="A5" s="164"/>
      <c r="B5" s="168" t="s">
        <v>6</v>
      </c>
      <c r="C5" s="176">
        <v>2920</v>
      </c>
      <c r="D5" s="172">
        <v>124.706</v>
      </c>
      <c r="E5" s="80">
        <f>+D5/$D$4</f>
        <v>2.0722221926811373E-2</v>
      </c>
      <c r="F5" s="58" t="s">
        <v>52</v>
      </c>
      <c r="G5" s="59">
        <v>45846</v>
      </c>
      <c r="H5" s="58">
        <v>8181</v>
      </c>
      <c r="I5" s="141">
        <v>8798.9840000000022</v>
      </c>
      <c r="J5" s="60">
        <f t="shared" ref="J5:J11" si="0">+I5/H5</f>
        <v>1.0755389316709452</v>
      </c>
    </row>
    <row r="6" spans="1:10" ht="15" customHeight="1" x14ac:dyDescent="0.25">
      <c r="A6" s="164"/>
      <c r="B6" s="169" t="s">
        <v>10</v>
      </c>
      <c r="C6" s="177">
        <v>11926</v>
      </c>
      <c r="D6" s="173">
        <v>508.70400000000001</v>
      </c>
      <c r="E6" s="80">
        <f t="shared" ref="E6:E24" si="1">+D6/$D$4</f>
        <v>8.4530633514479273E-2</v>
      </c>
      <c r="F6" s="58" t="s">
        <v>53</v>
      </c>
      <c r="G6" s="59">
        <v>45847</v>
      </c>
      <c r="H6" s="58">
        <v>8519</v>
      </c>
      <c r="I6" s="141">
        <v>9177.8359999999993</v>
      </c>
      <c r="J6" s="60">
        <f t="shared" si="0"/>
        <v>1.0773372461556521</v>
      </c>
    </row>
    <row r="7" spans="1:10" ht="15" customHeight="1" x14ac:dyDescent="0.25">
      <c r="A7" s="164"/>
      <c r="B7" s="169" t="s">
        <v>35</v>
      </c>
      <c r="C7" s="177">
        <v>13725</v>
      </c>
      <c r="D7" s="173">
        <v>585.23</v>
      </c>
      <c r="E7" s="80">
        <f t="shared" si="1"/>
        <v>9.7246852101966388E-2</v>
      </c>
      <c r="F7" s="58" t="s">
        <v>54</v>
      </c>
      <c r="G7" s="59">
        <v>45848</v>
      </c>
      <c r="H7" s="58">
        <v>8363</v>
      </c>
      <c r="I7" s="141">
        <v>7109.67</v>
      </c>
      <c r="J7" s="60">
        <f t="shared" si="0"/>
        <v>0.85013392323328951</v>
      </c>
    </row>
    <row r="8" spans="1:10" ht="15" customHeight="1" x14ac:dyDescent="0.25">
      <c r="A8" s="164"/>
      <c r="B8" s="169" t="s">
        <v>4</v>
      </c>
      <c r="C8" s="177">
        <v>5955</v>
      </c>
      <c r="D8" s="173">
        <v>254.28200000000001</v>
      </c>
      <c r="E8" s="80">
        <f t="shared" si="1"/>
        <v>4.2253684954961665E-2</v>
      </c>
      <c r="F8" s="58" t="s">
        <v>55</v>
      </c>
      <c r="G8" s="59">
        <v>45849</v>
      </c>
      <c r="H8" s="58">
        <v>7105</v>
      </c>
      <c r="I8" s="141">
        <v>9582.7199999999993</v>
      </c>
      <c r="J8" s="60">
        <f t="shared" si="0"/>
        <v>1.3487290640394087</v>
      </c>
    </row>
    <row r="9" spans="1:10" ht="15" customHeight="1" x14ac:dyDescent="0.25">
      <c r="A9" s="164"/>
      <c r="B9" s="169" t="s">
        <v>37</v>
      </c>
      <c r="C9" s="177">
        <v>28235</v>
      </c>
      <c r="D9" s="173">
        <v>1204.98</v>
      </c>
      <c r="E9" s="191">
        <f t="shared" si="1"/>
        <v>0.20022984441301275</v>
      </c>
      <c r="F9" s="58" t="s">
        <v>56</v>
      </c>
      <c r="G9" s="59">
        <v>45850</v>
      </c>
      <c r="H9" s="58">
        <v>7099</v>
      </c>
      <c r="I9" s="141">
        <v>8958.19</v>
      </c>
      <c r="J9" s="60">
        <f t="shared" si="0"/>
        <v>1.2618946330469081</v>
      </c>
    </row>
    <row r="10" spans="1:10" ht="15" customHeight="1" x14ac:dyDescent="0.25">
      <c r="A10" s="164"/>
      <c r="B10" s="169" t="s">
        <v>38</v>
      </c>
      <c r="C10" s="177">
        <v>38271</v>
      </c>
      <c r="D10" s="173">
        <v>1632.5219999999999</v>
      </c>
      <c r="E10" s="191">
        <f t="shared" si="1"/>
        <v>0.27127390169199522</v>
      </c>
      <c r="F10" s="58" t="s">
        <v>57</v>
      </c>
      <c r="G10" s="59">
        <v>45851</v>
      </c>
      <c r="H10" s="58">
        <v>5227</v>
      </c>
      <c r="I10" s="141">
        <v>6017.16</v>
      </c>
      <c r="J10" s="60">
        <f t="shared" si="0"/>
        <v>1.1511689305528985</v>
      </c>
    </row>
    <row r="11" spans="1:10" ht="15" customHeight="1" x14ac:dyDescent="0.25">
      <c r="A11" s="164"/>
      <c r="B11" s="169" t="s">
        <v>42</v>
      </c>
      <c r="C11" s="177">
        <v>9250</v>
      </c>
      <c r="D11" s="173">
        <v>395.16399999999999</v>
      </c>
      <c r="E11" s="80">
        <f t="shared" si="1"/>
        <v>6.5663850219608424E-2</v>
      </c>
      <c r="H11" s="139">
        <f>+SUM(H4:H10)</f>
        <v>49450</v>
      </c>
      <c r="I11" s="142">
        <f>+SUM(I4:I10)</f>
        <v>56229.5</v>
      </c>
      <c r="J11" s="140">
        <f t="shared" si="0"/>
        <v>1.1370980788675429</v>
      </c>
    </row>
    <row r="12" spans="1:10" ht="15" customHeight="1" x14ac:dyDescent="0.25">
      <c r="A12" s="164"/>
      <c r="B12" s="169" t="s">
        <v>81</v>
      </c>
      <c r="C12" s="177">
        <v>780</v>
      </c>
      <c r="D12" s="173">
        <v>33.35</v>
      </c>
      <c r="E12" s="80">
        <f t="shared" si="1"/>
        <v>5.541722942433879E-3</v>
      </c>
    </row>
    <row r="13" spans="1:10" ht="15" customHeight="1" x14ac:dyDescent="0.25">
      <c r="A13" s="164"/>
      <c r="B13" s="169" t="s">
        <v>47</v>
      </c>
      <c r="C13" s="177">
        <v>4035</v>
      </c>
      <c r="D13" s="173">
        <v>101.82599999999999</v>
      </c>
      <c r="E13" s="80">
        <f t="shared" si="1"/>
        <v>1.6920284267954187E-2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34</v>
      </c>
      <c r="C14" s="177">
        <v>42</v>
      </c>
      <c r="D14" s="173">
        <v>63.12</v>
      </c>
      <c r="E14" s="80">
        <f t="shared" si="1"/>
        <v>1.0488562282651466E-2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44</v>
      </c>
      <c r="C15" s="177">
        <v>66</v>
      </c>
      <c r="D15" s="173">
        <v>99.67</v>
      </c>
      <c r="E15" s="80">
        <f t="shared" si="1"/>
        <v>1.6562024757792646E-2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/>
      <c r="D16" s="173"/>
      <c r="E16" s="80">
        <f t="shared" si="1"/>
        <v>0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1" ht="15" customHeight="1" x14ac:dyDescent="0.25">
      <c r="A17" s="164"/>
      <c r="B17" s="169" t="s">
        <v>39</v>
      </c>
      <c r="C17" s="177">
        <v>217</v>
      </c>
      <c r="D17" s="173">
        <v>327.48</v>
      </c>
      <c r="E17" s="80">
        <f t="shared" si="1"/>
        <v>5.4416894428433185E-2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1" ht="15" customHeight="1" x14ac:dyDescent="0.25">
      <c r="A18" s="164"/>
      <c r="B18" s="169" t="s">
        <v>43</v>
      </c>
      <c r="C18" s="177"/>
      <c r="D18" s="173"/>
      <c r="E18" s="80">
        <f t="shared" si="1"/>
        <v>0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1" ht="15" customHeight="1" x14ac:dyDescent="0.25">
      <c r="A19" s="164"/>
      <c r="B19" s="169" t="s">
        <v>45</v>
      </c>
      <c r="C19" s="177">
        <v>66</v>
      </c>
      <c r="D19" s="173">
        <v>99.26</v>
      </c>
      <c r="E19" s="80">
        <f t="shared" si="1"/>
        <v>1.6493895630164523E-2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1" ht="15" customHeight="1" x14ac:dyDescent="0.25">
      <c r="A20" s="164"/>
      <c r="B20" s="169" t="s">
        <v>41</v>
      </c>
      <c r="C20" s="177">
        <v>148</v>
      </c>
      <c r="D20" s="173">
        <v>222.47</v>
      </c>
      <c r="E20" s="80">
        <f t="shared" si="1"/>
        <v>3.6967529325435233E-2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1" ht="15" customHeight="1" x14ac:dyDescent="0.25">
      <c r="A21" s="164"/>
      <c r="B21" s="169" t="s">
        <v>88</v>
      </c>
      <c r="C21" s="177"/>
      <c r="D21" s="173"/>
      <c r="E21" s="80">
        <f t="shared" si="1"/>
        <v>0</v>
      </c>
      <c r="G21" s="112" t="s">
        <v>135</v>
      </c>
      <c r="H21" s="190">
        <v>232937.965</v>
      </c>
      <c r="I21" s="190"/>
    </row>
    <row r="22" spans="1:11" ht="15" customHeight="1" x14ac:dyDescent="0.25">
      <c r="A22" s="164"/>
      <c r="B22" s="169" t="s">
        <v>46</v>
      </c>
      <c r="C22" s="177"/>
      <c r="D22" s="173">
        <v>30.78</v>
      </c>
      <c r="E22" s="80">
        <f t="shared" si="1"/>
        <v>5.1146696302283292E-3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1" ht="15" customHeight="1" x14ac:dyDescent="0.25">
      <c r="A23" s="164"/>
      <c r="B23" s="169" t="s">
        <v>9</v>
      </c>
      <c r="C23" s="177"/>
      <c r="D23" s="173">
        <v>60.61</v>
      </c>
      <c r="E23" s="80">
        <f t="shared" si="1"/>
        <v>1.007147908668418E-2</v>
      </c>
    </row>
    <row r="24" spans="1:11" ht="15" customHeight="1" thickBot="1" x14ac:dyDescent="0.3">
      <c r="A24" s="164"/>
      <c r="B24" s="169" t="s">
        <v>40</v>
      </c>
      <c r="C24" s="177"/>
      <c r="D24" s="173">
        <v>273.83</v>
      </c>
      <c r="E24" s="80">
        <f t="shared" si="1"/>
        <v>4.5501948825387377E-2</v>
      </c>
      <c r="F24" s="179"/>
      <c r="G24" s="179"/>
    </row>
    <row r="25" spans="1:11" ht="15" customHeight="1" thickBot="1" x14ac:dyDescent="0.3">
      <c r="B25" s="178" t="s">
        <v>0</v>
      </c>
      <c r="C25" s="170"/>
      <c r="D25" s="171">
        <f>SUM(D5:D24)</f>
        <v>6017.9839999999995</v>
      </c>
      <c r="E25" s="57">
        <f>+D25/$D$4</f>
        <v>1</v>
      </c>
      <c r="F25" s="179"/>
      <c r="G25" s="179"/>
    </row>
    <row r="26" spans="1:11" ht="15" customHeight="1" x14ac:dyDescent="0.25">
      <c r="B26" s="166" t="s">
        <v>1</v>
      </c>
      <c r="C26" s="167"/>
      <c r="D26" s="174">
        <v>150019.46900000001</v>
      </c>
      <c r="E26" s="57">
        <f>+D26/$E$2</f>
        <v>0.68392113589117043</v>
      </c>
      <c r="F26" s="163"/>
      <c r="G26" s="179"/>
    </row>
    <row r="27" spans="1:11" x14ac:dyDescent="0.25">
      <c r="D27" s="193">
        <f>+(E2/31)*20</f>
        <v>141517.41935483873</v>
      </c>
      <c r="E27" s="98">
        <f>+D27/E2</f>
        <v>0.64516129032258074</v>
      </c>
    </row>
    <row r="28" spans="1:11" x14ac:dyDescent="0.25">
      <c r="D28" s="138">
        <f>+D26-D27</f>
        <v>8502.0496451612853</v>
      </c>
      <c r="E28" s="99">
        <f>+E26-E27</f>
        <v>3.875984556858969E-2</v>
      </c>
    </row>
    <row r="29" spans="1:11" x14ac:dyDescent="0.25">
      <c r="G29" s="163"/>
      <c r="H29" s="163"/>
      <c r="I29" s="163"/>
      <c r="J29" s="163"/>
    </row>
    <row r="30" spans="1:11" x14ac:dyDescent="0.25">
      <c r="B30" s="66" t="s">
        <v>60</v>
      </c>
      <c r="D30" s="109" t="s">
        <v>105</v>
      </c>
      <c r="E30" s="109" t="s">
        <v>80</v>
      </c>
      <c r="G30" s="163"/>
      <c r="I30" s="162" t="s">
        <v>92</v>
      </c>
      <c r="J30" s="71"/>
    </row>
    <row r="31" spans="1:11" x14ac:dyDescent="0.25">
      <c r="B31" s="162" t="s">
        <v>61</v>
      </c>
      <c r="C31" s="162">
        <v>935</v>
      </c>
      <c r="D31" s="108">
        <v>2142</v>
      </c>
      <c r="E31" s="57">
        <f>+C31/D31</f>
        <v>0.43650793650793651</v>
      </c>
      <c r="G31" s="86" t="s">
        <v>86</v>
      </c>
      <c r="H31" s="87">
        <v>2486</v>
      </c>
      <c r="I31" s="88">
        <v>62.150000000000006</v>
      </c>
      <c r="J31" s="71"/>
    </row>
    <row r="32" spans="1:11" x14ac:dyDescent="0.25">
      <c r="B32" s="162" t="s">
        <v>62</v>
      </c>
      <c r="C32" s="162">
        <v>680.32</v>
      </c>
      <c r="D32" s="108">
        <v>1890</v>
      </c>
      <c r="E32" s="57">
        <f>+C32/D32</f>
        <v>0.35995767195767198</v>
      </c>
      <c r="G32" s="86" t="s">
        <v>104</v>
      </c>
      <c r="H32" s="87">
        <v>14</v>
      </c>
      <c r="I32" s="88">
        <v>0.35000000000000003</v>
      </c>
      <c r="J32" s="71"/>
      <c r="K32" s="215"/>
    </row>
    <row r="33" spans="1:11" x14ac:dyDescent="0.25">
      <c r="B33" s="162" t="s">
        <v>63</v>
      </c>
      <c r="C33" s="67">
        <v>812</v>
      </c>
      <c r="D33" s="108">
        <v>3006</v>
      </c>
      <c r="E33" s="57">
        <f>+C33/D33</f>
        <v>0.27012641383898867</v>
      </c>
      <c r="G33" s="89" t="s">
        <v>87</v>
      </c>
      <c r="H33" s="87">
        <v>155</v>
      </c>
      <c r="I33" s="88">
        <v>232.5</v>
      </c>
      <c r="J33" s="71"/>
      <c r="K33" s="215"/>
    </row>
    <row r="34" spans="1:11" x14ac:dyDescent="0.25">
      <c r="C34" s="162">
        <f>+SUM(C31:C33)</f>
        <v>2427.3200000000002</v>
      </c>
      <c r="D34" s="110">
        <f>+SUM(D31:D33)</f>
        <v>7038</v>
      </c>
      <c r="E34" s="57">
        <f>+C34/D34</f>
        <v>0.34488775220233026</v>
      </c>
      <c r="G34" s="89" t="s">
        <v>91</v>
      </c>
      <c r="H34" s="87">
        <v>42</v>
      </c>
      <c r="I34" s="88">
        <v>63</v>
      </c>
      <c r="J34" s="71"/>
    </row>
    <row r="35" spans="1:11" ht="15" customHeight="1" x14ac:dyDescent="0.25">
      <c r="G35" s="89" t="s">
        <v>123</v>
      </c>
      <c r="H35" s="87">
        <v>108</v>
      </c>
      <c r="I35" s="88">
        <v>162</v>
      </c>
      <c r="J35" s="218" t="s">
        <v>145</v>
      </c>
    </row>
    <row r="36" spans="1:11" ht="15" customHeight="1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  <c r="J36" s="218"/>
    </row>
    <row r="37" spans="1:1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218" t="s">
        <v>134</v>
      </c>
    </row>
    <row r="38" spans="1:11" ht="15" customHeight="1" x14ac:dyDescent="0.25">
      <c r="B38" s="73">
        <v>3</v>
      </c>
      <c r="C38" s="74">
        <v>1</v>
      </c>
      <c r="D38" s="74">
        <v>4</v>
      </c>
      <c r="E38" s="75">
        <f>+SUM(B38:D38)</f>
        <v>8</v>
      </c>
      <c r="J38" s="218"/>
    </row>
    <row r="39" spans="1:11" x14ac:dyDescent="0.25">
      <c r="E39" s="198" t="s">
        <v>76</v>
      </c>
      <c r="F39" s="198" t="s">
        <v>137</v>
      </c>
      <c r="H39" s="144" t="s">
        <v>124</v>
      </c>
      <c r="I39" s="145">
        <v>30</v>
      </c>
      <c r="J39" s="218" t="s">
        <v>146</v>
      </c>
      <c r="K39" s="71"/>
    </row>
    <row r="40" spans="1:11" x14ac:dyDescent="0.25">
      <c r="D40" s="162"/>
      <c r="G40" s="71" t="s">
        <v>90</v>
      </c>
      <c r="H40" s="144" t="s">
        <v>120</v>
      </c>
      <c r="I40" s="145">
        <v>0</v>
      </c>
      <c r="J40" s="218"/>
      <c r="K40" s="71"/>
    </row>
    <row r="41" spans="1:11" x14ac:dyDescent="0.25">
      <c r="A41" s="207" t="s">
        <v>70</v>
      </c>
      <c r="B41" s="199">
        <v>0</v>
      </c>
      <c r="C41" s="199">
        <v>0</v>
      </c>
      <c r="D41" s="200">
        <v>2400</v>
      </c>
      <c r="E41" s="201">
        <f t="shared" ref="E41:E46" si="3">+C41/D41</f>
        <v>0</v>
      </c>
      <c r="F41" s="201">
        <f t="shared" ref="F41:F46" si="4">+B41/24</f>
        <v>0</v>
      </c>
      <c r="G41" s="202">
        <v>7</v>
      </c>
      <c r="H41" s="144" t="s">
        <v>121</v>
      </c>
      <c r="I41" s="146">
        <v>53</v>
      </c>
      <c r="J41" s="218" t="s">
        <v>146</v>
      </c>
      <c r="K41" s="71"/>
    </row>
    <row r="42" spans="1:11" x14ac:dyDescent="0.25">
      <c r="A42" s="207" t="s">
        <v>71</v>
      </c>
      <c r="B42" s="199">
        <v>12.34</v>
      </c>
      <c r="C42" s="199">
        <v>1721</v>
      </c>
      <c r="D42" s="200">
        <v>3600</v>
      </c>
      <c r="E42" s="201">
        <f t="shared" si="3"/>
        <v>0.47805555555555557</v>
      </c>
      <c r="F42" s="201">
        <f t="shared" si="4"/>
        <v>0.51416666666666666</v>
      </c>
      <c r="G42" s="202">
        <v>12</v>
      </c>
      <c r="H42" s="71"/>
      <c r="K42" s="71"/>
    </row>
    <row r="43" spans="1:11" x14ac:dyDescent="0.25">
      <c r="A43" s="207" t="s">
        <v>72</v>
      </c>
      <c r="B43" s="199">
        <v>14.84</v>
      </c>
      <c r="C43" s="199">
        <v>1267</v>
      </c>
      <c r="D43" s="200">
        <v>3900</v>
      </c>
      <c r="E43" s="201">
        <f t="shared" si="3"/>
        <v>0.32487179487179485</v>
      </c>
      <c r="F43" s="201">
        <f t="shared" si="4"/>
        <v>0.61833333333333329</v>
      </c>
      <c r="G43" s="202">
        <v>12</v>
      </c>
      <c r="H43" s="71"/>
      <c r="K43" s="71"/>
    </row>
    <row r="44" spans="1:11" x14ac:dyDescent="0.25">
      <c r="A44" s="207" t="s">
        <v>73</v>
      </c>
      <c r="B44" s="199">
        <v>9.7100000000000009</v>
      </c>
      <c r="C44" s="199">
        <v>2744</v>
      </c>
      <c r="D44" s="200">
        <v>3900</v>
      </c>
      <c r="E44" s="201">
        <f t="shared" si="3"/>
        <v>0.70358974358974358</v>
      </c>
      <c r="F44" s="201">
        <f t="shared" si="4"/>
        <v>0.40458333333333335</v>
      </c>
      <c r="G44" s="202">
        <v>11</v>
      </c>
      <c r="H44" s="71"/>
      <c r="K44" s="71"/>
    </row>
    <row r="45" spans="1:11" x14ac:dyDescent="0.25">
      <c r="A45" s="207" t="s">
        <v>74</v>
      </c>
      <c r="B45" s="199">
        <v>6.28</v>
      </c>
      <c r="C45" s="199">
        <v>2429</v>
      </c>
      <c r="D45" s="200">
        <v>3900</v>
      </c>
      <c r="E45" s="201">
        <f t="shared" si="3"/>
        <v>0.62282051282051287</v>
      </c>
      <c r="F45" s="201">
        <f t="shared" si="4"/>
        <v>0.26166666666666666</v>
      </c>
      <c r="G45" s="202">
        <v>11</v>
      </c>
      <c r="H45" s="71"/>
      <c r="K45" s="71"/>
    </row>
    <row r="46" spans="1:11" x14ac:dyDescent="0.25">
      <c r="A46" s="207" t="s">
        <v>75</v>
      </c>
      <c r="B46" s="203">
        <v>3.19</v>
      </c>
      <c r="C46" s="204">
        <v>2562</v>
      </c>
      <c r="D46" s="205">
        <v>4300</v>
      </c>
      <c r="E46" s="206">
        <f t="shared" si="3"/>
        <v>0.59581395348837207</v>
      </c>
      <c r="F46" s="201">
        <f t="shared" si="4"/>
        <v>0.13291666666666666</v>
      </c>
      <c r="G46" s="202">
        <v>16</v>
      </c>
      <c r="H46" s="71"/>
      <c r="K46" s="71"/>
    </row>
    <row r="47" spans="1:11" x14ac:dyDescent="0.25">
      <c r="C47" s="71" t="s">
        <v>83</v>
      </c>
      <c r="D47" s="72" t="s">
        <v>79</v>
      </c>
      <c r="H47" s="71"/>
      <c r="K47" s="71"/>
    </row>
    <row r="48" spans="1:11" x14ac:dyDescent="0.25">
      <c r="B48" s="162" t="s">
        <v>78</v>
      </c>
      <c r="H48" s="71"/>
      <c r="K48" s="71"/>
    </row>
    <row r="49" spans="3:11" x14ac:dyDescent="0.25">
      <c r="C49" s="217">
        <v>3</v>
      </c>
      <c r="D49" s="163" t="s">
        <v>147</v>
      </c>
      <c r="H49" s="71"/>
      <c r="K49" s="71"/>
    </row>
    <row r="50" spans="3:11" x14ac:dyDescent="0.25">
      <c r="C50" s="217">
        <v>4</v>
      </c>
      <c r="D50" s="163" t="s">
        <v>147</v>
      </c>
      <c r="H50" s="71"/>
      <c r="K50" s="71"/>
    </row>
    <row r="51" spans="3:11" x14ac:dyDescent="0.25">
      <c r="C51" s="71">
        <v>5</v>
      </c>
      <c r="D51" s="108">
        <v>6</v>
      </c>
      <c r="H51" s="71"/>
      <c r="K51" s="71"/>
    </row>
    <row r="52" spans="3:11" x14ac:dyDescent="0.25">
      <c r="C52" s="71">
        <v>6</v>
      </c>
      <c r="D52" s="108">
        <v>4</v>
      </c>
      <c r="H52" s="71"/>
      <c r="K52" s="71"/>
    </row>
    <row r="53" spans="3:11" x14ac:dyDescent="0.25">
      <c r="C53" s="162">
        <v>7</v>
      </c>
    </row>
    <row r="54" spans="3:11" x14ac:dyDescent="0.25">
      <c r="C54" s="71">
        <v>8</v>
      </c>
    </row>
  </sheetData>
  <protectedRanges>
    <protectedRange password="D554" sqref="I39:I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5" right="0.25" top="0.75" bottom="0.75" header="0.3" footer="0.3"/>
  <pageSetup paperSize="9" scale="65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4"/>
  <sheetViews>
    <sheetView topLeftCell="A10" workbookViewId="0">
      <selection activeCell="E34" sqref="E34"/>
    </sheetView>
  </sheetViews>
  <sheetFormatPr baseColWidth="10" defaultColWidth="11.42578125" defaultRowHeight="15.75" x14ac:dyDescent="0.25"/>
  <cols>
    <col min="1" max="1" width="2.42578125" style="162" customWidth="1"/>
    <col min="2" max="2" width="43.7109375" style="162" customWidth="1"/>
    <col min="3" max="3" width="15.28515625" style="162" customWidth="1"/>
    <col min="4" max="4" width="15.28515625" style="163" customWidth="1"/>
    <col min="5" max="5" width="14.28515625" style="162" customWidth="1"/>
    <col min="6" max="6" width="16.5703125" style="162" customWidth="1"/>
    <col min="7" max="7" width="16" style="162" customWidth="1"/>
    <col min="8" max="9" width="11.42578125" style="162"/>
    <col min="10" max="10" width="12.85546875" style="162" customWidth="1"/>
    <col min="11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133</v>
      </c>
      <c r="F1" s="62"/>
      <c r="G1" s="222">
        <v>45866</v>
      </c>
      <c r="H1" s="223">
        <v>4172</v>
      </c>
      <c r="I1" s="59">
        <v>45868</v>
      </c>
      <c r="J1" s="58">
        <v>9669</v>
      </c>
    </row>
    <row r="2" spans="1:10" x14ac:dyDescent="0.25">
      <c r="E2" s="62">
        <v>219352</v>
      </c>
      <c r="F2" s="62"/>
      <c r="G2" s="222">
        <v>45867</v>
      </c>
      <c r="H2" s="223">
        <v>6617</v>
      </c>
      <c r="I2" s="59">
        <v>45869</v>
      </c>
      <c r="J2" s="58">
        <v>7423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16"/>
      <c r="C4" s="216"/>
      <c r="D4" s="165">
        <f>D25</f>
        <v>5423.246000000001</v>
      </c>
      <c r="F4" s="58" t="s">
        <v>51</v>
      </c>
      <c r="G4" s="59">
        <v>45859</v>
      </c>
      <c r="H4" s="58">
        <v>5640</v>
      </c>
      <c r="I4" s="141">
        <v>5423.246000000001</v>
      </c>
      <c r="J4" s="60">
        <f>+I4/H4</f>
        <v>0.96156843971631223</v>
      </c>
    </row>
    <row r="5" spans="1:10" ht="15" customHeight="1" x14ac:dyDescent="0.25">
      <c r="A5" s="164"/>
      <c r="B5" s="168" t="s">
        <v>6</v>
      </c>
      <c r="C5" s="176">
        <v>1548</v>
      </c>
      <c r="D5" s="172">
        <v>65.989999999999995</v>
      </c>
      <c r="E5" s="80">
        <f>+D5/$D$4</f>
        <v>1.2167989429208999E-2</v>
      </c>
      <c r="F5" s="58" t="s">
        <v>52</v>
      </c>
      <c r="G5" s="59">
        <v>45860</v>
      </c>
      <c r="H5" s="58">
        <v>8407</v>
      </c>
      <c r="I5" s="141"/>
      <c r="J5" s="60">
        <f t="shared" ref="J5:J11" si="0">+I5/H5</f>
        <v>0</v>
      </c>
    </row>
    <row r="6" spans="1:10" ht="15" customHeight="1" x14ac:dyDescent="0.25">
      <c r="A6" s="164"/>
      <c r="B6" s="169" t="s">
        <v>10</v>
      </c>
      <c r="C6" s="177">
        <v>14443</v>
      </c>
      <c r="D6" s="173">
        <v>615.87599999999998</v>
      </c>
      <c r="E6" s="80">
        <f t="shared" ref="E6:E24" si="1">+D6/$D$4</f>
        <v>0.11356224666924566</v>
      </c>
      <c r="F6" s="58" t="s">
        <v>53</v>
      </c>
      <c r="G6" s="59">
        <v>45861</v>
      </c>
      <c r="H6" s="58">
        <v>5223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7015</v>
      </c>
      <c r="D7" s="173">
        <v>299.22000000000003</v>
      </c>
      <c r="E7" s="80">
        <f t="shared" si="1"/>
        <v>5.5173598984814623E-2</v>
      </c>
      <c r="F7" s="58" t="s">
        <v>54</v>
      </c>
      <c r="G7" s="59">
        <v>45862</v>
      </c>
      <c r="H7" s="58">
        <v>7484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770</v>
      </c>
      <c r="D8" s="173">
        <v>32.840000000000003</v>
      </c>
      <c r="E8" s="80">
        <f t="shared" si="1"/>
        <v>6.0554140453890522E-3</v>
      </c>
      <c r="F8" s="58" t="s">
        <v>55</v>
      </c>
      <c r="G8" s="59">
        <v>45863</v>
      </c>
      <c r="H8" s="58">
        <v>8348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23828</v>
      </c>
      <c r="D9" s="173">
        <v>1016.294</v>
      </c>
      <c r="E9" s="191">
        <f t="shared" si="1"/>
        <v>0.18739588799770465</v>
      </c>
      <c r="F9" s="58" t="s">
        <v>56</v>
      </c>
      <c r="G9" s="59">
        <v>45864</v>
      </c>
      <c r="H9" s="58">
        <v>8992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41405</v>
      </c>
      <c r="D10" s="173">
        <v>1765.3779999999999</v>
      </c>
      <c r="E10" s="191">
        <f t="shared" si="1"/>
        <v>0.3255205461821204</v>
      </c>
      <c r="F10" s="58" t="s">
        <v>57</v>
      </c>
      <c r="G10" s="59">
        <v>45865</v>
      </c>
      <c r="H10" s="58">
        <v>5865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7800</v>
      </c>
      <c r="D11" s="173">
        <v>333.37799999999999</v>
      </c>
      <c r="E11" s="80">
        <f t="shared" si="1"/>
        <v>6.1472040914242118E-2</v>
      </c>
      <c r="H11" s="139">
        <f>+SUM(H4:H10)</f>
        <v>49959</v>
      </c>
      <c r="I11" s="142">
        <f>+SUM(I4:I10)</f>
        <v>5423.246000000001</v>
      </c>
      <c r="J11" s="140">
        <f t="shared" si="0"/>
        <v>0.10855393422606539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47</v>
      </c>
      <c r="C13" s="177"/>
      <c r="D13" s="173"/>
      <c r="E13" s="80">
        <f t="shared" si="1"/>
        <v>0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34</v>
      </c>
      <c r="C14" s="177"/>
      <c r="D14" s="173"/>
      <c r="E14" s="80">
        <f t="shared" si="1"/>
        <v>0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44</v>
      </c>
      <c r="C15" s="177">
        <v>42</v>
      </c>
      <c r="D15" s="173">
        <v>63.34</v>
      </c>
      <c r="E15" s="80">
        <f t="shared" si="1"/>
        <v>1.167935218133199E-2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22</v>
      </c>
      <c r="D16" s="173">
        <v>33.020000000000003</v>
      </c>
      <c r="E16" s="80">
        <f t="shared" si="1"/>
        <v>6.0886044999618307E-3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0" ht="15" customHeight="1" x14ac:dyDescent="0.25">
      <c r="A17" s="164"/>
      <c r="B17" s="169" t="s">
        <v>39</v>
      </c>
      <c r="C17" s="177">
        <v>111</v>
      </c>
      <c r="D17" s="173">
        <v>168.06</v>
      </c>
      <c r="E17" s="80">
        <f t="shared" si="1"/>
        <v>3.0988821086117054E-2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0" ht="15" customHeight="1" x14ac:dyDescent="0.25">
      <c r="A18" s="164"/>
      <c r="B18" s="169" t="s">
        <v>43</v>
      </c>
      <c r="C18" s="177">
        <v>45</v>
      </c>
      <c r="D18" s="173">
        <v>67.849999999999994</v>
      </c>
      <c r="E18" s="80">
        <f t="shared" si="1"/>
        <v>1.2510957459794371E-2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>
        <v>45</v>
      </c>
      <c r="D19" s="173">
        <v>67.77</v>
      </c>
      <c r="E19" s="80">
        <f t="shared" si="1"/>
        <v>1.2496206146650915E-2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0" ht="15" customHeight="1" x14ac:dyDescent="0.25">
      <c r="A20" s="164"/>
      <c r="B20" s="169" t="s">
        <v>41</v>
      </c>
      <c r="C20" s="177">
        <v>184</v>
      </c>
      <c r="D20" s="173">
        <v>276.92</v>
      </c>
      <c r="E20" s="80">
        <f t="shared" si="1"/>
        <v>5.1061670446076013E-2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0" ht="15" customHeight="1" x14ac:dyDescent="0.25">
      <c r="A21" s="164"/>
      <c r="B21" s="169" t="s">
        <v>84</v>
      </c>
      <c r="C21" s="177">
        <v>109</v>
      </c>
      <c r="D21" s="173">
        <v>164.43</v>
      </c>
      <c r="E21" s="80">
        <f t="shared" si="1"/>
        <v>3.0319480252232699E-2</v>
      </c>
      <c r="G21" s="112" t="s">
        <v>135</v>
      </c>
      <c r="H21" s="190">
        <v>232937.965</v>
      </c>
      <c r="I21" s="190"/>
    </row>
    <row r="22" spans="1:10" ht="15" customHeight="1" x14ac:dyDescent="0.25">
      <c r="A22" s="164"/>
      <c r="B22" s="169" t="s">
        <v>46</v>
      </c>
      <c r="C22" s="177"/>
      <c r="D22" s="173">
        <v>92.82</v>
      </c>
      <c r="E22" s="80">
        <f t="shared" si="1"/>
        <v>1.7115211074695852E-2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0" ht="15" customHeight="1" x14ac:dyDescent="0.25">
      <c r="A23" s="164"/>
      <c r="B23" s="169" t="s">
        <v>9</v>
      </c>
      <c r="C23" s="177"/>
      <c r="D23" s="173">
        <v>30.07</v>
      </c>
      <c r="E23" s="80">
        <f t="shared" si="1"/>
        <v>5.5446498277968576E-3</v>
      </c>
    </row>
    <row r="24" spans="1:10" ht="15" customHeight="1" thickBot="1" x14ac:dyDescent="0.3">
      <c r="A24" s="164"/>
      <c r="B24" s="169" t="s">
        <v>40</v>
      </c>
      <c r="C24" s="177"/>
      <c r="D24" s="173">
        <v>329.99</v>
      </c>
      <c r="E24" s="80">
        <f t="shared" si="1"/>
        <v>6.0847322802616725E-2</v>
      </c>
      <c r="F24" s="179"/>
      <c r="G24" s="179"/>
    </row>
    <row r="25" spans="1:10" ht="15" customHeight="1" thickBot="1" x14ac:dyDescent="0.3">
      <c r="B25" s="178" t="s">
        <v>0</v>
      </c>
      <c r="C25" s="170"/>
      <c r="D25" s="171">
        <f>SUM(D5:D24)</f>
        <v>5423.246000000001</v>
      </c>
      <c r="E25" s="57">
        <f>+D25/$D$4</f>
        <v>1</v>
      </c>
      <c r="F25" s="179"/>
      <c r="G25" s="179"/>
    </row>
    <row r="26" spans="1:10" ht="15" customHeight="1" x14ac:dyDescent="0.25">
      <c r="B26" s="166" t="s">
        <v>1</v>
      </c>
      <c r="C26" s="167"/>
      <c r="D26" s="174">
        <v>155442.715</v>
      </c>
      <c r="E26" s="57">
        <f>+D26/$E$2</f>
        <v>0.70864507731864768</v>
      </c>
      <c r="F26" s="163"/>
      <c r="G26" s="179"/>
    </row>
    <row r="27" spans="1:10" x14ac:dyDescent="0.25">
      <c r="D27" s="193">
        <f>+(E2/31)*21</f>
        <v>148593.29032258064</v>
      </c>
      <c r="E27" s="98">
        <f>+D27/E2</f>
        <v>0.67741935483870963</v>
      </c>
    </row>
    <row r="28" spans="1:10" x14ac:dyDescent="0.25">
      <c r="D28" s="138">
        <f>+D26-D27</f>
        <v>6849.4246774193598</v>
      </c>
      <c r="E28" s="99">
        <f>+E26-E27</f>
        <v>3.1225722479938045E-2</v>
      </c>
    </row>
    <row r="29" spans="1:10" x14ac:dyDescent="0.25">
      <c r="G29" s="163"/>
      <c r="H29" s="163"/>
      <c r="I29" s="163"/>
      <c r="J29" s="163"/>
    </row>
    <row r="30" spans="1:10" x14ac:dyDescent="0.25">
      <c r="B30" s="66" t="s">
        <v>60</v>
      </c>
      <c r="D30" s="109" t="s">
        <v>105</v>
      </c>
      <c r="E30" s="109" t="s">
        <v>80</v>
      </c>
      <c r="G30" s="163"/>
      <c r="I30" s="162" t="s">
        <v>92</v>
      </c>
      <c r="J30" s="71"/>
    </row>
    <row r="31" spans="1:10" x14ac:dyDescent="0.25">
      <c r="B31" s="162" t="s">
        <v>61</v>
      </c>
      <c r="C31" s="162">
        <v>439</v>
      </c>
      <c r="D31" s="108">
        <v>2142</v>
      </c>
      <c r="E31" s="57">
        <f>+C31/D31</f>
        <v>0.20494864612511671</v>
      </c>
      <c r="G31" s="86" t="s">
        <v>86</v>
      </c>
      <c r="H31" s="87">
        <v>1283</v>
      </c>
      <c r="I31" s="88">
        <v>32.075000000000003</v>
      </c>
      <c r="J31" s="71"/>
    </row>
    <row r="32" spans="1:10" x14ac:dyDescent="0.25">
      <c r="B32" s="162" t="s">
        <v>62</v>
      </c>
      <c r="C32" s="162">
        <v>744</v>
      </c>
      <c r="D32" s="108">
        <v>1890</v>
      </c>
      <c r="E32" s="57">
        <f>+C32/D32</f>
        <v>0.39365079365079364</v>
      </c>
      <c r="G32" s="86" t="s">
        <v>104</v>
      </c>
      <c r="H32" s="87">
        <v>14</v>
      </c>
      <c r="I32" s="88">
        <v>0.35000000000000003</v>
      </c>
      <c r="J32" s="71"/>
    </row>
    <row r="33" spans="1:10" x14ac:dyDescent="0.25">
      <c r="B33" s="162" t="s">
        <v>63</v>
      </c>
      <c r="C33" s="67">
        <v>1277</v>
      </c>
      <c r="D33" s="108">
        <v>3006</v>
      </c>
      <c r="E33" s="57">
        <f>+C33/D33</f>
        <v>0.42481703260146375</v>
      </c>
      <c r="G33" s="89" t="s">
        <v>87</v>
      </c>
      <c r="H33" s="87">
        <v>155</v>
      </c>
      <c r="I33" s="88">
        <v>232.5</v>
      </c>
      <c r="J33" s="71"/>
    </row>
    <row r="34" spans="1:10" ht="15" customHeight="1" x14ac:dyDescent="0.25">
      <c r="C34" s="162">
        <f>+SUM(C31:C33)</f>
        <v>2460</v>
      </c>
      <c r="D34" s="110">
        <f>+SUM(D31:D33)</f>
        <v>7038</v>
      </c>
      <c r="E34" s="57">
        <f>+C34/D34</f>
        <v>0.34953111679454391</v>
      </c>
      <c r="G34" s="89" t="s">
        <v>91</v>
      </c>
      <c r="H34" s="87">
        <v>42</v>
      </c>
      <c r="I34" s="88">
        <v>63</v>
      </c>
      <c r="J34" s="71"/>
    </row>
    <row r="35" spans="1:10" ht="39" customHeight="1" x14ac:dyDescent="0.25">
      <c r="G35" s="89" t="s">
        <v>123</v>
      </c>
      <c r="H35" s="87">
        <v>193</v>
      </c>
      <c r="I35" s="88">
        <v>289.5</v>
      </c>
      <c r="J35" s="221" t="s">
        <v>150</v>
      </c>
    </row>
    <row r="36" spans="1:10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  <c r="J36" s="218"/>
    </row>
    <row r="37" spans="1:10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218" t="s">
        <v>134</v>
      </c>
    </row>
    <row r="38" spans="1:10" x14ac:dyDescent="0.25">
      <c r="B38" s="73">
        <v>53</v>
      </c>
      <c r="C38" s="74">
        <v>2</v>
      </c>
      <c r="D38" s="74">
        <v>14</v>
      </c>
      <c r="E38" s="75">
        <f>+SUM(B38:D38)</f>
        <v>69</v>
      </c>
      <c r="J38" s="218"/>
    </row>
    <row r="39" spans="1:10" x14ac:dyDescent="0.25">
      <c r="E39" s="198" t="s">
        <v>76</v>
      </c>
      <c r="F39" s="198" t="s">
        <v>137</v>
      </c>
      <c r="H39" s="144" t="s">
        <v>124</v>
      </c>
      <c r="I39" s="220" t="s">
        <v>148</v>
      </c>
      <c r="J39" s="218" t="s">
        <v>146</v>
      </c>
    </row>
    <row r="40" spans="1:10" x14ac:dyDescent="0.25">
      <c r="D40" s="162"/>
      <c r="G40" s="71" t="s">
        <v>90</v>
      </c>
      <c r="H40" s="144" t="s">
        <v>120</v>
      </c>
      <c r="I40" s="145">
        <v>0</v>
      </c>
      <c r="J40" s="218"/>
    </row>
    <row r="41" spans="1:10" x14ac:dyDescent="0.25">
      <c r="A41" s="207" t="s">
        <v>70</v>
      </c>
      <c r="B41" s="199">
        <v>0</v>
      </c>
      <c r="C41" s="199">
        <v>0</v>
      </c>
      <c r="D41" s="200">
        <v>2400</v>
      </c>
      <c r="E41" s="201">
        <f t="shared" ref="E41:E46" si="3">+C41/D41</f>
        <v>0</v>
      </c>
      <c r="F41" s="201">
        <f t="shared" ref="F41:F46" si="4">+B41/24</f>
        <v>0</v>
      </c>
      <c r="G41" s="202">
        <v>7</v>
      </c>
      <c r="H41" s="144" t="s">
        <v>121</v>
      </c>
      <c r="I41" s="220" t="s">
        <v>149</v>
      </c>
      <c r="J41" s="218" t="s">
        <v>146</v>
      </c>
    </row>
    <row r="42" spans="1:10" x14ac:dyDescent="0.25">
      <c r="A42" s="207" t="s">
        <v>71</v>
      </c>
      <c r="B42" s="199">
        <v>9.91</v>
      </c>
      <c r="C42" s="199">
        <v>1234</v>
      </c>
      <c r="D42" s="200">
        <v>3600</v>
      </c>
      <c r="E42" s="201">
        <f t="shared" si="3"/>
        <v>0.34277777777777779</v>
      </c>
      <c r="F42" s="201">
        <f t="shared" si="4"/>
        <v>0.41291666666666665</v>
      </c>
      <c r="G42" s="202">
        <v>11</v>
      </c>
      <c r="H42" s="71"/>
    </row>
    <row r="43" spans="1:10" x14ac:dyDescent="0.25">
      <c r="A43" s="207" t="s">
        <v>72</v>
      </c>
      <c r="B43" s="199">
        <v>8.09</v>
      </c>
      <c r="C43" s="199">
        <v>1248</v>
      </c>
      <c r="D43" s="200">
        <v>3900</v>
      </c>
      <c r="E43" s="201">
        <f t="shared" si="3"/>
        <v>0.32</v>
      </c>
      <c r="F43" s="201">
        <f t="shared" si="4"/>
        <v>0.33708333333333335</v>
      </c>
      <c r="G43" s="202">
        <v>12</v>
      </c>
      <c r="H43" s="71"/>
    </row>
    <row r="44" spans="1:10" x14ac:dyDescent="0.25">
      <c r="A44" s="207" t="s">
        <v>73</v>
      </c>
      <c r="B44" s="199">
        <v>13.68</v>
      </c>
      <c r="C44" s="199">
        <v>2514</v>
      </c>
      <c r="D44" s="200">
        <v>3900</v>
      </c>
      <c r="E44" s="201">
        <f t="shared" si="3"/>
        <v>0.64461538461538459</v>
      </c>
      <c r="F44" s="201">
        <f t="shared" si="4"/>
        <v>0.56999999999999995</v>
      </c>
      <c r="G44" s="202">
        <v>11</v>
      </c>
      <c r="H44" s="71"/>
    </row>
    <row r="45" spans="1:10" x14ac:dyDescent="0.25">
      <c r="A45" s="207" t="s">
        <v>74</v>
      </c>
      <c r="B45" s="199">
        <v>12.26</v>
      </c>
      <c r="C45" s="199">
        <v>2854</v>
      </c>
      <c r="D45" s="200">
        <v>3900</v>
      </c>
      <c r="E45" s="201">
        <f t="shared" si="3"/>
        <v>0.73179487179487179</v>
      </c>
      <c r="F45" s="201">
        <f t="shared" si="4"/>
        <v>0.51083333333333336</v>
      </c>
      <c r="G45" s="202">
        <v>11</v>
      </c>
      <c r="H45" s="71"/>
    </row>
    <row r="46" spans="1:10" x14ac:dyDescent="0.25">
      <c r="A46" s="207" t="s">
        <v>75</v>
      </c>
      <c r="B46" s="203">
        <v>6.35</v>
      </c>
      <c r="C46" s="204">
        <v>2436</v>
      </c>
      <c r="D46" s="205">
        <v>4300</v>
      </c>
      <c r="E46" s="206">
        <f t="shared" si="3"/>
        <v>0.56651162790697673</v>
      </c>
      <c r="F46" s="201">
        <f t="shared" si="4"/>
        <v>0.26458333333333334</v>
      </c>
      <c r="G46" s="202">
        <v>16</v>
      </c>
      <c r="H46" s="71"/>
    </row>
    <row r="47" spans="1:10" x14ac:dyDescent="0.25">
      <c r="C47" s="71" t="s">
        <v>83</v>
      </c>
      <c r="D47" s="72" t="s">
        <v>79</v>
      </c>
      <c r="H47" s="71"/>
    </row>
    <row r="48" spans="1:10" x14ac:dyDescent="0.25">
      <c r="B48" s="162" t="s">
        <v>78</v>
      </c>
      <c r="H48" s="71"/>
    </row>
    <row r="49" spans="3:8" x14ac:dyDescent="0.25">
      <c r="C49" s="71">
        <v>3</v>
      </c>
      <c r="D49" s="72" t="s">
        <v>147</v>
      </c>
      <c r="H49" s="71"/>
    </row>
    <row r="50" spans="3:8" x14ac:dyDescent="0.25">
      <c r="C50" s="71">
        <v>4</v>
      </c>
      <c r="D50" s="72" t="s">
        <v>147</v>
      </c>
      <c r="H50" s="71"/>
    </row>
    <row r="51" spans="3:8" x14ac:dyDescent="0.25">
      <c r="C51" s="71">
        <v>5</v>
      </c>
      <c r="D51" s="108">
        <v>8</v>
      </c>
      <c r="H51" s="71"/>
    </row>
    <row r="52" spans="3:8" x14ac:dyDescent="0.25">
      <c r="C52" s="71">
        <v>6</v>
      </c>
      <c r="D52" s="108">
        <v>5</v>
      </c>
      <c r="H52" s="71"/>
    </row>
    <row r="53" spans="3:8" x14ac:dyDescent="0.25">
      <c r="C53" s="71">
        <v>7</v>
      </c>
      <c r="D53" s="72"/>
    </row>
    <row r="54" spans="3:8" x14ac:dyDescent="0.25">
      <c r="C54" s="71">
        <v>8</v>
      </c>
      <c r="D54" s="72"/>
    </row>
  </sheetData>
  <protectedRanges>
    <protectedRange password="D554" sqref="I39:I41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6"/>
  <sheetViews>
    <sheetView topLeftCell="A3" workbookViewId="0">
      <selection activeCell="A27" sqref="A27:J5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133</v>
      </c>
      <c r="F1" s="62"/>
      <c r="G1" s="222">
        <v>45866</v>
      </c>
      <c r="H1" s="223">
        <v>4172</v>
      </c>
      <c r="I1" s="59">
        <v>45868</v>
      </c>
      <c r="J1" s="58">
        <v>9669</v>
      </c>
    </row>
    <row r="2" spans="1:10" x14ac:dyDescent="0.25">
      <c r="E2" s="62">
        <v>219352</v>
      </c>
      <c r="F2" s="62"/>
      <c r="G2" s="222">
        <v>45867</v>
      </c>
      <c r="H2" s="223">
        <v>6617</v>
      </c>
      <c r="I2" s="59">
        <v>45869</v>
      </c>
      <c r="J2" s="58">
        <v>7423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16"/>
      <c r="C4" s="216"/>
      <c r="D4" s="165">
        <f>D25</f>
        <v>7568.7520000000004</v>
      </c>
      <c r="F4" s="58" t="s">
        <v>51</v>
      </c>
      <c r="G4" s="59">
        <v>45859</v>
      </c>
      <c r="H4" s="58">
        <v>5640</v>
      </c>
      <c r="I4" s="141">
        <v>5423.246000000001</v>
      </c>
      <c r="J4" s="60">
        <f>+I4/H4</f>
        <v>0.96156843971631223</v>
      </c>
    </row>
    <row r="5" spans="1:10" ht="15" customHeight="1" x14ac:dyDescent="0.25">
      <c r="A5" s="164"/>
      <c r="B5" s="168" t="s">
        <v>6</v>
      </c>
      <c r="C5" s="176">
        <v>2360</v>
      </c>
      <c r="D5" s="172">
        <v>100.69199999999999</v>
      </c>
      <c r="E5" s="80">
        <f>+D5/$D$4</f>
        <v>1.3303646360721027E-2</v>
      </c>
      <c r="F5" s="58" t="s">
        <v>52</v>
      </c>
      <c r="G5" s="59">
        <v>45860</v>
      </c>
      <c r="H5" s="58">
        <v>8407</v>
      </c>
      <c r="I5" s="141">
        <v>8739.7199999999993</v>
      </c>
      <c r="J5" s="60">
        <f t="shared" ref="J5:J11" si="0">+I5/H5</f>
        <v>1.0395765433567266</v>
      </c>
    </row>
    <row r="6" spans="1:10" ht="15" customHeight="1" x14ac:dyDescent="0.25">
      <c r="A6" s="164"/>
      <c r="B6" s="169" t="s">
        <v>10</v>
      </c>
      <c r="C6" s="177">
        <v>11510</v>
      </c>
      <c r="D6" s="173">
        <v>491.14600000000002</v>
      </c>
      <c r="E6" s="80">
        <f t="shared" ref="E6:E24" si="1">+D6/$D$4</f>
        <v>6.4891279302056667E-2</v>
      </c>
      <c r="F6" s="58" t="s">
        <v>53</v>
      </c>
      <c r="G6" s="59">
        <v>45861</v>
      </c>
      <c r="H6" s="58">
        <v>5223</v>
      </c>
      <c r="I6" s="141">
        <v>7568.7520000000004</v>
      </c>
      <c r="J6" s="60">
        <f t="shared" si="0"/>
        <v>1.4491196630289107</v>
      </c>
    </row>
    <row r="7" spans="1:10" ht="15" customHeight="1" x14ac:dyDescent="0.25">
      <c r="A7" s="164"/>
      <c r="B7" s="169" t="s">
        <v>35</v>
      </c>
      <c r="C7" s="177">
        <v>18334</v>
      </c>
      <c r="D7" s="173">
        <v>782.39400000000012</v>
      </c>
      <c r="E7" s="80">
        <f t="shared" si="1"/>
        <v>0.10337159943937918</v>
      </c>
      <c r="F7" s="58" t="s">
        <v>54</v>
      </c>
      <c r="G7" s="59">
        <v>45862</v>
      </c>
      <c r="H7" s="58">
        <v>7484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5784</v>
      </c>
      <c r="D8" s="173">
        <v>246.58999999999997</v>
      </c>
      <c r="E8" s="80">
        <f t="shared" si="1"/>
        <v>3.2580007906191137E-2</v>
      </c>
      <c r="F8" s="58" t="s">
        <v>55</v>
      </c>
      <c r="G8" s="59">
        <v>45863</v>
      </c>
      <c r="H8" s="58">
        <v>8348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43440</v>
      </c>
      <c r="D9" s="173">
        <v>1854.3340000000001</v>
      </c>
      <c r="E9" s="191">
        <f t="shared" si="1"/>
        <v>0.2449986470688959</v>
      </c>
      <c r="F9" s="58" t="s">
        <v>56</v>
      </c>
      <c r="G9" s="59">
        <v>45864</v>
      </c>
      <c r="H9" s="58">
        <v>8992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50245</v>
      </c>
      <c r="D10" s="173">
        <v>2142.6659999999997</v>
      </c>
      <c r="E10" s="191">
        <f t="shared" si="1"/>
        <v>0.28309369893477809</v>
      </c>
      <c r="F10" s="58" t="s">
        <v>57</v>
      </c>
      <c r="G10" s="59">
        <v>45865</v>
      </c>
      <c r="H10" s="58">
        <v>5865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8315</v>
      </c>
      <c r="D11" s="173">
        <v>355.13999999999993</v>
      </c>
      <c r="E11" s="80">
        <f t="shared" si="1"/>
        <v>4.6921870342693212E-2</v>
      </c>
      <c r="H11" s="139">
        <f>+SUM(H4:H10)</f>
        <v>49959</v>
      </c>
      <c r="I11" s="142">
        <f>+SUM(I4:I10)</f>
        <v>21731.718000000001</v>
      </c>
      <c r="J11" s="140">
        <f t="shared" si="0"/>
        <v>0.43499105266318383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95</v>
      </c>
      <c r="C13" s="177"/>
      <c r="D13" s="173"/>
      <c r="E13" s="80">
        <f t="shared" si="1"/>
        <v>0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41</v>
      </c>
      <c r="C14" s="177">
        <v>237</v>
      </c>
      <c r="D14" s="173">
        <v>356.51</v>
      </c>
      <c r="E14" s="80">
        <f t="shared" si="1"/>
        <v>4.7102877726737512E-2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39</v>
      </c>
      <c r="C15" s="177">
        <v>220</v>
      </c>
      <c r="D15" s="173">
        <v>331.66</v>
      </c>
      <c r="E15" s="80">
        <f t="shared" si="1"/>
        <v>4.3819641600094709E-2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134</v>
      </c>
      <c r="D16" s="173">
        <v>202.09999999999997</v>
      </c>
      <c r="E16" s="80">
        <f t="shared" si="1"/>
        <v>2.6701892200986364E-2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0" ht="15" customHeight="1" x14ac:dyDescent="0.25">
      <c r="A17" s="164"/>
      <c r="B17" s="169" t="s">
        <v>44</v>
      </c>
      <c r="C17" s="177">
        <v>90</v>
      </c>
      <c r="D17" s="173">
        <v>136.04</v>
      </c>
      <c r="E17" s="80">
        <f t="shared" si="1"/>
        <v>1.7973901113420017E-2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0" ht="15" customHeight="1" x14ac:dyDescent="0.25">
      <c r="A18" s="164"/>
      <c r="B18" s="169" t="s">
        <v>84</v>
      </c>
      <c r="C18" s="177"/>
      <c r="D18" s="173"/>
      <c r="E18" s="80">
        <f t="shared" si="1"/>
        <v>0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/>
      <c r="D19" s="173"/>
      <c r="E19" s="80">
        <f t="shared" si="1"/>
        <v>0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0" ht="15" customHeight="1" x14ac:dyDescent="0.25">
      <c r="A20" s="164"/>
      <c r="B20" s="169" t="s">
        <v>41</v>
      </c>
      <c r="C20" s="177"/>
      <c r="D20" s="173"/>
      <c r="E20" s="80">
        <f t="shared" si="1"/>
        <v>0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0" ht="15" customHeight="1" x14ac:dyDescent="0.25">
      <c r="A21" s="164"/>
      <c r="B21" s="169" t="s">
        <v>39</v>
      </c>
      <c r="C21" s="177"/>
      <c r="D21" s="173"/>
      <c r="E21" s="80">
        <f t="shared" si="1"/>
        <v>0</v>
      </c>
      <c r="G21" s="112" t="s">
        <v>135</v>
      </c>
      <c r="H21" s="190">
        <v>232937.965</v>
      </c>
      <c r="I21" s="190"/>
    </row>
    <row r="22" spans="1:10" ht="15" customHeight="1" x14ac:dyDescent="0.25">
      <c r="A22" s="164"/>
      <c r="B22" s="169" t="s">
        <v>46</v>
      </c>
      <c r="C22" s="177"/>
      <c r="D22" s="173">
        <v>30.23</v>
      </c>
      <c r="E22" s="80">
        <f t="shared" si="1"/>
        <v>3.9940534450065212E-3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0" ht="15" customHeight="1" x14ac:dyDescent="0.25">
      <c r="A23" s="164"/>
      <c r="B23" s="169" t="s">
        <v>9</v>
      </c>
      <c r="C23" s="177"/>
      <c r="D23" s="173">
        <v>60.36</v>
      </c>
      <c r="E23" s="80">
        <f t="shared" si="1"/>
        <v>7.9748946721995909E-3</v>
      </c>
    </row>
    <row r="24" spans="1:10" ht="15" customHeight="1" thickBot="1" x14ac:dyDescent="0.3">
      <c r="A24" s="164"/>
      <c r="B24" s="169" t="s">
        <v>40</v>
      </c>
      <c r="C24" s="177"/>
      <c r="D24" s="173">
        <v>478.89</v>
      </c>
      <c r="E24" s="80">
        <f t="shared" si="1"/>
        <v>6.3271989886839991E-2</v>
      </c>
      <c r="F24" s="179"/>
      <c r="G24" s="179"/>
    </row>
    <row r="25" spans="1:10" ht="15" customHeight="1" thickBot="1" x14ac:dyDescent="0.3">
      <c r="B25" s="178" t="s">
        <v>0</v>
      </c>
      <c r="C25" s="170"/>
      <c r="D25" s="171">
        <f>SUM(D5:D24)</f>
        <v>7568.7520000000004</v>
      </c>
      <c r="E25" s="57">
        <f>+D25/$D$4</f>
        <v>1</v>
      </c>
      <c r="F25" s="179"/>
      <c r="G25" s="179"/>
    </row>
    <row r="26" spans="1:10" ht="15" customHeight="1" x14ac:dyDescent="0.25">
      <c r="B26" s="166" t="s">
        <v>1</v>
      </c>
      <c r="C26" s="167"/>
      <c r="D26" s="174">
        <v>171885.054</v>
      </c>
      <c r="E26" s="57">
        <f>+D26/$E$2</f>
        <v>0.78360376928407316</v>
      </c>
      <c r="F26" s="163"/>
      <c r="G26" s="179"/>
    </row>
    <row r="27" spans="1:10" x14ac:dyDescent="0.25">
      <c r="D27" s="193">
        <f>+(E2/31)*23</f>
        <v>162745.03225806452</v>
      </c>
      <c r="E27" s="98">
        <f>+D27/E2</f>
        <v>0.74193548387096775</v>
      </c>
    </row>
    <row r="28" spans="1:10" x14ac:dyDescent="0.25">
      <c r="D28" s="138">
        <f>+D26-D27</f>
        <v>9140.0217419354885</v>
      </c>
      <c r="E28" s="99">
        <f>+E26-E27</f>
        <v>4.166828541310541E-2</v>
      </c>
    </row>
    <row r="29" spans="1:10" x14ac:dyDescent="0.25">
      <c r="G29" s="163"/>
      <c r="H29" s="163"/>
      <c r="I29" s="163"/>
      <c r="J29" s="163"/>
    </row>
    <row r="30" spans="1:10" x14ac:dyDescent="0.25">
      <c r="B30" s="66" t="s">
        <v>60</v>
      </c>
      <c r="D30" s="109" t="s">
        <v>105</v>
      </c>
      <c r="E30" s="109" t="s">
        <v>80</v>
      </c>
      <c r="G30" s="163"/>
      <c r="I30" s="162" t="s">
        <v>92</v>
      </c>
      <c r="J30" s="71"/>
    </row>
    <row r="31" spans="1:10" x14ac:dyDescent="0.25">
      <c r="B31" s="162" t="s">
        <v>61</v>
      </c>
      <c r="C31" s="162">
        <v>629</v>
      </c>
      <c r="D31" s="108">
        <v>2142</v>
      </c>
      <c r="E31" s="57">
        <f>+C31/D31</f>
        <v>0.29365079365079366</v>
      </c>
      <c r="G31" s="86" t="s">
        <v>86</v>
      </c>
      <c r="H31" s="87">
        <v>3596</v>
      </c>
      <c r="I31" s="88">
        <v>89.9</v>
      </c>
      <c r="J31" s="71"/>
    </row>
    <row r="32" spans="1:10" x14ac:dyDescent="0.25">
      <c r="B32" s="162" t="s">
        <v>62</v>
      </c>
      <c r="C32" s="162">
        <v>1028</v>
      </c>
      <c r="D32" s="108">
        <v>1890</v>
      </c>
      <c r="E32" s="57">
        <f>+C32/D32</f>
        <v>0.54391534391534391</v>
      </c>
      <c r="G32" s="86" t="s">
        <v>104</v>
      </c>
      <c r="H32" s="87">
        <v>14</v>
      </c>
      <c r="I32" s="88">
        <v>0.35000000000000003</v>
      </c>
      <c r="J32" s="71"/>
    </row>
    <row r="33" spans="1:10" x14ac:dyDescent="0.25">
      <c r="B33" s="162" t="s">
        <v>63</v>
      </c>
      <c r="C33" s="67">
        <v>1163</v>
      </c>
      <c r="D33" s="108">
        <v>3006</v>
      </c>
      <c r="E33" s="57">
        <f>+C33/D33</f>
        <v>0.38689288090485696</v>
      </c>
      <c r="G33" s="89" t="s">
        <v>87</v>
      </c>
      <c r="H33" s="87">
        <v>175</v>
      </c>
      <c r="I33" s="88">
        <v>262.5</v>
      </c>
      <c r="J33" s="71"/>
    </row>
    <row r="34" spans="1:10" x14ac:dyDescent="0.25">
      <c r="C34" s="162">
        <f>+SUM(C31:C33)</f>
        <v>2820</v>
      </c>
      <c r="D34" s="110">
        <f>+SUM(D31:D33)</f>
        <v>7038</v>
      </c>
      <c r="E34" s="57">
        <f>+C34/D34</f>
        <v>0.40068201193520886</v>
      </c>
      <c r="G34" s="89" t="s">
        <v>91</v>
      </c>
      <c r="H34" s="87">
        <v>42</v>
      </c>
      <c r="I34" s="88">
        <v>63</v>
      </c>
      <c r="J34" s="71"/>
    </row>
    <row r="35" spans="1:10" ht="33.75" x14ac:dyDescent="0.25">
      <c r="G35" s="89" t="s">
        <v>123</v>
      </c>
      <c r="H35" s="87">
        <v>193</v>
      </c>
      <c r="I35" s="88">
        <v>289.5</v>
      </c>
      <c r="J35" s="221" t="s">
        <v>150</v>
      </c>
    </row>
    <row r="36" spans="1:10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  <c r="J36" s="218"/>
    </row>
    <row r="37" spans="1:10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224" t="s">
        <v>152</v>
      </c>
    </row>
    <row r="38" spans="1:10" x14ac:dyDescent="0.25">
      <c r="B38" s="73">
        <v>22</v>
      </c>
      <c r="C38" s="74">
        <v>4</v>
      </c>
      <c r="D38" s="74">
        <v>11</v>
      </c>
      <c r="E38" s="75">
        <f>+SUM(B38:D38)</f>
        <v>37</v>
      </c>
      <c r="J38" s="218"/>
    </row>
    <row r="39" spans="1:10" x14ac:dyDescent="0.25">
      <c r="E39" s="198" t="s">
        <v>76</v>
      </c>
      <c r="F39" s="198" t="s">
        <v>137</v>
      </c>
      <c r="H39" s="144" t="s">
        <v>124</v>
      </c>
      <c r="I39" s="220" t="s">
        <v>148</v>
      </c>
      <c r="J39" s="218" t="s">
        <v>146</v>
      </c>
    </row>
    <row r="40" spans="1:10" x14ac:dyDescent="0.25">
      <c r="D40" s="162"/>
      <c r="G40" s="71" t="s">
        <v>90</v>
      </c>
      <c r="H40" s="144" t="s">
        <v>120</v>
      </c>
      <c r="I40" s="145">
        <v>0</v>
      </c>
      <c r="J40" s="218"/>
    </row>
    <row r="41" spans="1:10" x14ac:dyDescent="0.25">
      <c r="A41" s="207" t="s">
        <v>70</v>
      </c>
      <c r="B41" s="199">
        <v>0</v>
      </c>
      <c r="C41" s="199">
        <v>0</v>
      </c>
      <c r="D41" s="200">
        <v>2400</v>
      </c>
      <c r="E41" s="201">
        <f t="shared" ref="E41:E46" si="3">+C41/D41</f>
        <v>0</v>
      </c>
      <c r="F41" s="201">
        <f t="shared" ref="F41:F46" si="4">+B41/24</f>
        <v>0</v>
      </c>
      <c r="G41" s="202">
        <v>7</v>
      </c>
      <c r="H41" s="144" t="s">
        <v>121</v>
      </c>
      <c r="I41" s="220" t="s">
        <v>149</v>
      </c>
      <c r="J41" s="218" t="s">
        <v>146</v>
      </c>
    </row>
    <row r="42" spans="1:10" x14ac:dyDescent="0.25">
      <c r="A42" s="207" t="s">
        <v>71</v>
      </c>
      <c r="B42" s="199">
        <v>13.5</v>
      </c>
      <c r="C42" s="199">
        <v>1491</v>
      </c>
      <c r="D42" s="200">
        <v>3600</v>
      </c>
      <c r="E42" s="201">
        <f t="shared" si="3"/>
        <v>0.41416666666666668</v>
      </c>
      <c r="F42" s="201">
        <f t="shared" si="4"/>
        <v>0.5625</v>
      </c>
      <c r="G42" s="202">
        <v>11</v>
      </c>
      <c r="H42" s="71"/>
    </row>
    <row r="43" spans="1:10" x14ac:dyDescent="0.25">
      <c r="A43" s="207" t="s">
        <v>72</v>
      </c>
      <c r="B43" s="199">
        <v>14.87</v>
      </c>
      <c r="C43" s="199">
        <v>1152</v>
      </c>
      <c r="D43" s="200">
        <v>3900</v>
      </c>
      <c r="E43" s="201">
        <f t="shared" si="3"/>
        <v>0.29538461538461541</v>
      </c>
      <c r="F43" s="201">
        <f t="shared" si="4"/>
        <v>0.61958333333333326</v>
      </c>
      <c r="G43" s="202">
        <v>12</v>
      </c>
      <c r="H43" s="71"/>
    </row>
    <row r="44" spans="1:10" x14ac:dyDescent="0.25">
      <c r="A44" s="207" t="s">
        <v>73</v>
      </c>
      <c r="B44" s="199">
        <v>19.329999999999998</v>
      </c>
      <c r="C44" s="199">
        <v>2743</v>
      </c>
      <c r="D44" s="200">
        <v>3900</v>
      </c>
      <c r="E44" s="201">
        <f t="shared" si="3"/>
        <v>0.70333333333333337</v>
      </c>
      <c r="F44" s="201">
        <f t="shared" si="4"/>
        <v>0.80541666666666656</v>
      </c>
      <c r="G44" s="202">
        <v>11</v>
      </c>
      <c r="H44" s="71"/>
    </row>
    <row r="45" spans="1:10" x14ac:dyDescent="0.25">
      <c r="A45" s="207" t="s">
        <v>74</v>
      </c>
      <c r="B45" s="199">
        <v>6.93</v>
      </c>
      <c r="C45" s="199">
        <v>3062</v>
      </c>
      <c r="D45" s="200">
        <v>3900</v>
      </c>
      <c r="E45" s="201">
        <f t="shared" si="3"/>
        <v>0.78512820512820514</v>
      </c>
      <c r="F45" s="201">
        <f t="shared" si="4"/>
        <v>0.28875000000000001</v>
      </c>
      <c r="G45" s="202">
        <v>11</v>
      </c>
      <c r="H45" s="71"/>
    </row>
    <row r="46" spans="1:10" x14ac:dyDescent="0.25">
      <c r="A46" s="207" t="s">
        <v>75</v>
      </c>
      <c r="B46" s="203">
        <v>10</v>
      </c>
      <c r="C46" s="204">
        <v>2871</v>
      </c>
      <c r="D46" s="205">
        <v>4300</v>
      </c>
      <c r="E46" s="206">
        <f t="shared" si="3"/>
        <v>0.66767441860465115</v>
      </c>
      <c r="F46" s="201">
        <f t="shared" si="4"/>
        <v>0.41666666666666669</v>
      </c>
      <c r="G46" s="202">
        <v>16</v>
      </c>
      <c r="H46" s="71"/>
    </row>
    <row r="47" spans="1:10" x14ac:dyDescent="0.25">
      <c r="C47" s="71" t="s">
        <v>83</v>
      </c>
      <c r="D47" s="72" t="s">
        <v>79</v>
      </c>
      <c r="H47" s="71"/>
    </row>
    <row r="48" spans="1:10" x14ac:dyDescent="0.25">
      <c r="B48" s="162" t="s">
        <v>78</v>
      </c>
      <c r="H48" s="71"/>
    </row>
    <row r="49" spans="3:8" x14ac:dyDescent="0.25">
      <c r="C49" s="71">
        <v>1</v>
      </c>
      <c r="D49" s="108" t="s">
        <v>151</v>
      </c>
      <c r="H49" s="71"/>
    </row>
    <row r="50" spans="3:8" x14ac:dyDescent="0.25">
      <c r="C50" s="71">
        <v>2</v>
      </c>
      <c r="D50" s="108" t="s">
        <v>151</v>
      </c>
      <c r="H50" s="71"/>
    </row>
    <row r="51" spans="3:8" x14ac:dyDescent="0.25">
      <c r="C51" s="71">
        <v>3</v>
      </c>
      <c r="D51" s="108">
        <v>2</v>
      </c>
      <c r="H51" s="71"/>
    </row>
    <row r="52" spans="3:8" x14ac:dyDescent="0.25">
      <c r="C52" s="71">
        <v>4</v>
      </c>
      <c r="D52" s="108">
        <v>1</v>
      </c>
      <c r="H52" s="71"/>
    </row>
    <row r="53" spans="3:8" x14ac:dyDescent="0.25">
      <c r="C53" s="71">
        <v>5</v>
      </c>
      <c r="D53" s="108">
        <v>4</v>
      </c>
    </row>
    <row r="54" spans="3:8" x14ac:dyDescent="0.25">
      <c r="C54" s="71">
        <v>6</v>
      </c>
      <c r="D54" s="108">
        <v>5</v>
      </c>
    </row>
    <row r="55" spans="3:8" x14ac:dyDescent="0.25">
      <c r="C55" s="71">
        <v>7</v>
      </c>
      <c r="D55" s="108" t="s">
        <v>151</v>
      </c>
    </row>
    <row r="56" spans="3:8" x14ac:dyDescent="0.25">
      <c r="C56" s="71">
        <v>8</v>
      </c>
      <c r="D56" s="108" t="s">
        <v>151</v>
      </c>
    </row>
  </sheetData>
  <protectedRanges>
    <protectedRange password="D554" sqref="I39:I41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6"/>
  <sheetViews>
    <sheetView topLeftCell="A13" workbookViewId="0">
      <selection activeCell="A27" sqref="A27:K5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16384" width="11.42578125" style="162"/>
  </cols>
  <sheetData>
    <row r="1" spans="1:10" ht="15" customHeight="1" x14ac:dyDescent="0.25">
      <c r="A1" s="161"/>
      <c r="B1" s="518">
        <v>45862</v>
      </c>
      <c r="C1" s="518"/>
      <c r="D1" s="518"/>
      <c r="E1" s="61" t="s">
        <v>133</v>
      </c>
      <c r="F1" s="62"/>
      <c r="G1" s="222">
        <v>45866</v>
      </c>
      <c r="H1" s="223">
        <v>4172</v>
      </c>
      <c r="I1" s="59">
        <v>45868</v>
      </c>
      <c r="J1" s="58">
        <v>9669</v>
      </c>
    </row>
    <row r="2" spans="1:10" x14ac:dyDescent="0.25">
      <c r="E2" s="62">
        <v>219352</v>
      </c>
      <c r="F2" s="62"/>
      <c r="G2" s="222">
        <v>45867</v>
      </c>
      <c r="H2" s="223">
        <v>6617</v>
      </c>
      <c r="I2" s="59">
        <v>45869</v>
      </c>
      <c r="J2" s="58">
        <v>7423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16"/>
      <c r="C4" s="216"/>
      <c r="D4" s="165">
        <f>D25</f>
        <v>7417.813000000001</v>
      </c>
      <c r="F4" s="58" t="s">
        <v>51</v>
      </c>
      <c r="G4" s="59">
        <v>45859</v>
      </c>
      <c r="H4" s="58">
        <v>5640</v>
      </c>
      <c r="I4" s="141">
        <v>5423.246000000001</v>
      </c>
      <c r="J4" s="60">
        <f>+I4/H4</f>
        <v>0.96156843971631223</v>
      </c>
    </row>
    <row r="5" spans="1:10" ht="15" customHeight="1" x14ac:dyDescent="0.25">
      <c r="A5" s="164"/>
      <c r="B5" s="168" t="s">
        <v>6</v>
      </c>
      <c r="C5" s="176">
        <v>4631</v>
      </c>
      <c r="D5" s="172">
        <v>197.71800000000002</v>
      </c>
      <c r="E5" s="80">
        <f>+D5/$D$4</f>
        <v>2.665448697614782E-2</v>
      </c>
      <c r="F5" s="58" t="s">
        <v>52</v>
      </c>
      <c r="G5" s="59">
        <v>45860</v>
      </c>
      <c r="H5" s="58">
        <v>8407</v>
      </c>
      <c r="I5" s="141">
        <v>8739.7199999999993</v>
      </c>
      <c r="J5" s="60">
        <f t="shared" ref="J5:J11" si="0">+I5/H5</f>
        <v>1.0395765433567266</v>
      </c>
    </row>
    <row r="6" spans="1:10" ht="15" customHeight="1" x14ac:dyDescent="0.25">
      <c r="A6" s="164"/>
      <c r="B6" s="169" t="s">
        <v>10</v>
      </c>
      <c r="C6" s="177">
        <v>10910</v>
      </c>
      <c r="D6" s="173">
        <v>465.42199999999997</v>
      </c>
      <c r="E6" s="80">
        <f t="shared" ref="E6:E24" si="1">+D6/$D$4</f>
        <v>6.2743830290680008E-2</v>
      </c>
      <c r="F6" s="58" t="s">
        <v>53</v>
      </c>
      <c r="G6" s="59">
        <v>45861</v>
      </c>
      <c r="H6" s="58">
        <v>5223</v>
      </c>
      <c r="I6" s="141">
        <v>7568.7520000000004</v>
      </c>
      <c r="J6" s="60">
        <f t="shared" si="0"/>
        <v>1.4491196630289107</v>
      </c>
    </row>
    <row r="7" spans="1:10" ht="15" customHeight="1" x14ac:dyDescent="0.25">
      <c r="A7" s="164"/>
      <c r="B7" s="169" t="s">
        <v>35</v>
      </c>
      <c r="C7" s="177">
        <v>15457</v>
      </c>
      <c r="D7" s="173">
        <v>659.71</v>
      </c>
      <c r="E7" s="80">
        <f t="shared" si="1"/>
        <v>8.8935916826158867E-2</v>
      </c>
      <c r="F7" s="58" t="s">
        <v>54</v>
      </c>
      <c r="G7" s="59">
        <v>45862</v>
      </c>
      <c r="H7" s="58">
        <v>7484</v>
      </c>
      <c r="I7" s="141">
        <v>7417.813000000001</v>
      </c>
      <c r="J7" s="60">
        <f t="shared" si="0"/>
        <v>0.99115619989310544</v>
      </c>
    </row>
    <row r="8" spans="1:10" ht="15" customHeight="1" x14ac:dyDescent="0.25">
      <c r="A8" s="164"/>
      <c r="B8" s="169" t="s">
        <v>4</v>
      </c>
      <c r="C8" s="177">
        <v>1520</v>
      </c>
      <c r="D8" s="173">
        <v>64.81</v>
      </c>
      <c r="E8" s="80">
        <f t="shared" si="1"/>
        <v>8.7370765480337658E-3</v>
      </c>
      <c r="F8" s="58" t="s">
        <v>55</v>
      </c>
      <c r="G8" s="59">
        <v>45863</v>
      </c>
      <c r="H8" s="58">
        <v>8348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35337</v>
      </c>
      <c r="D9" s="173">
        <v>1508.7980000000005</v>
      </c>
      <c r="E9" s="191">
        <f t="shared" si="1"/>
        <v>0.20340200002345707</v>
      </c>
      <c r="F9" s="58" t="s">
        <v>56</v>
      </c>
      <c r="G9" s="59">
        <v>45864</v>
      </c>
      <c r="H9" s="58">
        <v>8992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44496</v>
      </c>
      <c r="D10" s="173">
        <v>1898.9569999999999</v>
      </c>
      <c r="E10" s="191">
        <f t="shared" si="1"/>
        <v>0.25599957831236775</v>
      </c>
      <c r="F10" s="58" t="s">
        <v>57</v>
      </c>
      <c r="G10" s="59">
        <v>45865</v>
      </c>
      <c r="H10" s="58">
        <v>5865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8409</v>
      </c>
      <c r="D11" s="173">
        <v>359.32599999999996</v>
      </c>
      <c r="E11" s="80">
        <f t="shared" si="1"/>
        <v>4.84409623159818E-2</v>
      </c>
      <c r="H11" s="139">
        <f>+SUM(H4:H10)</f>
        <v>49959</v>
      </c>
      <c r="I11" s="142">
        <f>+SUM(I4:I10)</f>
        <v>29149.531000000003</v>
      </c>
      <c r="J11" s="140">
        <f t="shared" si="0"/>
        <v>0.58346906463299908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95</v>
      </c>
      <c r="C13" s="177">
        <v>1200</v>
      </c>
      <c r="D13" s="173">
        <v>30.132000000000001</v>
      </c>
      <c r="E13" s="80">
        <f t="shared" si="1"/>
        <v>4.0621137254336281E-3</v>
      </c>
      <c r="G13" s="112"/>
      <c r="H13" s="113">
        <v>2024</v>
      </c>
      <c r="I13" s="113">
        <v>2025</v>
      </c>
      <c r="J13" s="71"/>
    </row>
    <row r="14" spans="1:10" ht="15" customHeight="1" x14ac:dyDescent="0.25">
      <c r="A14" s="164"/>
      <c r="B14" s="169" t="s">
        <v>41</v>
      </c>
      <c r="C14" s="177"/>
      <c r="D14" s="173"/>
      <c r="E14" s="80">
        <f t="shared" si="1"/>
        <v>0</v>
      </c>
      <c r="F14" s="66"/>
      <c r="G14" s="112" t="s">
        <v>108</v>
      </c>
      <c r="H14" s="190">
        <v>204007.80300000001</v>
      </c>
      <c r="I14" s="190">
        <v>190629.128</v>
      </c>
      <c r="J14" s="57">
        <f t="shared" ref="J14:J19" si="2">+I14/H14</f>
        <v>0.93442076820953746</v>
      </c>
    </row>
    <row r="15" spans="1:10" ht="15" customHeight="1" x14ac:dyDescent="0.25">
      <c r="A15" s="164"/>
      <c r="B15" s="169" t="s">
        <v>43</v>
      </c>
      <c r="C15" s="177">
        <v>206</v>
      </c>
      <c r="D15" s="173">
        <v>311.89999999999998</v>
      </c>
      <c r="E15" s="80">
        <f t="shared" si="1"/>
        <v>4.2047433657332683E-2</v>
      </c>
      <c r="G15" s="112" t="s">
        <v>109</v>
      </c>
      <c r="H15" s="190">
        <v>186305.94399999996</v>
      </c>
      <c r="I15" s="190">
        <v>182874.285</v>
      </c>
      <c r="J15" s="57">
        <f t="shared" si="2"/>
        <v>0.9815805179033904</v>
      </c>
    </row>
    <row r="16" spans="1:10" ht="15" customHeight="1" x14ac:dyDescent="0.25">
      <c r="A16" s="164"/>
      <c r="B16" s="169" t="s">
        <v>44</v>
      </c>
      <c r="C16" s="177">
        <v>93</v>
      </c>
      <c r="D16" s="173">
        <v>140.27000000000001</v>
      </c>
      <c r="E16" s="80">
        <f t="shared" si="1"/>
        <v>1.8909886242751063E-2</v>
      </c>
      <c r="G16" s="112" t="s">
        <v>110</v>
      </c>
      <c r="H16" s="190">
        <v>199570.19199999989</v>
      </c>
      <c r="I16" s="190">
        <v>197224.22099999999</v>
      </c>
      <c r="J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62</v>
      </c>
      <c r="D17" s="173">
        <v>93.140000000000015</v>
      </c>
      <c r="E17" s="80">
        <f t="shared" si="1"/>
        <v>1.2556261528836061E-2</v>
      </c>
      <c r="G17" s="112" t="s">
        <v>111</v>
      </c>
      <c r="H17" s="190">
        <v>205343.72800000012</v>
      </c>
      <c r="I17" s="190">
        <v>198970.75799999986</v>
      </c>
      <c r="J17" s="57">
        <f t="shared" si="2"/>
        <v>0.96896437956945902</v>
      </c>
    </row>
    <row r="18" spans="1:10" ht="15" customHeight="1" x14ac:dyDescent="0.25">
      <c r="A18" s="164"/>
      <c r="B18" s="169" t="s">
        <v>41</v>
      </c>
      <c r="C18" s="177">
        <v>251</v>
      </c>
      <c r="D18" s="173">
        <v>377.13</v>
      </c>
      <c r="E18" s="80">
        <f t="shared" si="1"/>
        <v>5.084113066748918E-2</v>
      </c>
      <c r="G18" s="112" t="s">
        <v>102</v>
      </c>
      <c r="H18" s="190">
        <v>209473.77399999995</v>
      </c>
      <c r="I18" s="190">
        <v>212393.17300000001</v>
      </c>
      <c r="J18" s="57">
        <f t="shared" si="2"/>
        <v>1.0139368234230604</v>
      </c>
    </row>
    <row r="19" spans="1:10" ht="15" customHeight="1" x14ac:dyDescent="0.25">
      <c r="A19" s="164"/>
      <c r="B19" s="169" t="s">
        <v>39</v>
      </c>
      <c r="C19" s="177">
        <v>468</v>
      </c>
      <c r="D19" s="173">
        <v>707.59000000000015</v>
      </c>
      <c r="E19" s="80">
        <f t="shared" si="1"/>
        <v>9.5390649508150183E-2</v>
      </c>
      <c r="G19" s="112" t="s">
        <v>125</v>
      </c>
      <c r="H19" s="190">
        <v>196506.86</v>
      </c>
      <c r="I19" s="190">
        <v>204590</v>
      </c>
      <c r="J19" s="57">
        <f t="shared" si="2"/>
        <v>1.0411341364876525</v>
      </c>
    </row>
    <row r="20" spans="1:10" ht="15" customHeight="1" x14ac:dyDescent="0.25">
      <c r="A20" s="164"/>
      <c r="B20" s="169" t="s">
        <v>41</v>
      </c>
      <c r="C20" s="177"/>
      <c r="D20" s="173"/>
      <c r="E20" s="80">
        <f t="shared" si="1"/>
        <v>0</v>
      </c>
      <c r="G20" s="112" t="s">
        <v>132</v>
      </c>
      <c r="H20" s="190">
        <v>219516.23899999997</v>
      </c>
      <c r="I20" s="190"/>
      <c r="J20" s="57">
        <f>+I22/H22</f>
        <v>0.98790656375925234</v>
      </c>
    </row>
    <row r="21" spans="1:10" ht="15" customHeight="1" x14ac:dyDescent="0.25">
      <c r="A21" s="164"/>
      <c r="B21" s="169" t="s">
        <v>39</v>
      </c>
      <c r="C21" s="177"/>
      <c r="D21" s="173"/>
      <c r="E21" s="80">
        <f t="shared" si="1"/>
        <v>0</v>
      </c>
      <c r="G21" s="112" t="s">
        <v>135</v>
      </c>
      <c r="H21" s="190">
        <v>232937.965</v>
      </c>
      <c r="I21" s="190"/>
    </row>
    <row r="22" spans="1:10" ht="15" customHeight="1" x14ac:dyDescent="0.25">
      <c r="A22" s="164"/>
      <c r="B22" s="169" t="s">
        <v>9</v>
      </c>
      <c r="C22" s="177"/>
      <c r="D22" s="173">
        <v>90.33</v>
      </c>
      <c r="E22" s="80">
        <f t="shared" si="1"/>
        <v>1.2177443675110169E-2</v>
      </c>
      <c r="H22" s="68">
        <f>+SUM(H14:H19)</f>
        <v>1201208.301</v>
      </c>
      <c r="I22" s="68">
        <f>+SUM(I14:I19)</f>
        <v>1186681.5649999997</v>
      </c>
      <c r="J22" s="108">
        <f>+I22-H22</f>
        <v>-14526.736000000266</v>
      </c>
    </row>
    <row r="23" spans="1:10" ht="15" customHeight="1" x14ac:dyDescent="0.25">
      <c r="A23" s="164"/>
      <c r="B23" s="169" t="s">
        <v>46</v>
      </c>
      <c r="C23" s="177"/>
      <c r="D23" s="173">
        <v>32.200000000000003</v>
      </c>
      <c r="E23" s="80">
        <f t="shared" si="1"/>
        <v>4.3409020960760263E-3</v>
      </c>
    </row>
    <row r="24" spans="1:10" ht="15" customHeight="1" thickBot="1" x14ac:dyDescent="0.3">
      <c r="A24" s="164"/>
      <c r="B24" s="169" t="s">
        <v>40</v>
      </c>
      <c r="C24" s="177"/>
      <c r="D24" s="173">
        <v>480.37999999999994</v>
      </c>
      <c r="E24" s="80">
        <f t="shared" si="1"/>
        <v>6.4760327605993831E-2</v>
      </c>
      <c r="F24" s="179"/>
      <c r="G24" s="179"/>
    </row>
    <row r="25" spans="1:10" ht="15" customHeight="1" thickBot="1" x14ac:dyDescent="0.3">
      <c r="B25" s="178" t="s">
        <v>0</v>
      </c>
      <c r="C25" s="170"/>
      <c r="D25" s="171">
        <f>SUM(D5:D24)</f>
        <v>7417.813000000001</v>
      </c>
      <c r="E25" s="57">
        <f>+D25/$D$4</f>
        <v>1</v>
      </c>
      <c r="F25" s="179"/>
      <c r="G25" s="179"/>
    </row>
    <row r="26" spans="1:10" ht="15" customHeight="1" x14ac:dyDescent="0.25">
      <c r="B26" s="166" t="s">
        <v>1</v>
      </c>
      <c r="C26" s="167"/>
      <c r="D26" s="174">
        <v>179302.867</v>
      </c>
      <c r="E26" s="57">
        <f>+D26/$E$2</f>
        <v>0.81742070735621286</v>
      </c>
      <c r="F26" s="163"/>
      <c r="G26" s="179"/>
    </row>
    <row r="27" spans="1:10" x14ac:dyDescent="0.25">
      <c r="D27" s="193">
        <f>+(E2/31)*24</f>
        <v>169820.90322580645</v>
      </c>
      <c r="E27" s="98">
        <f>+D27/E2</f>
        <v>0.77419354838709675</v>
      </c>
    </row>
    <row r="28" spans="1:10" x14ac:dyDescent="0.25">
      <c r="D28" s="138">
        <f>+D26-D27</f>
        <v>9481.9637741935439</v>
      </c>
      <c r="E28" s="99">
        <f>+E26-E27</f>
        <v>4.3227158969116108E-2</v>
      </c>
    </row>
    <row r="29" spans="1:10" x14ac:dyDescent="0.25">
      <c r="G29" s="163"/>
      <c r="H29" s="163"/>
      <c r="I29" s="163"/>
      <c r="J29" s="163"/>
    </row>
    <row r="30" spans="1:10" x14ac:dyDescent="0.25">
      <c r="B30" s="66" t="s">
        <v>60</v>
      </c>
      <c r="D30" s="109" t="s">
        <v>105</v>
      </c>
      <c r="E30" s="109" t="s">
        <v>80</v>
      </c>
      <c r="G30" s="163"/>
      <c r="I30" s="162" t="s">
        <v>92</v>
      </c>
      <c r="J30" s="71"/>
    </row>
    <row r="31" spans="1:10" x14ac:dyDescent="0.25">
      <c r="B31" s="162" t="s">
        <v>61</v>
      </c>
      <c r="C31" s="162">
        <v>343</v>
      </c>
      <c r="D31" s="108">
        <v>2142</v>
      </c>
      <c r="E31" s="57">
        <f>+C31/D31</f>
        <v>0.16013071895424835</v>
      </c>
      <c r="G31" s="86" t="s">
        <v>86</v>
      </c>
      <c r="H31" s="87">
        <v>3956</v>
      </c>
      <c r="I31" s="88">
        <v>98.9</v>
      </c>
      <c r="J31" s="71"/>
    </row>
    <row r="32" spans="1:10" x14ac:dyDescent="0.25">
      <c r="B32" s="162" t="s">
        <v>62</v>
      </c>
      <c r="C32" s="162">
        <v>1207</v>
      </c>
      <c r="D32" s="108">
        <v>1890</v>
      </c>
      <c r="E32" s="57">
        <f>+C32/D32</f>
        <v>0.63862433862433865</v>
      </c>
      <c r="G32" s="86" t="s">
        <v>104</v>
      </c>
      <c r="H32" s="87">
        <v>14</v>
      </c>
      <c r="I32" s="88">
        <v>0.35000000000000003</v>
      </c>
      <c r="J32" s="71"/>
    </row>
    <row r="33" spans="1:10" x14ac:dyDescent="0.25">
      <c r="B33" s="162" t="s">
        <v>63</v>
      </c>
      <c r="C33" s="67">
        <v>2375</v>
      </c>
      <c r="D33" s="108">
        <v>3006</v>
      </c>
      <c r="E33" s="57">
        <f>+C33/D33</f>
        <v>0.79008649367930806</v>
      </c>
      <c r="G33" s="89" t="s">
        <v>87</v>
      </c>
      <c r="H33" s="87">
        <v>175</v>
      </c>
      <c r="I33" s="88">
        <v>262.5</v>
      </c>
      <c r="J33" s="71"/>
    </row>
    <row r="34" spans="1:10" x14ac:dyDescent="0.25">
      <c r="C34" s="162">
        <f>+SUM(C31:C33)</f>
        <v>3925</v>
      </c>
      <c r="D34" s="110">
        <f>+SUM(D31:D33)</f>
        <v>7038</v>
      </c>
      <c r="E34" s="57">
        <f>+C34/D34</f>
        <v>0.55768684285308323</v>
      </c>
      <c r="G34" s="89" t="s">
        <v>91</v>
      </c>
      <c r="H34" s="87">
        <v>42</v>
      </c>
      <c r="I34" s="88">
        <v>63</v>
      </c>
      <c r="J34" s="71"/>
    </row>
    <row r="35" spans="1:10" ht="33.75" x14ac:dyDescent="0.25">
      <c r="G35" s="89" t="s">
        <v>123</v>
      </c>
      <c r="H35" s="87">
        <v>193</v>
      </c>
      <c r="I35" s="88">
        <v>289.5</v>
      </c>
      <c r="J35" s="221" t="s">
        <v>150</v>
      </c>
    </row>
    <row r="36" spans="1:10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  <c r="J36" s="218"/>
    </row>
    <row r="37" spans="1:10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224" t="s">
        <v>152</v>
      </c>
    </row>
    <row r="38" spans="1:10" x14ac:dyDescent="0.25">
      <c r="B38" s="73">
        <v>24</v>
      </c>
      <c r="C38" s="74">
        <v>10</v>
      </c>
      <c r="D38" s="74">
        <v>22</v>
      </c>
      <c r="E38" s="75">
        <f>+SUM(B38:D38)</f>
        <v>56</v>
      </c>
      <c r="J38" s="218"/>
    </row>
    <row r="39" spans="1:10" x14ac:dyDescent="0.25">
      <c r="E39" s="198" t="s">
        <v>76</v>
      </c>
      <c r="F39" s="198" t="s">
        <v>137</v>
      </c>
      <c r="H39" s="144" t="s">
        <v>124</v>
      </c>
      <c r="I39" s="220" t="s">
        <v>148</v>
      </c>
      <c r="J39" s="218" t="s">
        <v>146</v>
      </c>
    </row>
    <row r="40" spans="1:10" x14ac:dyDescent="0.25">
      <c r="D40" s="162"/>
      <c r="G40" s="71" t="s">
        <v>90</v>
      </c>
      <c r="H40" s="144" t="s">
        <v>120</v>
      </c>
      <c r="I40" s="145">
        <v>0</v>
      </c>
      <c r="J40" s="218"/>
    </row>
    <row r="41" spans="1:10" x14ac:dyDescent="0.25">
      <c r="A41" s="207" t="s">
        <v>70</v>
      </c>
      <c r="B41" s="199">
        <v>0</v>
      </c>
      <c r="C41" s="199">
        <v>0</v>
      </c>
      <c r="D41" s="200">
        <v>2400</v>
      </c>
      <c r="E41" s="201">
        <f t="shared" ref="E41:E46" si="3">+C41/D41</f>
        <v>0</v>
      </c>
      <c r="F41" s="201">
        <f t="shared" ref="F41:F46" si="4">+B41/24</f>
        <v>0</v>
      </c>
      <c r="G41" s="202">
        <v>7</v>
      </c>
      <c r="H41" s="144" t="s">
        <v>121</v>
      </c>
      <c r="I41" s="220" t="s">
        <v>149</v>
      </c>
      <c r="J41" s="218" t="s">
        <v>146</v>
      </c>
    </row>
    <row r="42" spans="1:10" x14ac:dyDescent="0.25">
      <c r="A42" s="207" t="s">
        <v>71</v>
      </c>
      <c r="B42" s="199">
        <v>10.71</v>
      </c>
      <c r="C42" s="199">
        <v>1341</v>
      </c>
      <c r="D42" s="200">
        <v>3600</v>
      </c>
      <c r="E42" s="201">
        <f t="shared" si="3"/>
        <v>0.3725</v>
      </c>
      <c r="F42" s="201">
        <f t="shared" si="4"/>
        <v>0.44625000000000004</v>
      </c>
      <c r="G42" s="202">
        <v>11</v>
      </c>
      <c r="H42" s="71"/>
    </row>
    <row r="43" spans="1:10" x14ac:dyDescent="0.25">
      <c r="A43" s="207" t="s">
        <v>72</v>
      </c>
      <c r="B43" s="199">
        <v>10.76</v>
      </c>
      <c r="C43" s="199">
        <v>1161</v>
      </c>
      <c r="D43" s="200">
        <v>3900</v>
      </c>
      <c r="E43" s="201">
        <f t="shared" si="3"/>
        <v>0.2976923076923077</v>
      </c>
      <c r="F43" s="201">
        <f t="shared" si="4"/>
        <v>0.44833333333333331</v>
      </c>
      <c r="G43" s="202">
        <v>12</v>
      </c>
      <c r="H43" s="71"/>
    </row>
    <row r="44" spans="1:10" x14ac:dyDescent="0.25">
      <c r="A44" s="207" t="s">
        <v>73</v>
      </c>
      <c r="B44" s="199">
        <v>12.12</v>
      </c>
      <c r="C44" s="199">
        <v>2484</v>
      </c>
      <c r="D44" s="200">
        <v>3900</v>
      </c>
      <c r="E44" s="201">
        <f t="shared" si="3"/>
        <v>0.63692307692307693</v>
      </c>
      <c r="F44" s="201">
        <f t="shared" si="4"/>
        <v>0.505</v>
      </c>
      <c r="G44" s="202">
        <v>11</v>
      </c>
      <c r="H44" s="71"/>
    </row>
    <row r="45" spans="1:10" x14ac:dyDescent="0.25">
      <c r="A45" s="207" t="s">
        <v>74</v>
      </c>
      <c r="B45" s="199">
        <v>13.79</v>
      </c>
      <c r="C45" s="199">
        <v>2852</v>
      </c>
      <c r="D45" s="200">
        <v>3900</v>
      </c>
      <c r="E45" s="201">
        <f t="shared" si="3"/>
        <v>0.73128205128205126</v>
      </c>
      <c r="F45" s="201">
        <f t="shared" si="4"/>
        <v>0.57458333333333333</v>
      </c>
      <c r="G45" s="202">
        <v>11</v>
      </c>
      <c r="H45" s="71"/>
    </row>
    <row r="46" spans="1:10" x14ac:dyDescent="0.25">
      <c r="A46" s="207" t="s">
        <v>75</v>
      </c>
      <c r="B46" s="203">
        <v>13.51</v>
      </c>
      <c r="C46" s="204">
        <v>3091</v>
      </c>
      <c r="D46" s="205">
        <v>4300</v>
      </c>
      <c r="E46" s="206">
        <f t="shared" si="3"/>
        <v>0.71883720930232553</v>
      </c>
      <c r="F46" s="201">
        <f t="shared" si="4"/>
        <v>0.56291666666666662</v>
      </c>
      <c r="G46" s="202">
        <v>16</v>
      </c>
      <c r="H46" s="71"/>
    </row>
    <row r="47" spans="1:10" x14ac:dyDescent="0.25">
      <c r="C47" s="71" t="s">
        <v>83</v>
      </c>
      <c r="D47" s="72" t="s">
        <v>79</v>
      </c>
      <c r="H47" s="71"/>
    </row>
    <row r="48" spans="1:10" x14ac:dyDescent="0.25">
      <c r="B48" s="162" t="s">
        <v>78</v>
      </c>
      <c r="H48" s="71"/>
    </row>
    <row r="49" spans="3:8" x14ac:dyDescent="0.25">
      <c r="C49" s="71">
        <v>1</v>
      </c>
      <c r="D49" s="225" t="s">
        <v>153</v>
      </c>
      <c r="H49" s="71"/>
    </row>
    <row r="50" spans="3:8" x14ac:dyDescent="0.25">
      <c r="C50" s="71">
        <v>2</v>
      </c>
      <c r="D50" s="225" t="s">
        <v>153</v>
      </c>
      <c r="H50" s="71"/>
    </row>
    <row r="51" spans="3:8" x14ac:dyDescent="0.25">
      <c r="C51" s="71">
        <v>3</v>
      </c>
      <c r="D51" s="225" t="s">
        <v>154</v>
      </c>
      <c r="H51" s="71"/>
    </row>
    <row r="52" spans="3:8" x14ac:dyDescent="0.25">
      <c r="C52" s="71">
        <v>4</v>
      </c>
      <c r="D52" s="225" t="s">
        <v>154</v>
      </c>
      <c r="H52" s="71"/>
    </row>
    <row r="53" spans="3:8" x14ac:dyDescent="0.25">
      <c r="C53" s="71">
        <v>5</v>
      </c>
      <c r="D53" s="108">
        <v>8</v>
      </c>
    </row>
    <row r="54" spans="3:8" x14ac:dyDescent="0.25">
      <c r="C54" s="71">
        <v>6</v>
      </c>
      <c r="D54" s="108">
        <v>9</v>
      </c>
    </row>
    <row r="55" spans="3:8" x14ac:dyDescent="0.25">
      <c r="C55" s="71">
        <v>7</v>
      </c>
      <c r="D55" s="225" t="s">
        <v>153</v>
      </c>
    </row>
    <row r="56" spans="3:8" x14ac:dyDescent="0.25">
      <c r="C56" s="71">
        <v>8</v>
      </c>
      <c r="D56" s="225" t="s">
        <v>153</v>
      </c>
    </row>
  </sheetData>
  <protectedRanges>
    <protectedRange password="D554" sqref="I39:I41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3"/>
  <sheetViews>
    <sheetView workbookViewId="0">
      <selection activeCell="B1" sqref="B1:D1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1.85546875" style="162" bestFit="1" customWidth="1"/>
    <col min="6" max="6" width="11.42578125" style="162"/>
    <col min="7" max="7" width="13" style="162" bestFit="1" customWidth="1"/>
    <col min="8" max="8" width="11.85546875" style="162" bestFit="1" customWidth="1"/>
    <col min="9" max="10" width="11.42578125" style="162"/>
    <col min="11" max="11" width="5" style="162" bestFit="1" customWidth="1"/>
    <col min="12" max="12" width="6.140625" style="162" bestFit="1" customWidth="1"/>
    <col min="13" max="13" width="5" style="162" bestFit="1" customWidth="1"/>
    <col min="14" max="16384" width="11.42578125" style="162"/>
  </cols>
  <sheetData>
    <row r="1" spans="1:10" ht="15" customHeight="1" x14ac:dyDescent="0.25">
      <c r="A1" s="161"/>
      <c r="B1" s="518">
        <v>45868</v>
      </c>
      <c r="C1" s="518"/>
      <c r="D1" s="518"/>
      <c r="E1" s="61" t="s">
        <v>133</v>
      </c>
      <c r="F1" s="61" t="s">
        <v>155</v>
      </c>
    </row>
    <row r="2" spans="1:10" x14ac:dyDescent="0.25">
      <c r="E2" s="62">
        <v>219352</v>
      </c>
      <c r="F2" s="62">
        <v>229593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F3" s="108">
        <f>+F2/31</f>
        <v>7406.2258064516127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19"/>
      <c r="C4" s="219"/>
      <c r="D4" s="165">
        <f>D22</f>
        <v>5144.4310000000005</v>
      </c>
      <c r="F4" s="58" t="s">
        <v>51</v>
      </c>
      <c r="G4" s="59">
        <v>45859</v>
      </c>
      <c r="H4" s="58">
        <v>5640</v>
      </c>
      <c r="I4" s="141">
        <v>5423.246000000001</v>
      </c>
      <c r="J4" s="60">
        <f>+I4/H4</f>
        <v>0.96156843971631223</v>
      </c>
    </row>
    <row r="5" spans="1:10" ht="15" customHeight="1" x14ac:dyDescent="0.25">
      <c r="A5" s="164"/>
      <c r="B5" s="168" t="s">
        <v>6</v>
      </c>
      <c r="C5" s="176">
        <v>760</v>
      </c>
      <c r="D5" s="172">
        <v>32.369999999999997</v>
      </c>
      <c r="E5" s="80">
        <f>+D5/$D$4</f>
        <v>6.2922410661159604E-3</v>
      </c>
      <c r="F5" s="58" t="s">
        <v>52</v>
      </c>
      <c r="G5" s="59">
        <v>45860</v>
      </c>
      <c r="H5" s="58">
        <v>8407</v>
      </c>
      <c r="I5" s="141">
        <v>8739.7199999999993</v>
      </c>
      <c r="J5" s="60">
        <f t="shared" ref="J5:J12" si="0">+I5/H5</f>
        <v>1.0395765433567266</v>
      </c>
    </row>
    <row r="6" spans="1:10" ht="15" customHeight="1" x14ac:dyDescent="0.25">
      <c r="A6" s="164"/>
      <c r="B6" s="169" t="s">
        <v>10</v>
      </c>
      <c r="C6" s="177">
        <v>13394</v>
      </c>
      <c r="D6" s="173">
        <v>571.38400000000013</v>
      </c>
      <c r="E6" s="80">
        <f t="shared" ref="E6:E22" si="1">+D6/$D$4</f>
        <v>0.1110684544121595</v>
      </c>
      <c r="F6" s="58" t="s">
        <v>53</v>
      </c>
      <c r="G6" s="59">
        <v>45861</v>
      </c>
      <c r="H6" s="58">
        <v>5223</v>
      </c>
      <c r="I6" s="141">
        <v>7568.7520000000004</v>
      </c>
      <c r="J6" s="60">
        <f t="shared" si="0"/>
        <v>1.4491196630289107</v>
      </c>
    </row>
    <row r="7" spans="1:10" ht="15" customHeight="1" x14ac:dyDescent="0.25">
      <c r="A7" s="164"/>
      <c r="B7" s="169" t="s">
        <v>35</v>
      </c>
      <c r="C7" s="177">
        <v>10955</v>
      </c>
      <c r="D7" s="173">
        <v>466.95999999999992</v>
      </c>
      <c r="E7" s="80">
        <f t="shared" si="1"/>
        <v>9.0769999636500107E-2</v>
      </c>
      <c r="F7" s="58" t="s">
        <v>54</v>
      </c>
      <c r="G7" s="59">
        <v>45862</v>
      </c>
      <c r="H7" s="58">
        <v>7484</v>
      </c>
      <c r="I7" s="141">
        <v>7417.813000000001</v>
      </c>
      <c r="J7" s="60">
        <f t="shared" si="0"/>
        <v>0.99115619989310544</v>
      </c>
    </row>
    <row r="8" spans="1:10" ht="15" customHeight="1" x14ac:dyDescent="0.25">
      <c r="A8" s="164"/>
      <c r="B8" s="169" t="s">
        <v>4</v>
      </c>
      <c r="C8" s="177">
        <v>750</v>
      </c>
      <c r="D8" s="173">
        <v>32</v>
      </c>
      <c r="E8" s="80">
        <f t="shared" si="1"/>
        <v>6.220318631934221E-3</v>
      </c>
      <c r="F8" s="58" t="s">
        <v>55</v>
      </c>
      <c r="G8" s="59">
        <v>45863</v>
      </c>
      <c r="H8" s="58">
        <v>8348</v>
      </c>
      <c r="I8" s="141">
        <v>8995.4699999999993</v>
      </c>
      <c r="J8" s="60">
        <f t="shared" si="0"/>
        <v>1.0775598945855294</v>
      </c>
    </row>
    <row r="9" spans="1:10" ht="15" customHeight="1" x14ac:dyDescent="0.25">
      <c r="A9" s="164"/>
      <c r="B9" s="169" t="s">
        <v>37</v>
      </c>
      <c r="C9" s="177">
        <v>25330</v>
      </c>
      <c r="D9" s="173">
        <v>1081.2260000000001</v>
      </c>
      <c r="E9" s="191">
        <f t="shared" si="1"/>
        <v>0.21017406978536596</v>
      </c>
      <c r="F9" s="58" t="s">
        <v>56</v>
      </c>
      <c r="G9" s="59">
        <v>45864</v>
      </c>
      <c r="H9" s="58">
        <v>8992</v>
      </c>
      <c r="I9" s="141">
        <v>6160.08</v>
      </c>
      <c r="J9" s="60">
        <f t="shared" si="0"/>
        <v>0.68506227758007121</v>
      </c>
    </row>
    <row r="10" spans="1:10" ht="15" customHeight="1" x14ac:dyDescent="0.25">
      <c r="A10" s="164"/>
      <c r="B10" s="169" t="s">
        <v>38</v>
      </c>
      <c r="C10" s="177">
        <v>17274</v>
      </c>
      <c r="D10" s="173">
        <v>736.69800000000009</v>
      </c>
      <c r="E10" s="191">
        <f t="shared" si="1"/>
        <v>0.14320300923464616</v>
      </c>
      <c r="F10" s="58" t="s">
        <v>57</v>
      </c>
      <c r="G10" s="59">
        <v>45865</v>
      </c>
      <c r="H10" s="58">
        <v>5865</v>
      </c>
      <c r="I10" s="141">
        <v>4522.8500000000004</v>
      </c>
      <c r="J10" s="60">
        <f t="shared" si="0"/>
        <v>0.77115942028985518</v>
      </c>
    </row>
    <row r="11" spans="1:10" ht="15" customHeight="1" x14ac:dyDescent="0.25">
      <c r="A11" s="164"/>
      <c r="B11" s="169" t="s">
        <v>42</v>
      </c>
      <c r="C11" s="177">
        <v>7310</v>
      </c>
      <c r="D11" s="173">
        <v>311.79300000000001</v>
      </c>
      <c r="E11" s="80">
        <f t="shared" si="1"/>
        <v>6.0607868975208333E-2</v>
      </c>
      <c r="F11" s="162" t="s">
        <v>51</v>
      </c>
      <c r="G11" s="59">
        <v>45866</v>
      </c>
      <c r="H11" s="58">
        <v>4172</v>
      </c>
      <c r="I11" s="141">
        <v>3698.83</v>
      </c>
      <c r="J11" s="60">
        <f t="shared" si="0"/>
        <v>0.88658437200383511</v>
      </c>
    </row>
    <row r="12" spans="1:10" ht="15" customHeight="1" x14ac:dyDescent="0.25">
      <c r="A12" s="164"/>
      <c r="B12" s="169" t="s">
        <v>44</v>
      </c>
      <c r="C12" s="177">
        <v>65</v>
      </c>
      <c r="D12" s="173">
        <v>98.25</v>
      </c>
      <c r="E12" s="80">
        <f t="shared" si="1"/>
        <v>1.9098322049610539E-2</v>
      </c>
      <c r="F12" s="162" t="s">
        <v>52</v>
      </c>
      <c r="G12" s="59">
        <v>45867</v>
      </c>
      <c r="H12" s="58">
        <v>6617</v>
      </c>
      <c r="I12" s="141">
        <v>5144.43</v>
      </c>
      <c r="J12" s="60">
        <f t="shared" si="0"/>
        <v>0.77745655130723901</v>
      </c>
    </row>
    <row r="13" spans="1:10" ht="15" customHeight="1" x14ac:dyDescent="0.25">
      <c r="A13" s="164"/>
      <c r="B13" s="169" t="s">
        <v>39</v>
      </c>
      <c r="C13" s="177">
        <v>331</v>
      </c>
      <c r="D13" s="173">
        <v>499.19</v>
      </c>
      <c r="E13" s="80">
        <f t="shared" si="1"/>
        <v>9.7035026808601363E-2</v>
      </c>
      <c r="F13" s="162" t="s">
        <v>53</v>
      </c>
      <c r="G13" s="59">
        <v>45868</v>
      </c>
      <c r="H13" s="58">
        <v>9669</v>
      </c>
      <c r="I13" s="141"/>
      <c r="J13" s="60"/>
    </row>
    <row r="14" spans="1:10" ht="15" customHeight="1" x14ac:dyDescent="0.25">
      <c r="A14" s="164"/>
      <c r="B14" s="169" t="s">
        <v>43</v>
      </c>
      <c r="C14" s="177">
        <v>408</v>
      </c>
      <c r="D14" s="173">
        <v>615.79000000000008</v>
      </c>
      <c r="E14" s="80">
        <f t="shared" si="1"/>
        <v>0.1197003128237117</v>
      </c>
      <c r="F14" s="162" t="s">
        <v>54</v>
      </c>
      <c r="G14" s="59">
        <v>45869</v>
      </c>
      <c r="H14" s="58">
        <v>7423</v>
      </c>
      <c r="I14" s="141"/>
      <c r="J14" s="60"/>
    </row>
    <row r="15" spans="1:10" ht="15" customHeight="1" x14ac:dyDescent="0.25">
      <c r="A15" s="164"/>
      <c r="B15" s="169" t="s">
        <v>49</v>
      </c>
      <c r="C15" s="177">
        <v>64</v>
      </c>
      <c r="D15" s="173">
        <v>96.62</v>
      </c>
      <c r="E15" s="80">
        <f t="shared" si="1"/>
        <v>1.8781474569296391E-2</v>
      </c>
      <c r="H15" s="139">
        <f>+SUM(H4:H12)</f>
        <v>60748</v>
      </c>
      <c r="I15" s="142">
        <f>+SUM(I4:I12)</f>
        <v>57671.191000000006</v>
      </c>
      <c r="J15" s="140">
        <f>+I15/H15</f>
        <v>0.94935127082373094</v>
      </c>
    </row>
    <row r="16" spans="1:10" ht="15" customHeight="1" x14ac:dyDescent="0.25">
      <c r="A16" s="164"/>
      <c r="B16" s="169" t="s">
        <v>84</v>
      </c>
      <c r="C16" s="177">
        <v>44</v>
      </c>
      <c r="D16" s="173">
        <v>66.55</v>
      </c>
      <c r="E16" s="80">
        <f t="shared" si="1"/>
        <v>1.29363189048507E-2</v>
      </c>
    </row>
    <row r="17" spans="1:13" ht="15" customHeight="1" x14ac:dyDescent="0.25">
      <c r="A17" s="164"/>
      <c r="B17" s="169" t="s">
        <v>45</v>
      </c>
      <c r="C17" s="177">
        <v>24</v>
      </c>
      <c r="D17" s="173">
        <v>36.299999999999997</v>
      </c>
      <c r="E17" s="80">
        <f t="shared" si="1"/>
        <v>7.0561739481003818E-3</v>
      </c>
      <c r="G17" s="112"/>
      <c r="H17" s="113">
        <v>2024</v>
      </c>
      <c r="I17" s="113">
        <v>2025</v>
      </c>
      <c r="J17" s="71"/>
    </row>
    <row r="18" spans="1:13" ht="15" customHeight="1" x14ac:dyDescent="0.25">
      <c r="A18" s="164"/>
      <c r="B18" s="169" t="s">
        <v>41</v>
      </c>
      <c r="C18" s="177">
        <v>69</v>
      </c>
      <c r="D18" s="173">
        <v>104.28</v>
      </c>
      <c r="E18" s="80">
        <f t="shared" si="1"/>
        <v>2.0270463341815644E-2</v>
      </c>
      <c r="G18" s="112" t="s">
        <v>108</v>
      </c>
      <c r="H18" s="190">
        <v>204007.80300000001</v>
      </c>
      <c r="I18" s="190">
        <v>190629.128</v>
      </c>
      <c r="J18" s="57">
        <f t="shared" ref="J18:J23" si="2">+I18/H18</f>
        <v>0.93442076820953746</v>
      </c>
    </row>
    <row r="19" spans="1:13" ht="15" customHeight="1" x14ac:dyDescent="0.25">
      <c r="A19" s="164"/>
      <c r="B19" s="169" t="s">
        <v>88</v>
      </c>
      <c r="C19" s="177">
        <v>20</v>
      </c>
      <c r="D19" s="173">
        <v>30.17</v>
      </c>
      <c r="E19" s="80">
        <f t="shared" si="1"/>
        <v>5.8645941601704835E-3</v>
      </c>
      <c r="G19" s="112" t="s">
        <v>109</v>
      </c>
      <c r="H19" s="190">
        <v>186305.94399999996</v>
      </c>
      <c r="I19" s="190">
        <v>182874.285</v>
      </c>
      <c r="J19" s="57">
        <f t="shared" si="2"/>
        <v>0.9815805179033904</v>
      </c>
    </row>
    <row r="20" spans="1:13" ht="15" customHeight="1" x14ac:dyDescent="0.25">
      <c r="A20" s="164"/>
      <c r="B20" s="169" t="s">
        <v>40</v>
      </c>
      <c r="C20" s="177"/>
      <c r="D20" s="173">
        <v>241.54000000000002</v>
      </c>
      <c r="E20" s="80">
        <f t="shared" si="1"/>
        <v>4.6951742573668499E-2</v>
      </c>
      <c r="G20" s="112" t="s">
        <v>110</v>
      </c>
      <c r="H20" s="190">
        <v>199570.19199999989</v>
      </c>
      <c r="I20" s="190">
        <v>197224.22099999999</v>
      </c>
      <c r="J20" s="57">
        <f t="shared" si="2"/>
        <v>0.98824488278289624</v>
      </c>
    </row>
    <row r="21" spans="1:13" ht="15" customHeight="1" thickBot="1" x14ac:dyDescent="0.3">
      <c r="A21" s="164"/>
      <c r="B21" s="169" t="s">
        <v>9</v>
      </c>
      <c r="C21" s="177"/>
      <c r="D21" s="173">
        <v>123.31</v>
      </c>
      <c r="E21" s="80">
        <f t="shared" si="1"/>
        <v>2.3969609078244025E-2</v>
      </c>
      <c r="G21" s="112" t="s">
        <v>111</v>
      </c>
      <c r="H21" s="190">
        <v>205343.72800000012</v>
      </c>
      <c r="I21" s="190">
        <v>198970.75799999986</v>
      </c>
      <c r="J21" s="57">
        <f t="shared" si="2"/>
        <v>0.96896437956945902</v>
      </c>
    </row>
    <row r="22" spans="1:13" ht="15" customHeight="1" thickBot="1" x14ac:dyDescent="0.3">
      <c r="B22" s="178" t="s">
        <v>0</v>
      </c>
      <c r="C22" s="170"/>
      <c r="D22" s="171">
        <f>SUM(D5:D21)</f>
        <v>5144.4310000000005</v>
      </c>
      <c r="E22" s="80">
        <f t="shared" si="1"/>
        <v>1</v>
      </c>
      <c r="G22" s="112" t="s">
        <v>102</v>
      </c>
      <c r="H22" s="190">
        <v>209473.77399999995</v>
      </c>
      <c r="I22" s="190">
        <v>212393.17300000001</v>
      </c>
      <c r="J22" s="57">
        <f t="shared" si="2"/>
        <v>1.0139368234230604</v>
      </c>
    </row>
    <row r="23" spans="1:13" ht="15" customHeight="1" thickBot="1" x14ac:dyDescent="0.3">
      <c r="B23" s="166" t="s">
        <v>1</v>
      </c>
      <c r="C23" s="167"/>
      <c r="D23" s="227">
        <v>207988.7019999999</v>
      </c>
      <c r="E23" s="80">
        <f>+D23/$E$2</f>
        <v>0.94819605930194351</v>
      </c>
      <c r="F23" s="163">
        <f>+D23-E2</f>
        <v>-11363.298000000097</v>
      </c>
      <c r="G23" s="112" t="s">
        <v>125</v>
      </c>
      <c r="H23" s="190">
        <v>196506.86</v>
      </c>
      <c r="I23" s="190">
        <v>204590</v>
      </c>
      <c r="J23" s="57">
        <f t="shared" si="2"/>
        <v>1.0411341364876525</v>
      </c>
    </row>
    <row r="24" spans="1:13" x14ac:dyDescent="0.25">
      <c r="D24" s="193">
        <f>+(E2/31)*29</f>
        <v>205200.25806451612</v>
      </c>
      <c r="E24" s="98">
        <f>+D24/E2</f>
        <v>0.93548387096774188</v>
      </c>
      <c r="G24" s="112" t="s">
        <v>132</v>
      </c>
      <c r="H24" s="190">
        <v>219516.23899999997</v>
      </c>
      <c r="I24" s="190"/>
      <c r="J24" s="57">
        <f>+I26/H26</f>
        <v>0.98790656375925234</v>
      </c>
    </row>
    <row r="25" spans="1:13" x14ac:dyDescent="0.25">
      <c r="D25" s="138">
        <f>+D23-D24</f>
        <v>2788.4439354837814</v>
      </c>
      <c r="E25" s="99">
        <f>+E23-E24</f>
        <v>1.2712188334201624E-2</v>
      </c>
      <c r="G25" s="112" t="s">
        <v>135</v>
      </c>
      <c r="H25" s="190">
        <v>232937.965</v>
      </c>
      <c r="I25" s="190"/>
    </row>
    <row r="26" spans="1:13" x14ac:dyDescent="0.25">
      <c r="H26" s="68">
        <f>+SUM(H18:H23)</f>
        <v>1201208.301</v>
      </c>
      <c r="I26" s="68">
        <f>+SUM(I18:I23)</f>
        <v>1186681.5649999997</v>
      </c>
      <c r="J26" s="108">
        <f>+I26-H26</f>
        <v>-14526.736000000266</v>
      </c>
    </row>
    <row r="27" spans="1:13" x14ac:dyDescent="0.25">
      <c r="B27" s="66" t="s">
        <v>60</v>
      </c>
      <c r="D27" s="109" t="s">
        <v>105</v>
      </c>
      <c r="E27" s="109" t="s">
        <v>80</v>
      </c>
      <c r="G27" s="163"/>
      <c r="I27" s="162" t="s">
        <v>92</v>
      </c>
      <c r="J27" s="71"/>
    </row>
    <row r="28" spans="1:13" x14ac:dyDescent="0.25">
      <c r="B28" s="162" t="s">
        <v>61</v>
      </c>
      <c r="C28" s="162">
        <v>513</v>
      </c>
      <c r="D28" s="108">
        <v>2142</v>
      </c>
      <c r="E28" s="57">
        <f>+C28/D28</f>
        <v>0.23949579831932774</v>
      </c>
      <c r="G28" s="86" t="s">
        <v>86</v>
      </c>
      <c r="H28" s="87">
        <v>8849</v>
      </c>
      <c r="I28" s="88">
        <v>221.22500000000002</v>
      </c>
      <c r="J28" s="228">
        <v>45862</v>
      </c>
      <c r="K28" s="229">
        <v>3174</v>
      </c>
      <c r="L28" s="228">
        <v>45866</v>
      </c>
      <c r="M28" s="229">
        <v>4386</v>
      </c>
    </row>
    <row r="29" spans="1:13" x14ac:dyDescent="0.25">
      <c r="B29" s="162" t="s">
        <v>62</v>
      </c>
      <c r="C29" s="162">
        <v>1247</v>
      </c>
      <c r="D29" s="108">
        <v>1890</v>
      </c>
      <c r="E29" s="57">
        <f>+C29/D29</f>
        <v>0.65978835978835981</v>
      </c>
      <c r="G29" s="86" t="s">
        <v>104</v>
      </c>
      <c r="H29" s="87">
        <v>14</v>
      </c>
      <c r="I29" s="88">
        <v>0.35000000000000003</v>
      </c>
      <c r="J29" s="71"/>
    </row>
    <row r="30" spans="1:13" x14ac:dyDescent="0.25">
      <c r="B30" s="162" t="s">
        <v>63</v>
      </c>
      <c r="C30" s="67">
        <v>2212</v>
      </c>
      <c r="D30" s="108">
        <v>3006</v>
      </c>
      <c r="E30" s="57">
        <f>+C30/D30</f>
        <v>0.73586161011310713</v>
      </c>
      <c r="G30" s="89" t="s">
        <v>87</v>
      </c>
      <c r="H30" s="87">
        <v>155</v>
      </c>
      <c r="I30" s="88">
        <v>232.5</v>
      </c>
      <c r="J30" s="71"/>
    </row>
    <row r="31" spans="1:13" ht="45" x14ac:dyDescent="0.25">
      <c r="C31" s="162">
        <f>+SUM(C28:C30)</f>
        <v>3972</v>
      </c>
      <c r="D31" s="110">
        <f>+SUM(D28:D30)</f>
        <v>7038</v>
      </c>
      <c r="E31" s="57">
        <f>+C31/D31</f>
        <v>0.56436487638533672</v>
      </c>
      <c r="G31" s="89" t="s">
        <v>91</v>
      </c>
      <c r="H31" s="87">
        <v>106</v>
      </c>
      <c r="I31" s="88">
        <v>159</v>
      </c>
      <c r="J31" s="230" t="s">
        <v>156</v>
      </c>
    </row>
    <row r="32" spans="1:13" ht="36" customHeight="1" x14ac:dyDescent="0.25">
      <c r="G32" s="231" t="s">
        <v>123</v>
      </c>
      <c r="H32" s="138">
        <v>231</v>
      </c>
      <c r="I32" s="232">
        <v>346.5</v>
      </c>
      <c r="J32" s="230"/>
    </row>
    <row r="33" spans="1:10" ht="15" customHeight="1" x14ac:dyDescent="0.25">
      <c r="B33" s="162" t="s">
        <v>66</v>
      </c>
      <c r="D33" s="162"/>
      <c r="G33" s="89" t="s">
        <v>96</v>
      </c>
      <c r="H33" s="87">
        <v>22</v>
      </c>
      <c r="I33" s="88">
        <v>33</v>
      </c>
      <c r="J33" s="218"/>
    </row>
    <row r="34" spans="1:10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244</v>
      </c>
      <c r="I34" s="88">
        <f>+H34*1.5</f>
        <v>366</v>
      </c>
      <c r="J34" s="224" t="s">
        <v>152</v>
      </c>
    </row>
    <row r="35" spans="1:10" x14ac:dyDescent="0.25">
      <c r="B35" s="73">
        <v>8</v>
      </c>
      <c r="C35" s="74">
        <v>0</v>
      </c>
      <c r="D35" s="74">
        <v>5</v>
      </c>
      <c r="E35" s="75">
        <f>+SUM(B35:D35)</f>
        <v>13</v>
      </c>
      <c r="J35" s="218"/>
    </row>
    <row r="36" spans="1:10" x14ac:dyDescent="0.25">
      <c r="E36" s="198" t="s">
        <v>76</v>
      </c>
      <c r="F36" s="198" t="s">
        <v>137</v>
      </c>
      <c r="H36" s="144" t="s">
        <v>124</v>
      </c>
      <c r="I36" s="220" t="s">
        <v>148</v>
      </c>
      <c r="J36" s="218" t="s">
        <v>146</v>
      </c>
    </row>
    <row r="37" spans="1:10" x14ac:dyDescent="0.25">
      <c r="D37" s="162"/>
      <c r="G37" s="71" t="s">
        <v>90</v>
      </c>
      <c r="H37" s="144" t="s">
        <v>120</v>
      </c>
      <c r="I37" s="145">
        <v>0</v>
      </c>
      <c r="J37" s="218"/>
    </row>
    <row r="38" spans="1:10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220" t="s">
        <v>149</v>
      </c>
      <c r="J38" s="218" t="s">
        <v>146</v>
      </c>
    </row>
    <row r="39" spans="1:10" x14ac:dyDescent="0.25">
      <c r="A39" s="207" t="s">
        <v>71</v>
      </c>
      <c r="B39" s="199">
        <v>6.34</v>
      </c>
      <c r="C39" s="199">
        <v>1490</v>
      </c>
      <c r="D39" s="200">
        <v>3600</v>
      </c>
      <c r="E39" s="201">
        <f t="shared" si="3"/>
        <v>0.41388888888888886</v>
      </c>
      <c r="F39" s="201">
        <f t="shared" si="4"/>
        <v>0.26416666666666666</v>
      </c>
      <c r="G39" s="202">
        <v>11</v>
      </c>
      <c r="H39" s="71"/>
    </row>
    <row r="40" spans="1:10" x14ac:dyDescent="0.25">
      <c r="A40" s="207" t="s">
        <v>72</v>
      </c>
      <c r="B40" s="199">
        <v>3.91</v>
      </c>
      <c r="C40" s="199">
        <v>1338</v>
      </c>
      <c r="D40" s="200">
        <v>3900</v>
      </c>
      <c r="E40" s="201">
        <f t="shared" si="3"/>
        <v>0.34307692307692306</v>
      </c>
      <c r="F40" s="201">
        <f t="shared" si="4"/>
        <v>0.16291666666666668</v>
      </c>
      <c r="G40" s="202">
        <v>12</v>
      </c>
      <c r="H40" s="71"/>
    </row>
    <row r="41" spans="1:10" x14ac:dyDescent="0.25">
      <c r="A41" s="207" t="s">
        <v>73</v>
      </c>
      <c r="B41" s="199">
        <v>6.07</v>
      </c>
      <c r="C41" s="199">
        <v>2291</v>
      </c>
      <c r="D41" s="200">
        <v>3900</v>
      </c>
      <c r="E41" s="201">
        <f t="shared" si="3"/>
        <v>0.58743589743589741</v>
      </c>
      <c r="F41" s="201">
        <f t="shared" si="4"/>
        <v>0.25291666666666668</v>
      </c>
      <c r="G41" s="202">
        <v>11</v>
      </c>
      <c r="H41" s="71"/>
    </row>
    <row r="42" spans="1:10" x14ac:dyDescent="0.25">
      <c r="A42" s="207" t="s">
        <v>74</v>
      </c>
      <c r="B42" s="199">
        <v>8.8000000000000007</v>
      </c>
      <c r="C42" s="199">
        <v>2809</v>
      </c>
      <c r="D42" s="200">
        <v>3900</v>
      </c>
      <c r="E42" s="201">
        <f t="shared" si="3"/>
        <v>0.7202564102564103</v>
      </c>
      <c r="F42" s="201">
        <f t="shared" si="4"/>
        <v>0.3666666666666667</v>
      </c>
      <c r="G42" s="202">
        <v>11</v>
      </c>
      <c r="H42" s="71"/>
    </row>
    <row r="43" spans="1:10" x14ac:dyDescent="0.25">
      <c r="A43" s="207" t="s">
        <v>75</v>
      </c>
      <c r="B43" s="203">
        <v>0</v>
      </c>
      <c r="C43" s="204">
        <v>0</v>
      </c>
      <c r="D43" s="205">
        <v>4300</v>
      </c>
      <c r="E43" s="206">
        <f t="shared" si="3"/>
        <v>0</v>
      </c>
      <c r="F43" s="201">
        <f t="shared" si="4"/>
        <v>0</v>
      </c>
      <c r="G43" s="202">
        <v>16</v>
      </c>
      <c r="H43" s="71"/>
    </row>
    <row r="44" spans="1:10" x14ac:dyDescent="0.25">
      <c r="C44" s="71" t="s">
        <v>83</v>
      </c>
      <c r="D44" s="72" t="s">
        <v>79</v>
      </c>
      <c r="H44" s="71"/>
    </row>
    <row r="45" spans="1:10" x14ac:dyDescent="0.25">
      <c r="B45" s="162" t="s">
        <v>78</v>
      </c>
      <c r="H45" s="71"/>
    </row>
    <row r="46" spans="1:10" x14ac:dyDescent="0.25">
      <c r="C46" s="71">
        <v>1</v>
      </c>
      <c r="D46" s="225" t="s">
        <v>153</v>
      </c>
      <c r="H46" s="71"/>
    </row>
    <row r="47" spans="1:10" x14ac:dyDescent="0.25">
      <c r="C47" s="71">
        <v>2</v>
      </c>
      <c r="D47" s="225" t="s">
        <v>153</v>
      </c>
      <c r="H47" s="71"/>
    </row>
    <row r="48" spans="1:10" x14ac:dyDescent="0.25">
      <c r="C48" s="71">
        <v>3</v>
      </c>
      <c r="D48" s="225" t="s">
        <v>154</v>
      </c>
      <c r="H48" s="71"/>
    </row>
    <row r="49" spans="3:8" x14ac:dyDescent="0.25">
      <c r="C49" s="71">
        <v>4</v>
      </c>
      <c r="D49" s="225" t="s">
        <v>154</v>
      </c>
      <c r="H49" s="71"/>
    </row>
    <row r="50" spans="3:8" x14ac:dyDescent="0.25">
      <c r="C50" s="71">
        <v>5</v>
      </c>
      <c r="D50" s="108">
        <v>8</v>
      </c>
    </row>
    <row r="51" spans="3:8" x14ac:dyDescent="0.25">
      <c r="C51" s="71">
        <v>6</v>
      </c>
      <c r="D51" s="108">
        <v>1</v>
      </c>
    </row>
    <row r="52" spans="3:8" x14ac:dyDescent="0.25">
      <c r="C52" s="71">
        <v>7</v>
      </c>
      <c r="D52" s="225" t="s">
        <v>153</v>
      </c>
    </row>
    <row r="53" spans="3:8" x14ac:dyDescent="0.25">
      <c r="C53" s="71">
        <v>8</v>
      </c>
      <c r="D53" s="225" t="s">
        <v>153</v>
      </c>
    </row>
  </sheetData>
  <protectedRanges>
    <protectedRange password="D554" sqref="I36:I38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55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opLeftCell="A11" workbookViewId="0">
      <selection activeCell="J26" sqref="J26"/>
    </sheetView>
  </sheetViews>
  <sheetFormatPr baseColWidth="10" defaultColWidth="11.42578125" defaultRowHeight="15.75" x14ac:dyDescent="0.25"/>
  <cols>
    <col min="1" max="1" width="2.42578125" style="162" customWidth="1"/>
    <col min="2" max="2" width="38.42578125" style="162" customWidth="1"/>
    <col min="3" max="3" width="15.28515625" style="162" customWidth="1"/>
    <col min="4" max="4" width="15.28515625" style="163" customWidth="1"/>
    <col min="5" max="5" width="17.42578125" style="162" customWidth="1"/>
    <col min="6" max="6" width="11.42578125" style="162"/>
    <col min="7" max="7" width="13" style="162" bestFit="1" customWidth="1"/>
    <col min="8" max="8" width="11.85546875" style="162" bestFit="1" customWidth="1"/>
    <col min="9" max="9" width="11.42578125" style="162"/>
    <col min="10" max="10" width="9.140625" style="162" customWidth="1"/>
    <col min="11" max="11" width="5" style="162" bestFit="1" customWidth="1"/>
    <col min="12" max="12" width="6.140625" style="162" bestFit="1" customWidth="1"/>
    <col min="13" max="13" width="5" style="162" bestFit="1" customWidth="1"/>
    <col min="14" max="16384" width="11.42578125" style="162"/>
  </cols>
  <sheetData>
    <row r="1" spans="1:10" ht="15" customHeight="1" x14ac:dyDescent="0.25">
      <c r="A1" s="161"/>
      <c r="B1" s="518">
        <v>45868</v>
      </c>
      <c r="C1" s="518"/>
      <c r="D1" s="518"/>
      <c r="E1" s="61" t="s">
        <v>133</v>
      </c>
      <c r="F1" s="61" t="s">
        <v>155</v>
      </c>
    </row>
    <row r="2" spans="1:10" x14ac:dyDescent="0.25">
      <c r="E2" s="62">
        <v>219352</v>
      </c>
      <c r="F2" s="62">
        <v>229593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F3" s="108">
        <f>+F2/31</f>
        <v>7406.2258064516127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26"/>
      <c r="C4" s="226"/>
      <c r="D4" s="165">
        <f>D22</f>
        <v>6779.482</v>
      </c>
      <c r="F4" s="58" t="s">
        <v>51</v>
      </c>
      <c r="G4" s="59">
        <v>45859</v>
      </c>
      <c r="H4" s="58">
        <v>5640</v>
      </c>
      <c r="I4" s="141">
        <v>5423.246000000001</v>
      </c>
      <c r="J4" s="60">
        <f>+I4/H4</f>
        <v>0.96156843971631223</v>
      </c>
    </row>
    <row r="5" spans="1:10" ht="15" customHeight="1" x14ac:dyDescent="0.25">
      <c r="A5" s="164"/>
      <c r="B5" s="168" t="s">
        <v>6</v>
      </c>
      <c r="C5" s="176">
        <v>1468</v>
      </c>
      <c r="D5" s="172">
        <v>62.68</v>
      </c>
      <c r="E5" s="80">
        <f>+D5/$D$4</f>
        <v>9.245544128592716E-3</v>
      </c>
      <c r="F5" s="58" t="s">
        <v>52</v>
      </c>
      <c r="G5" s="59">
        <v>45860</v>
      </c>
      <c r="H5" s="58">
        <v>8407</v>
      </c>
      <c r="I5" s="141">
        <v>8739.7199999999993</v>
      </c>
      <c r="J5" s="60">
        <f t="shared" ref="J5:J13" si="0">+I5/H5</f>
        <v>1.0395765433567266</v>
      </c>
    </row>
    <row r="6" spans="1:10" ht="15" customHeight="1" x14ac:dyDescent="0.25">
      <c r="A6" s="164"/>
      <c r="B6" s="169" t="s">
        <v>10</v>
      </c>
      <c r="C6" s="177">
        <v>12274</v>
      </c>
      <c r="D6" s="173">
        <v>523.83000000000004</v>
      </c>
      <c r="E6" s="80">
        <f t="shared" ref="E6:E22" si="1">+D6/$D$4</f>
        <v>7.7266965234217014E-2</v>
      </c>
      <c r="F6" s="58" t="s">
        <v>53</v>
      </c>
      <c r="G6" s="59">
        <v>45861</v>
      </c>
      <c r="H6" s="58">
        <v>5223</v>
      </c>
      <c r="I6" s="141">
        <v>7568.7520000000004</v>
      </c>
      <c r="J6" s="60">
        <f t="shared" si="0"/>
        <v>1.4491196630289107</v>
      </c>
    </row>
    <row r="7" spans="1:10" ht="15" customHeight="1" x14ac:dyDescent="0.25">
      <c r="A7" s="164"/>
      <c r="B7" s="169" t="s">
        <v>35</v>
      </c>
      <c r="C7" s="177">
        <v>14510</v>
      </c>
      <c r="D7" s="173">
        <v>619.05799999999999</v>
      </c>
      <c r="E7" s="80">
        <f t="shared" si="1"/>
        <v>9.1313466132073223E-2</v>
      </c>
      <c r="F7" s="58" t="s">
        <v>54</v>
      </c>
      <c r="G7" s="59">
        <v>45862</v>
      </c>
      <c r="H7" s="58">
        <v>7484</v>
      </c>
      <c r="I7" s="141">
        <v>7417.813000000001</v>
      </c>
      <c r="J7" s="60">
        <f t="shared" si="0"/>
        <v>0.99115619989310544</v>
      </c>
    </row>
    <row r="8" spans="1:10" ht="15" customHeight="1" x14ac:dyDescent="0.25">
      <c r="A8" s="164"/>
      <c r="B8" s="169" t="s">
        <v>4</v>
      </c>
      <c r="C8" s="177">
        <v>775</v>
      </c>
      <c r="D8" s="173">
        <v>33.06</v>
      </c>
      <c r="E8" s="80">
        <f t="shared" si="1"/>
        <v>4.8764787634217486E-3</v>
      </c>
      <c r="F8" s="58" t="s">
        <v>55</v>
      </c>
      <c r="G8" s="59">
        <v>45863</v>
      </c>
      <c r="H8" s="58">
        <v>8348</v>
      </c>
      <c r="I8" s="141">
        <v>8995.4699999999993</v>
      </c>
      <c r="J8" s="60">
        <f t="shared" si="0"/>
        <v>1.0775598945855294</v>
      </c>
    </row>
    <row r="9" spans="1:10" ht="15" customHeight="1" x14ac:dyDescent="0.25">
      <c r="A9" s="164"/>
      <c r="B9" s="169" t="s">
        <v>37</v>
      </c>
      <c r="C9" s="177">
        <v>28721</v>
      </c>
      <c r="D9" s="173">
        <v>1226.152</v>
      </c>
      <c r="E9" s="191">
        <f t="shared" si="1"/>
        <v>0.18086219566627657</v>
      </c>
      <c r="F9" s="58" t="s">
        <v>56</v>
      </c>
      <c r="G9" s="59">
        <v>45864</v>
      </c>
      <c r="H9" s="58">
        <v>8992</v>
      </c>
      <c r="I9" s="141">
        <v>6160.08</v>
      </c>
      <c r="J9" s="60">
        <f t="shared" si="0"/>
        <v>0.68506227758007121</v>
      </c>
    </row>
    <row r="10" spans="1:10" ht="15" customHeight="1" x14ac:dyDescent="0.25">
      <c r="A10" s="164"/>
      <c r="B10" s="169" t="s">
        <v>38</v>
      </c>
      <c r="C10" s="177">
        <v>40572</v>
      </c>
      <c r="D10" s="173">
        <v>1730.4680000000001</v>
      </c>
      <c r="E10" s="191">
        <f t="shared" si="1"/>
        <v>0.25525076989657913</v>
      </c>
      <c r="F10" s="58" t="s">
        <v>57</v>
      </c>
      <c r="G10" s="59">
        <v>45865</v>
      </c>
      <c r="H10" s="58">
        <v>5865</v>
      </c>
      <c r="I10" s="141">
        <v>4522.8500000000004</v>
      </c>
      <c r="J10" s="60">
        <f t="shared" si="0"/>
        <v>0.77115942028985518</v>
      </c>
    </row>
    <row r="11" spans="1:10" ht="15" customHeight="1" x14ac:dyDescent="0.25">
      <c r="A11" s="164"/>
      <c r="B11" s="169" t="s">
        <v>42</v>
      </c>
      <c r="C11" s="177">
        <v>4780</v>
      </c>
      <c r="D11" s="173">
        <v>203.904</v>
      </c>
      <c r="E11" s="80">
        <f t="shared" si="1"/>
        <v>3.0076634173525352E-2</v>
      </c>
      <c r="F11" s="162" t="s">
        <v>51</v>
      </c>
      <c r="G11" s="59">
        <v>45866</v>
      </c>
      <c r="H11" s="58">
        <v>4172</v>
      </c>
      <c r="I11" s="141">
        <v>3698.83</v>
      </c>
      <c r="J11" s="60">
        <f t="shared" si="0"/>
        <v>0.88658437200383511</v>
      </c>
    </row>
    <row r="12" spans="1:10" ht="15" customHeight="1" x14ac:dyDescent="0.25">
      <c r="A12" s="164"/>
      <c r="B12" s="169" t="s">
        <v>44</v>
      </c>
      <c r="C12" s="177">
        <v>44</v>
      </c>
      <c r="D12" s="173">
        <v>66.290000000000006</v>
      </c>
      <c r="E12" s="80">
        <f t="shared" si="1"/>
        <v>9.7780331889663549E-3</v>
      </c>
      <c r="F12" s="162" t="s">
        <v>52</v>
      </c>
      <c r="G12" s="59">
        <v>45867</v>
      </c>
      <c r="H12" s="58">
        <v>6617</v>
      </c>
      <c r="I12" s="141">
        <v>5144.43</v>
      </c>
      <c r="J12" s="60">
        <f t="shared" si="0"/>
        <v>0.77745655130723901</v>
      </c>
    </row>
    <row r="13" spans="1:10" ht="15" customHeight="1" x14ac:dyDescent="0.25">
      <c r="A13" s="164"/>
      <c r="B13" s="169" t="s">
        <v>39</v>
      </c>
      <c r="C13" s="177">
        <v>444</v>
      </c>
      <c r="D13" s="173">
        <v>670.16</v>
      </c>
      <c r="E13" s="80">
        <f t="shared" si="1"/>
        <v>9.8851210166204434E-2</v>
      </c>
      <c r="F13" s="162" t="s">
        <v>53</v>
      </c>
      <c r="G13" s="59">
        <v>45868</v>
      </c>
      <c r="H13" s="58">
        <v>9669</v>
      </c>
      <c r="I13" s="141">
        <v>6779.482</v>
      </c>
      <c r="J13" s="60">
        <f t="shared" si="0"/>
        <v>0.70115647947047266</v>
      </c>
    </row>
    <row r="14" spans="1:10" ht="15" customHeight="1" x14ac:dyDescent="0.25">
      <c r="A14" s="164"/>
      <c r="B14" s="169" t="s">
        <v>43</v>
      </c>
      <c r="C14" s="177">
        <v>400</v>
      </c>
      <c r="D14" s="173">
        <v>604.83000000000004</v>
      </c>
      <c r="E14" s="80">
        <f t="shared" si="1"/>
        <v>8.9214780716284817E-2</v>
      </c>
      <c r="F14" s="162" t="s">
        <v>54</v>
      </c>
      <c r="G14" s="59">
        <v>45869</v>
      </c>
      <c r="H14" s="58">
        <v>7423</v>
      </c>
      <c r="I14" s="141"/>
      <c r="J14" s="60"/>
    </row>
    <row r="15" spans="1:10" ht="15" customHeight="1" x14ac:dyDescent="0.25">
      <c r="A15" s="164"/>
      <c r="B15" s="169" t="s">
        <v>49</v>
      </c>
      <c r="C15" s="177"/>
      <c r="D15" s="173"/>
      <c r="E15" s="80">
        <f t="shared" si="1"/>
        <v>0</v>
      </c>
      <c r="H15" s="139">
        <f>+SUM(H4:H12)</f>
        <v>60748</v>
      </c>
      <c r="I15" s="142">
        <f>+SUM(I4:I12)</f>
        <v>57671.191000000006</v>
      </c>
      <c r="J15" s="140">
        <f>+I15/H15</f>
        <v>0.94935127082373094</v>
      </c>
    </row>
    <row r="16" spans="1:10" ht="15" customHeight="1" x14ac:dyDescent="0.25">
      <c r="A16" s="164"/>
      <c r="B16" s="169" t="s">
        <v>84</v>
      </c>
      <c r="C16" s="177"/>
      <c r="D16" s="173"/>
      <c r="E16" s="80">
        <f t="shared" si="1"/>
        <v>0</v>
      </c>
    </row>
    <row r="17" spans="1:11" ht="15" customHeight="1" x14ac:dyDescent="0.25">
      <c r="A17" s="164"/>
      <c r="B17" s="169" t="s">
        <v>45</v>
      </c>
      <c r="C17" s="177">
        <v>43</v>
      </c>
      <c r="D17" s="173">
        <v>64.87</v>
      </c>
      <c r="E17" s="80">
        <f t="shared" si="1"/>
        <v>9.5685776582930676E-3</v>
      </c>
      <c r="G17" s="112"/>
      <c r="H17" s="113">
        <v>2024</v>
      </c>
      <c r="I17" s="113">
        <v>2025</v>
      </c>
      <c r="J17" s="71"/>
    </row>
    <row r="18" spans="1:11" ht="15" customHeight="1" x14ac:dyDescent="0.25">
      <c r="A18" s="164"/>
      <c r="B18" s="169" t="s">
        <v>41</v>
      </c>
      <c r="C18" s="177">
        <v>102</v>
      </c>
      <c r="D18" s="173">
        <v>153.88</v>
      </c>
      <c r="E18" s="80">
        <f t="shared" si="1"/>
        <v>2.269789933803202E-2</v>
      </c>
      <c r="G18" s="112" t="s">
        <v>108</v>
      </c>
      <c r="H18" s="190">
        <v>204007.80300000001</v>
      </c>
      <c r="I18" s="190">
        <v>190629.128</v>
      </c>
      <c r="J18" s="57">
        <f t="shared" ref="J18:J23" si="2">+I18/H18</f>
        <v>0.93442076820953746</v>
      </c>
    </row>
    <row r="19" spans="1:11" ht="15" customHeight="1" x14ac:dyDescent="0.25">
      <c r="A19" s="164"/>
      <c r="B19" s="169" t="s">
        <v>46</v>
      </c>
      <c r="C19" s="177"/>
      <c r="D19" s="173">
        <v>61.06</v>
      </c>
      <c r="E19" s="80">
        <f t="shared" si="1"/>
        <v>9.0065878189513598E-3</v>
      </c>
      <c r="G19" s="112" t="s">
        <v>109</v>
      </c>
      <c r="H19" s="190">
        <v>186305.94399999996</v>
      </c>
      <c r="I19" s="190">
        <v>182874.285</v>
      </c>
      <c r="J19" s="57">
        <f t="shared" si="2"/>
        <v>0.9815805179033904</v>
      </c>
    </row>
    <row r="20" spans="1:11" ht="15" customHeight="1" x14ac:dyDescent="0.25">
      <c r="A20" s="164"/>
      <c r="B20" s="169" t="s">
        <v>40</v>
      </c>
      <c r="C20" s="177"/>
      <c r="D20" s="173">
        <v>575</v>
      </c>
      <c r="E20" s="80">
        <f t="shared" si="1"/>
        <v>8.4814739533197375E-2</v>
      </c>
      <c r="G20" s="112" t="s">
        <v>110</v>
      </c>
      <c r="H20" s="190">
        <v>199570.19199999989</v>
      </c>
      <c r="I20" s="190">
        <v>197224.22099999999</v>
      </c>
      <c r="J20" s="57">
        <f t="shared" si="2"/>
        <v>0.98824488278289624</v>
      </c>
    </row>
    <row r="21" spans="1:11" ht="15" customHeight="1" thickBot="1" x14ac:dyDescent="0.3">
      <c r="A21" s="164"/>
      <c r="B21" s="169" t="s">
        <v>9</v>
      </c>
      <c r="C21" s="177"/>
      <c r="D21" s="173">
        <v>184.24</v>
      </c>
      <c r="E21" s="80">
        <f t="shared" si="1"/>
        <v>2.7176117585384844E-2</v>
      </c>
      <c r="G21" s="112" t="s">
        <v>111</v>
      </c>
      <c r="H21" s="190">
        <v>205343.72800000012</v>
      </c>
      <c r="I21" s="190">
        <v>198970.75799999986</v>
      </c>
      <c r="J21" s="57">
        <f t="shared" si="2"/>
        <v>0.96896437956945902</v>
      </c>
    </row>
    <row r="22" spans="1:11" ht="15" customHeight="1" thickBot="1" x14ac:dyDescent="0.3">
      <c r="B22" s="178" t="s">
        <v>0</v>
      </c>
      <c r="C22" s="170"/>
      <c r="D22" s="171">
        <f>SUM(D5:D21)</f>
        <v>6779.482</v>
      </c>
      <c r="E22" s="80">
        <f t="shared" si="1"/>
        <v>1</v>
      </c>
      <c r="G22" s="112" t="s">
        <v>102</v>
      </c>
      <c r="H22" s="190">
        <v>209473.77399999995</v>
      </c>
      <c r="I22" s="190">
        <v>212393.17300000001</v>
      </c>
      <c r="J22" s="57">
        <f t="shared" si="2"/>
        <v>1.0139368234230604</v>
      </c>
    </row>
    <row r="23" spans="1:11" ht="15" customHeight="1" x14ac:dyDescent="0.25">
      <c r="B23" s="166" t="s">
        <v>1</v>
      </c>
      <c r="C23" s="167"/>
      <c r="D23" s="233">
        <v>214800.068</v>
      </c>
      <c r="E23" s="80">
        <f>+D23/$E$2</f>
        <v>0.97924827674240489</v>
      </c>
      <c r="F23" s="163">
        <f>+D23-E2</f>
        <v>-4551.9320000000007</v>
      </c>
      <c r="G23" s="112" t="s">
        <v>125</v>
      </c>
      <c r="H23" s="190">
        <v>196506.86</v>
      </c>
      <c r="I23" s="190">
        <v>204590</v>
      </c>
      <c r="J23" s="57">
        <f t="shared" si="2"/>
        <v>1.0411341364876525</v>
      </c>
    </row>
    <row r="24" spans="1:11" x14ac:dyDescent="0.25">
      <c r="D24" s="193">
        <f>+(E2/31)*30</f>
        <v>212276.12903225806</v>
      </c>
      <c r="E24" s="98">
        <f>+D24/E2</f>
        <v>0.967741935483871</v>
      </c>
      <c r="G24" s="112" t="s">
        <v>132</v>
      </c>
      <c r="H24" s="190">
        <v>219516.23899999997</v>
      </c>
      <c r="I24" s="190"/>
      <c r="J24" s="57">
        <f>+I26/H26</f>
        <v>0.98790656375925234</v>
      </c>
    </row>
    <row r="25" spans="1:11" x14ac:dyDescent="0.25">
      <c r="D25" s="138">
        <f>+D23-D24</f>
        <v>2523.9389677419385</v>
      </c>
      <c r="E25" s="99">
        <f>+E23-E24</f>
        <v>1.1506341258533892E-2</v>
      </c>
      <c r="G25" s="112" t="s">
        <v>135</v>
      </c>
      <c r="H25" s="190">
        <v>232937.965</v>
      </c>
      <c r="I25" s="190"/>
    </row>
    <row r="26" spans="1:11" x14ac:dyDescent="0.25">
      <c r="H26" s="68">
        <f>+SUM(H18:H23)</f>
        <v>1201208.301</v>
      </c>
      <c r="I26" s="68">
        <f>+SUM(I18:I23)</f>
        <v>1186681.5649999997</v>
      </c>
      <c r="J26" s="108">
        <f>+I26-H26</f>
        <v>-14526.736000000266</v>
      </c>
    </row>
    <row r="27" spans="1:11" x14ac:dyDescent="0.25">
      <c r="B27" s="66" t="s">
        <v>60</v>
      </c>
      <c r="D27" s="109" t="s">
        <v>105</v>
      </c>
      <c r="E27" s="109" t="s">
        <v>80</v>
      </c>
      <c r="G27" s="163"/>
      <c r="I27" s="162" t="s">
        <v>92</v>
      </c>
      <c r="J27" s="71"/>
    </row>
    <row r="28" spans="1:11" x14ac:dyDescent="0.25">
      <c r="B28" s="162" t="s">
        <v>61</v>
      </c>
      <c r="C28" s="162">
        <v>598</v>
      </c>
      <c r="D28" s="108">
        <v>2142</v>
      </c>
      <c r="E28" s="57">
        <f>+C28/D28</f>
        <v>0.27917833800186742</v>
      </c>
      <c r="F28" s="162">
        <v>9899.39</v>
      </c>
      <c r="G28" s="86" t="s">
        <v>86</v>
      </c>
      <c r="H28" s="87">
        <v>8849</v>
      </c>
      <c r="I28" s="88">
        <v>221.22500000000002</v>
      </c>
      <c r="J28" s="228">
        <v>45862</v>
      </c>
      <c r="K28" s="229">
        <v>3174</v>
      </c>
    </row>
    <row r="29" spans="1:11" x14ac:dyDescent="0.25">
      <c r="B29" s="162" t="s">
        <v>62</v>
      </c>
      <c r="C29" s="162">
        <v>1318</v>
      </c>
      <c r="D29" s="108">
        <v>1890</v>
      </c>
      <c r="E29" s="57">
        <f>+C29/D29</f>
        <v>0.69735449735449739</v>
      </c>
      <c r="F29" s="162">
        <v>1543.46</v>
      </c>
      <c r="G29" s="86" t="s">
        <v>104</v>
      </c>
      <c r="H29" s="87">
        <v>14</v>
      </c>
      <c r="I29" s="88">
        <v>0.35000000000000003</v>
      </c>
      <c r="J29" s="228">
        <v>45866</v>
      </c>
      <c r="K29" s="229">
        <v>4386</v>
      </c>
    </row>
    <row r="30" spans="1:11" x14ac:dyDescent="0.25">
      <c r="B30" s="162" t="s">
        <v>63</v>
      </c>
      <c r="C30" s="67">
        <v>1395</v>
      </c>
      <c r="D30" s="108">
        <v>3006</v>
      </c>
      <c r="E30" s="57">
        <f>+C30/D30</f>
        <v>0.46407185628742514</v>
      </c>
      <c r="F30" s="162">
        <f>+SUM(F28:F29)</f>
        <v>11442.849999999999</v>
      </c>
      <c r="G30" s="89" t="s">
        <v>87</v>
      </c>
      <c r="H30" s="87">
        <v>115</v>
      </c>
      <c r="I30" s="88">
        <v>172.5</v>
      </c>
      <c r="J30" s="71"/>
    </row>
    <row r="31" spans="1:11" ht="67.5" x14ac:dyDescent="0.25">
      <c r="C31" s="162">
        <f>+SUM(C28:C30)</f>
        <v>3311</v>
      </c>
      <c r="D31" s="110">
        <f>+SUM(D28:D30)</f>
        <v>7038</v>
      </c>
      <c r="E31" s="57">
        <f>+C31/D31</f>
        <v>0.47044614947428248</v>
      </c>
      <c r="G31" s="89" t="s">
        <v>91</v>
      </c>
      <c r="H31" s="87">
        <v>106</v>
      </c>
      <c r="I31" s="88">
        <v>159</v>
      </c>
      <c r="J31" s="230" t="s">
        <v>156</v>
      </c>
    </row>
    <row r="32" spans="1:11" ht="15" customHeight="1" x14ac:dyDescent="0.25">
      <c r="G32" s="231" t="s">
        <v>123</v>
      </c>
      <c r="H32" s="138">
        <v>231</v>
      </c>
      <c r="I32" s="232">
        <v>346.5</v>
      </c>
      <c r="J32" s="230"/>
    </row>
    <row r="33" spans="1:10" ht="15" customHeight="1" x14ac:dyDescent="0.25">
      <c r="B33" s="162" t="s">
        <v>66</v>
      </c>
      <c r="D33" s="162"/>
      <c r="G33" s="89" t="s">
        <v>96</v>
      </c>
      <c r="H33" s="87">
        <v>22</v>
      </c>
      <c r="I33" s="88">
        <v>33</v>
      </c>
      <c r="J33" s="218"/>
    </row>
    <row r="34" spans="1:10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244</v>
      </c>
      <c r="I34" s="88">
        <f>+H34*1.5</f>
        <v>366</v>
      </c>
      <c r="J34" s="224" t="s">
        <v>152</v>
      </c>
    </row>
    <row r="35" spans="1:10" x14ac:dyDescent="0.25">
      <c r="B35" s="73">
        <v>12</v>
      </c>
      <c r="C35" s="74">
        <v>7</v>
      </c>
      <c r="D35" s="74">
        <v>13</v>
      </c>
      <c r="E35" s="75">
        <f>+SUM(B35:D35)</f>
        <v>32</v>
      </c>
      <c r="J35" s="218"/>
    </row>
    <row r="36" spans="1:10" x14ac:dyDescent="0.25">
      <c r="E36" s="198" t="s">
        <v>76</v>
      </c>
      <c r="F36" s="198" t="s">
        <v>137</v>
      </c>
      <c r="H36" s="144" t="s">
        <v>124</v>
      </c>
      <c r="I36" s="220" t="s">
        <v>148</v>
      </c>
      <c r="J36" s="218" t="s">
        <v>146</v>
      </c>
    </row>
    <row r="37" spans="1:10" x14ac:dyDescent="0.25">
      <c r="D37" s="162"/>
      <c r="G37" s="71" t="s">
        <v>90</v>
      </c>
      <c r="H37" s="144" t="s">
        <v>120</v>
      </c>
      <c r="I37" s="145">
        <v>0</v>
      </c>
      <c r="J37" s="218"/>
    </row>
    <row r="38" spans="1:10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220" t="s">
        <v>149</v>
      </c>
      <c r="J38" s="218" t="s">
        <v>146</v>
      </c>
    </row>
    <row r="39" spans="1:10" x14ac:dyDescent="0.25">
      <c r="A39" s="207" t="s">
        <v>71</v>
      </c>
      <c r="B39" s="199">
        <v>4.71</v>
      </c>
      <c r="C39" s="199">
        <v>1441</v>
      </c>
      <c r="D39" s="200">
        <v>3600</v>
      </c>
      <c r="E39" s="201">
        <f t="shared" si="3"/>
        <v>0.40027777777777779</v>
      </c>
      <c r="F39" s="201">
        <f t="shared" si="4"/>
        <v>0.19625000000000001</v>
      </c>
      <c r="G39" s="202">
        <v>12</v>
      </c>
      <c r="H39" s="71"/>
    </row>
    <row r="40" spans="1:10" x14ac:dyDescent="0.25">
      <c r="A40" s="207" t="s">
        <v>72</v>
      </c>
      <c r="B40" s="199">
        <v>8.07</v>
      </c>
      <c r="C40" s="199">
        <v>1323</v>
      </c>
      <c r="D40" s="200">
        <v>3900</v>
      </c>
      <c r="E40" s="201">
        <f t="shared" si="3"/>
        <v>0.33923076923076922</v>
      </c>
      <c r="F40" s="201">
        <f t="shared" si="4"/>
        <v>0.33624999999999999</v>
      </c>
      <c r="G40" s="202">
        <v>12</v>
      </c>
      <c r="H40" s="71"/>
    </row>
    <row r="41" spans="1:10" x14ac:dyDescent="0.25">
      <c r="A41" s="207" t="s">
        <v>73</v>
      </c>
      <c r="B41" s="199">
        <v>11.33</v>
      </c>
      <c r="C41" s="199">
        <v>2775</v>
      </c>
      <c r="D41" s="200">
        <v>3900</v>
      </c>
      <c r="E41" s="201">
        <f t="shared" si="3"/>
        <v>0.71153846153846156</v>
      </c>
      <c r="F41" s="201">
        <f t="shared" si="4"/>
        <v>0.47208333333333335</v>
      </c>
      <c r="G41" s="202">
        <v>12</v>
      </c>
      <c r="H41" s="71"/>
    </row>
    <row r="42" spans="1:10" x14ac:dyDescent="0.25">
      <c r="A42" s="207" t="s">
        <v>74</v>
      </c>
      <c r="B42" s="199">
        <v>11.84</v>
      </c>
      <c r="C42" s="199">
        <v>2785</v>
      </c>
      <c r="D42" s="200">
        <v>3900</v>
      </c>
      <c r="E42" s="201">
        <f t="shared" si="3"/>
        <v>0.71410256410256412</v>
      </c>
      <c r="F42" s="201">
        <f t="shared" si="4"/>
        <v>0.49333333333333335</v>
      </c>
      <c r="G42" s="202">
        <v>12</v>
      </c>
      <c r="H42" s="71"/>
    </row>
    <row r="43" spans="1:10" x14ac:dyDescent="0.25">
      <c r="A43" s="207" t="s">
        <v>75</v>
      </c>
      <c r="B43" s="203">
        <v>3.88</v>
      </c>
      <c r="C43" s="204">
        <f>12561/B43</f>
        <v>3237.3711340206187</v>
      </c>
      <c r="D43" s="205">
        <v>4300</v>
      </c>
      <c r="E43" s="206">
        <f t="shared" si="3"/>
        <v>0.75287700791177181</v>
      </c>
      <c r="F43" s="201">
        <f t="shared" si="4"/>
        <v>0.16166666666666665</v>
      </c>
      <c r="G43" s="202">
        <v>16</v>
      </c>
      <c r="H43" s="71"/>
    </row>
    <row r="44" spans="1:10" x14ac:dyDescent="0.25">
      <c r="C44" s="71" t="s">
        <v>83</v>
      </c>
      <c r="D44" s="72" t="s">
        <v>79</v>
      </c>
      <c r="H44" s="71"/>
    </row>
    <row r="45" spans="1:10" x14ac:dyDescent="0.25">
      <c r="B45" s="162" t="s">
        <v>78</v>
      </c>
      <c r="H45" s="71"/>
    </row>
    <row r="46" spans="1:10" x14ac:dyDescent="0.25">
      <c r="C46" s="71">
        <v>1</v>
      </c>
      <c r="D46" s="225" t="s">
        <v>153</v>
      </c>
      <c r="H46" s="71"/>
    </row>
    <row r="47" spans="1:10" x14ac:dyDescent="0.25">
      <c r="C47" s="71">
        <v>2</v>
      </c>
      <c r="D47" s="225" t="s">
        <v>153</v>
      </c>
      <c r="H47" s="71"/>
    </row>
    <row r="48" spans="1:10" x14ac:dyDescent="0.25">
      <c r="C48" s="71">
        <v>3</v>
      </c>
      <c r="D48" s="225" t="s">
        <v>154</v>
      </c>
      <c r="H48" s="71"/>
    </row>
    <row r="49" spans="3:8" x14ac:dyDescent="0.25">
      <c r="C49" s="71">
        <v>4</v>
      </c>
      <c r="D49" s="225" t="s">
        <v>154</v>
      </c>
      <c r="H49" s="71"/>
    </row>
    <row r="50" spans="3:8" x14ac:dyDescent="0.25">
      <c r="C50" s="71">
        <v>5</v>
      </c>
      <c r="D50" s="108">
        <v>10</v>
      </c>
    </row>
    <row r="51" spans="3:8" x14ac:dyDescent="0.25">
      <c r="C51" s="71">
        <v>6</v>
      </c>
      <c r="D51" s="108">
        <v>2</v>
      </c>
    </row>
    <row r="52" spans="3:8" x14ac:dyDescent="0.25">
      <c r="C52" s="71">
        <v>7</v>
      </c>
      <c r="D52" s="225" t="s">
        <v>153</v>
      </c>
    </row>
    <row r="53" spans="3:8" x14ac:dyDescent="0.25">
      <c r="C53" s="71">
        <v>8</v>
      </c>
      <c r="D53" s="225" t="s">
        <v>153</v>
      </c>
    </row>
  </sheetData>
  <protectedRanges>
    <protectedRange password="D554" sqref="I36:I38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opLeftCell="A5" workbookViewId="0">
      <selection activeCell="A24" sqref="A24:K54"/>
    </sheetView>
  </sheetViews>
  <sheetFormatPr baseColWidth="10" defaultColWidth="11.42578125" defaultRowHeight="15.75" x14ac:dyDescent="0.25"/>
  <cols>
    <col min="1" max="1" width="2.42578125" style="162" customWidth="1"/>
    <col min="2" max="2" width="42.5703125" style="162" customWidth="1"/>
    <col min="3" max="3" width="15.28515625" style="162" customWidth="1"/>
    <col min="4" max="4" width="16.140625" style="163" customWidth="1"/>
    <col min="5" max="5" width="19.85546875" style="162" customWidth="1"/>
    <col min="6" max="6" width="11.42578125" style="162"/>
    <col min="7" max="7" width="19.140625" style="162" bestFit="1" customWidth="1"/>
    <col min="8" max="8" width="11.85546875" style="162" bestFit="1" customWidth="1"/>
    <col min="9" max="16384" width="11.42578125" style="162"/>
  </cols>
  <sheetData>
    <row r="1" spans="1:10" ht="15" customHeight="1" x14ac:dyDescent="0.25">
      <c r="A1" s="161"/>
      <c r="B1" s="518">
        <v>45869</v>
      </c>
      <c r="C1" s="518"/>
      <c r="D1" s="518"/>
      <c r="E1" s="61" t="s">
        <v>133</v>
      </c>
      <c r="F1" s="61" t="s">
        <v>155</v>
      </c>
    </row>
    <row r="2" spans="1:10" x14ac:dyDescent="0.25">
      <c r="E2" s="62">
        <v>219352</v>
      </c>
      <c r="F2" s="62">
        <v>229593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7075.8709677419356</v>
      </c>
      <c r="F3" s="108">
        <f>+F2/31</f>
        <v>7406.2258064516127</v>
      </c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34"/>
      <c r="C4" s="234"/>
      <c r="D4" s="165">
        <f>D22</f>
        <v>7645.3090000000002</v>
      </c>
      <c r="F4" s="58" t="s">
        <v>51</v>
      </c>
      <c r="G4" s="59">
        <v>45866</v>
      </c>
      <c r="H4" s="58">
        <v>3981.75</v>
      </c>
      <c r="I4" s="141">
        <v>3698.83</v>
      </c>
      <c r="J4" s="60">
        <f t="shared" ref="J4:J11" si="0">+I4/H4</f>
        <v>0.92894581528222508</v>
      </c>
    </row>
    <row r="5" spans="1:10" ht="15" customHeight="1" x14ac:dyDescent="0.25">
      <c r="A5" s="164"/>
      <c r="B5" s="168" t="s">
        <v>6</v>
      </c>
      <c r="C5" s="176">
        <v>4674</v>
      </c>
      <c r="D5" s="172">
        <v>199.53200000000001</v>
      </c>
      <c r="E5" s="80">
        <f>+D5/$D$4</f>
        <v>2.6098618119947802E-2</v>
      </c>
      <c r="F5" s="58" t="s">
        <v>52</v>
      </c>
      <c r="G5" s="59">
        <v>45867</v>
      </c>
      <c r="H5" s="58">
        <v>5331.5999999999985</v>
      </c>
      <c r="I5" s="141">
        <v>5144.43</v>
      </c>
      <c r="J5" s="60">
        <f t="shared" si="0"/>
        <v>0.96489421562007682</v>
      </c>
    </row>
    <row r="6" spans="1:10" ht="15" customHeight="1" x14ac:dyDescent="0.25">
      <c r="A6" s="164"/>
      <c r="B6" s="169" t="s">
        <v>10</v>
      </c>
      <c r="C6" s="177">
        <f>829+15406</f>
        <v>16235</v>
      </c>
      <c r="D6" s="173">
        <f>35.39+657.015</f>
        <v>692.40499999999997</v>
      </c>
      <c r="E6" s="80">
        <f t="shared" ref="E6:E22" si="1">+D6/$D$4</f>
        <v>9.0565992819910873E-2</v>
      </c>
      <c r="F6" s="58" t="s">
        <v>53</v>
      </c>
      <c r="G6" s="59">
        <v>45868</v>
      </c>
      <c r="H6" s="58">
        <v>6523.5</v>
      </c>
      <c r="I6" s="141">
        <v>6779.482</v>
      </c>
      <c r="J6" s="60">
        <f t="shared" si="0"/>
        <v>1.0392399785391278</v>
      </c>
    </row>
    <row r="7" spans="1:10" ht="15" customHeight="1" x14ac:dyDescent="0.25">
      <c r="A7" s="164"/>
      <c r="B7" s="169" t="s">
        <v>35</v>
      </c>
      <c r="C7" s="177">
        <v>25568</v>
      </c>
      <c r="D7" s="173">
        <v>1090.71</v>
      </c>
      <c r="E7" s="80">
        <f t="shared" si="1"/>
        <v>0.14266395249688404</v>
      </c>
      <c r="F7" s="58" t="s">
        <v>54</v>
      </c>
      <c r="G7" s="59">
        <v>45869</v>
      </c>
      <c r="H7" s="58">
        <v>7418</v>
      </c>
      <c r="I7" s="141">
        <v>7645.3090000000002</v>
      </c>
      <c r="J7" s="60">
        <f t="shared" si="0"/>
        <v>1.0306428956592073</v>
      </c>
    </row>
    <row r="8" spans="1:10" ht="15" customHeight="1" x14ac:dyDescent="0.25">
      <c r="A8" s="164"/>
      <c r="B8" s="169" t="s">
        <v>4</v>
      </c>
      <c r="C8" s="177">
        <v>946</v>
      </c>
      <c r="D8" s="173">
        <v>40.42</v>
      </c>
      <c r="E8" s="80">
        <f t="shared" si="1"/>
        <v>5.2869020728920175E-3</v>
      </c>
      <c r="F8" s="58" t="s">
        <v>55</v>
      </c>
      <c r="G8" s="59">
        <v>45863</v>
      </c>
      <c r="H8" s="58">
        <v>9230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21348</v>
      </c>
      <c r="D9" s="173">
        <v>911.54100000000005</v>
      </c>
      <c r="E9" s="191">
        <f t="shared" si="1"/>
        <v>0.1192287976849595</v>
      </c>
      <c r="F9" s="58" t="s">
        <v>56</v>
      </c>
      <c r="G9" s="59">
        <v>45864</v>
      </c>
      <c r="H9" s="58">
        <v>7828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43038</v>
      </c>
      <c r="D10" s="173">
        <v>1836.5329999999999</v>
      </c>
      <c r="E10" s="191">
        <f t="shared" si="1"/>
        <v>0.24021697487962879</v>
      </c>
      <c r="F10" s="58" t="s">
        <v>57</v>
      </c>
      <c r="G10" s="59">
        <v>45865</v>
      </c>
      <c r="H10" s="58">
        <v>5202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8190</v>
      </c>
      <c r="D11" s="173">
        <v>349.40800000000002</v>
      </c>
      <c r="E11" s="80">
        <f t="shared" si="1"/>
        <v>4.5702273119372937E-2</v>
      </c>
      <c r="H11" s="139">
        <f>+SUM(H4:H10)</f>
        <v>45514.85</v>
      </c>
      <c r="I11" s="142">
        <f>+SUM(I4:I10)</f>
        <v>23268.050999999999</v>
      </c>
      <c r="J11" s="140">
        <f t="shared" si="0"/>
        <v>0.51121888790142123</v>
      </c>
    </row>
    <row r="12" spans="1:10" ht="15" customHeight="1" x14ac:dyDescent="0.25">
      <c r="A12" s="164"/>
      <c r="B12" s="169" t="s">
        <v>95</v>
      </c>
      <c r="C12" s="177">
        <v>1200</v>
      </c>
      <c r="D12" s="173">
        <v>30.95</v>
      </c>
      <c r="E12" s="80">
        <f t="shared" si="1"/>
        <v>4.0482340216726363E-3</v>
      </c>
    </row>
    <row r="13" spans="1:10" ht="15" customHeight="1" x14ac:dyDescent="0.25">
      <c r="A13" s="164"/>
      <c r="B13" s="169" t="s">
        <v>44</v>
      </c>
      <c r="C13" s="177">
        <v>46</v>
      </c>
      <c r="D13" s="173">
        <v>69.53</v>
      </c>
      <c r="E13" s="80">
        <f t="shared" si="1"/>
        <v>9.0944656389951011E-3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414</v>
      </c>
      <c r="D14" s="173">
        <v>624.74</v>
      </c>
      <c r="E14" s="80">
        <f t="shared" si="1"/>
        <v>8.1715467615501219E-2</v>
      </c>
      <c r="F14" s="112" t="s">
        <v>108</v>
      </c>
      <c r="G14" s="190">
        <v>204007.80300000001</v>
      </c>
      <c r="H14" s="190">
        <v>190629.128</v>
      </c>
      <c r="I14" s="57">
        <f t="shared" ref="I14:I20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300</v>
      </c>
      <c r="D15" s="173">
        <v>453.98</v>
      </c>
      <c r="E15" s="80">
        <f t="shared" si="1"/>
        <v>5.9380202945361657E-2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60</v>
      </c>
      <c r="D16" s="173">
        <v>90.22</v>
      </c>
      <c r="E16" s="80">
        <f t="shared" si="1"/>
        <v>1.180070027254621E-2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229</v>
      </c>
      <c r="D17" s="173">
        <v>344.94</v>
      </c>
      <c r="E17" s="80">
        <f t="shared" si="1"/>
        <v>4.5117862469652957E-2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106</v>
      </c>
      <c r="C18" s="177"/>
      <c r="D18" s="173">
        <v>60.35</v>
      </c>
      <c r="E18" s="80">
        <f t="shared" si="1"/>
        <v>7.8937293443600513E-3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46</v>
      </c>
      <c r="C19" s="177"/>
      <c r="D19" s="173">
        <v>60.96</v>
      </c>
      <c r="E19" s="80">
        <f t="shared" si="1"/>
        <v>7.9735168323477826E-3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62">
        <v>-14526.736000000266</v>
      </c>
    </row>
    <row r="20" spans="1:11" ht="15" customHeight="1" x14ac:dyDescent="0.25">
      <c r="A20" s="164"/>
      <c r="B20" s="169" t="s">
        <v>40</v>
      </c>
      <c r="C20" s="177"/>
      <c r="D20" s="173">
        <v>544.89</v>
      </c>
      <c r="E20" s="80">
        <f t="shared" si="1"/>
        <v>7.1271154638746448E-2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f>+H22-G22</f>
        <v>-11597.598000000231</v>
      </c>
    </row>
    <row r="21" spans="1:11" ht="15" customHeight="1" thickBot="1" x14ac:dyDescent="0.3">
      <c r="A21" s="164"/>
      <c r="B21" s="169" t="s">
        <v>9</v>
      </c>
      <c r="C21" s="177"/>
      <c r="D21" s="173">
        <v>244.2</v>
      </c>
      <c r="E21" s="80">
        <f t="shared" si="1"/>
        <v>3.1941155027219954E-2</v>
      </c>
      <c r="F21" s="112" t="s">
        <v>135</v>
      </c>
      <c r="G21" s="190">
        <v>232937.965</v>
      </c>
      <c r="H21" s="190"/>
    </row>
    <row r="22" spans="1:11" ht="15" customHeight="1" thickBot="1" x14ac:dyDescent="0.3">
      <c r="B22" s="178" t="s">
        <v>0</v>
      </c>
      <c r="C22" s="170"/>
      <c r="D22" s="171">
        <f>SUM(D5:D21)</f>
        <v>7645.3090000000002</v>
      </c>
      <c r="E22" s="80">
        <f t="shared" si="1"/>
        <v>1</v>
      </c>
      <c r="G22" s="68">
        <f>+SUM(G14:G20)</f>
        <v>1420724.54</v>
      </c>
      <c r="H22" s="68">
        <f>+SUM(H14:H20)</f>
        <v>1409126.9419999998</v>
      </c>
    </row>
    <row r="23" spans="1:11" ht="15" customHeight="1" x14ac:dyDescent="0.25">
      <c r="B23" s="166" t="s">
        <v>1</v>
      </c>
      <c r="C23" s="167"/>
      <c r="D23" s="233">
        <f>71.76+222373.617</f>
        <v>222445.37700000001</v>
      </c>
      <c r="E23" s="98">
        <f>+D23/E2</f>
        <v>1.0141023423538422</v>
      </c>
      <c r="F23" s="163"/>
    </row>
    <row r="24" spans="1:11" x14ac:dyDescent="0.25">
      <c r="D24" s="193">
        <f>+(E2/31)*31</f>
        <v>219352</v>
      </c>
      <c r="E24" s="98">
        <f>+D24/E2</f>
        <v>1</v>
      </c>
    </row>
    <row r="25" spans="1:11" x14ac:dyDescent="0.25">
      <c r="D25" s="138">
        <f>+D23-D24</f>
        <v>3093.3770000000077</v>
      </c>
      <c r="E25" s="99">
        <f>E23-E24</f>
        <v>1.4102342353842223E-2</v>
      </c>
    </row>
    <row r="27" spans="1:11" x14ac:dyDescent="0.25">
      <c r="B27" s="66" t="s">
        <v>60</v>
      </c>
      <c r="D27" s="109" t="s">
        <v>105</v>
      </c>
      <c r="E27" s="109" t="s">
        <v>80</v>
      </c>
      <c r="G27" s="163"/>
      <c r="H27" s="237" t="s">
        <v>157</v>
      </c>
      <c r="I27" s="237" t="s">
        <v>92</v>
      </c>
      <c r="J27" s="71"/>
    </row>
    <row r="28" spans="1:11" x14ac:dyDescent="0.25">
      <c r="B28" s="162" t="s">
        <v>61</v>
      </c>
      <c r="C28" s="162">
        <v>497</v>
      </c>
      <c r="D28" s="108">
        <v>2142</v>
      </c>
      <c r="E28" s="57">
        <f>+C28/D28</f>
        <v>0.23202614379084968</v>
      </c>
      <c r="G28" s="86" t="s">
        <v>86</v>
      </c>
      <c r="H28" s="87">
        <v>7649</v>
      </c>
      <c r="I28" s="88">
        <v>191.22500000000002</v>
      </c>
      <c r="J28" s="228"/>
      <c r="K28" s="229"/>
    </row>
    <row r="29" spans="1:11" x14ac:dyDescent="0.25">
      <c r="B29" s="162" t="s">
        <v>62</v>
      </c>
      <c r="C29" s="162">
        <v>1716</v>
      </c>
      <c r="D29" s="108">
        <v>1890</v>
      </c>
      <c r="E29" s="57">
        <f>+C29/D29</f>
        <v>0.90793650793650793</v>
      </c>
      <c r="G29" s="86" t="s">
        <v>104</v>
      </c>
      <c r="H29" s="87">
        <v>14</v>
      </c>
      <c r="I29" s="88">
        <v>0.35000000000000003</v>
      </c>
      <c r="J29" s="228"/>
      <c r="K29" s="229"/>
    </row>
    <row r="30" spans="1:11" x14ac:dyDescent="0.25">
      <c r="B30" s="162" t="s">
        <v>63</v>
      </c>
      <c r="C30" s="67">
        <v>851</v>
      </c>
      <c r="D30" s="108">
        <v>3006</v>
      </c>
      <c r="E30" s="57">
        <f>+C30/D30</f>
        <v>0.28310046573519626</v>
      </c>
      <c r="G30" s="89" t="s">
        <v>87</v>
      </c>
      <c r="H30" s="87">
        <v>95</v>
      </c>
      <c r="I30" s="88">
        <v>142.5</v>
      </c>
      <c r="J30" s="71"/>
    </row>
    <row r="31" spans="1:11" ht="45" x14ac:dyDescent="0.25">
      <c r="C31" s="162">
        <f>+SUM(C28:C30)</f>
        <v>3064</v>
      </c>
      <c r="D31" s="110">
        <f>+SUM(D28:D30)</f>
        <v>7038</v>
      </c>
      <c r="E31" s="57">
        <f>+C31/D31</f>
        <v>0.43535095197499291</v>
      </c>
      <c r="G31" s="89" t="s">
        <v>91</v>
      </c>
      <c r="H31" s="87">
        <v>106</v>
      </c>
      <c r="I31" s="88">
        <v>159</v>
      </c>
      <c r="J31" s="230" t="s">
        <v>156</v>
      </c>
    </row>
    <row r="32" spans="1:11" ht="15" customHeight="1" x14ac:dyDescent="0.25">
      <c r="G32" s="231" t="s">
        <v>123</v>
      </c>
      <c r="H32" s="138">
        <v>231</v>
      </c>
      <c r="I32" s="232">
        <v>346.5</v>
      </c>
      <c r="J32" s="230"/>
    </row>
    <row r="33" spans="1:10" ht="15" customHeight="1" x14ac:dyDescent="0.25">
      <c r="B33" s="162" t="s">
        <v>66</v>
      </c>
      <c r="D33" s="162"/>
      <c r="G33" s="89" t="s">
        <v>96</v>
      </c>
      <c r="H33" s="87">
        <v>22</v>
      </c>
      <c r="I33" s="88">
        <v>33</v>
      </c>
      <c r="J33" s="218"/>
    </row>
    <row r="34" spans="1:10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244</v>
      </c>
      <c r="I34" s="88">
        <f>+H34*1.5</f>
        <v>366</v>
      </c>
      <c r="J34" s="224" t="s">
        <v>152</v>
      </c>
    </row>
    <row r="35" spans="1:10" x14ac:dyDescent="0.25">
      <c r="B35" s="73">
        <v>34</v>
      </c>
      <c r="C35" s="74">
        <v>3</v>
      </c>
      <c r="D35" s="74">
        <v>25</v>
      </c>
      <c r="E35" s="75">
        <f>+SUM(B35:D35)</f>
        <v>62</v>
      </c>
      <c r="J35" s="218"/>
    </row>
    <row r="36" spans="1:10" x14ac:dyDescent="0.25">
      <c r="E36" s="198" t="s">
        <v>76</v>
      </c>
      <c r="F36" s="198" t="s">
        <v>137</v>
      </c>
      <c r="H36" s="144" t="s">
        <v>124</v>
      </c>
      <c r="I36" s="220" t="s">
        <v>148</v>
      </c>
      <c r="J36" s="218" t="s">
        <v>146</v>
      </c>
    </row>
    <row r="37" spans="1:10" x14ac:dyDescent="0.25">
      <c r="D37" s="162"/>
      <c r="G37" s="71" t="s">
        <v>90</v>
      </c>
      <c r="H37" s="144" t="s">
        <v>120</v>
      </c>
      <c r="I37" s="145">
        <v>0</v>
      </c>
      <c r="J37" s="218"/>
    </row>
    <row r="38" spans="1:10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220" t="s">
        <v>149</v>
      </c>
      <c r="J38" s="218" t="s">
        <v>146</v>
      </c>
    </row>
    <row r="39" spans="1:10" x14ac:dyDescent="0.25">
      <c r="A39" s="207" t="s">
        <v>71</v>
      </c>
      <c r="B39" s="199">
        <v>9.16</v>
      </c>
      <c r="C39" s="199">
        <v>1444</v>
      </c>
      <c r="D39" s="200">
        <v>3600</v>
      </c>
      <c r="E39" s="201">
        <f t="shared" si="3"/>
        <v>0.40111111111111108</v>
      </c>
      <c r="F39" s="201">
        <f t="shared" si="4"/>
        <v>0.38166666666666665</v>
      </c>
      <c r="G39" s="202">
        <v>12</v>
      </c>
      <c r="H39" s="71"/>
    </row>
    <row r="40" spans="1:10" x14ac:dyDescent="0.25">
      <c r="A40" s="207" t="s">
        <v>72</v>
      </c>
      <c r="B40" s="199">
        <v>6.93</v>
      </c>
      <c r="C40" s="199">
        <v>1303</v>
      </c>
      <c r="D40" s="200">
        <v>3900</v>
      </c>
      <c r="E40" s="201">
        <f t="shared" si="3"/>
        <v>0.33410256410256411</v>
      </c>
      <c r="F40" s="201">
        <f t="shared" si="4"/>
        <v>0.28875000000000001</v>
      </c>
      <c r="G40" s="202">
        <v>12</v>
      </c>
      <c r="H40" s="71"/>
    </row>
    <row r="41" spans="1:10" x14ac:dyDescent="0.25">
      <c r="A41" s="207" t="s">
        <v>73</v>
      </c>
      <c r="B41" s="199">
        <v>14.58</v>
      </c>
      <c r="C41" s="199">
        <v>2174</v>
      </c>
      <c r="D41" s="200">
        <v>3900</v>
      </c>
      <c r="E41" s="201">
        <f t="shared" si="3"/>
        <v>0.55743589743589739</v>
      </c>
      <c r="F41" s="201">
        <f t="shared" si="4"/>
        <v>0.60750000000000004</v>
      </c>
      <c r="G41" s="202">
        <v>12</v>
      </c>
      <c r="H41" s="71"/>
    </row>
    <row r="42" spans="1:10" x14ac:dyDescent="0.25">
      <c r="A42" s="207" t="s">
        <v>74</v>
      </c>
      <c r="B42" s="199">
        <v>1302</v>
      </c>
      <c r="C42" s="199">
        <v>2855</v>
      </c>
      <c r="D42" s="200">
        <v>3900</v>
      </c>
      <c r="E42" s="201">
        <f t="shared" si="3"/>
        <v>0.732051282051282</v>
      </c>
      <c r="F42" s="201">
        <f t="shared" si="4"/>
        <v>54.25</v>
      </c>
      <c r="G42" s="202">
        <v>12</v>
      </c>
      <c r="H42" s="71"/>
    </row>
    <row r="43" spans="1:10" x14ac:dyDescent="0.25">
      <c r="A43" s="207" t="s">
        <v>75</v>
      </c>
      <c r="B43" s="203">
        <v>0</v>
      </c>
      <c r="C43" s="204">
        <v>0</v>
      </c>
      <c r="D43" s="205">
        <v>4300</v>
      </c>
      <c r="E43" s="206">
        <f t="shared" si="3"/>
        <v>0</v>
      </c>
      <c r="F43" s="201">
        <f t="shared" si="4"/>
        <v>0</v>
      </c>
      <c r="G43" s="202">
        <v>16</v>
      </c>
      <c r="H43" s="71"/>
    </row>
    <row r="44" spans="1:10" x14ac:dyDescent="0.25">
      <c r="C44" s="71" t="s">
        <v>83</v>
      </c>
      <c r="D44" s="72" t="s">
        <v>79</v>
      </c>
      <c r="H44" s="71"/>
    </row>
    <row r="45" spans="1:10" x14ac:dyDescent="0.25">
      <c r="B45" s="162" t="s">
        <v>78</v>
      </c>
      <c r="H45" s="71"/>
    </row>
    <row r="46" spans="1:10" x14ac:dyDescent="0.25">
      <c r="C46" s="71">
        <v>1</v>
      </c>
      <c r="D46" s="225" t="s">
        <v>153</v>
      </c>
      <c r="H46" s="71"/>
    </row>
    <row r="47" spans="1:10" x14ac:dyDescent="0.25">
      <c r="C47" s="71">
        <v>2</v>
      </c>
      <c r="D47" s="225" t="s">
        <v>153</v>
      </c>
      <c r="H47" s="71"/>
    </row>
    <row r="48" spans="1:10" x14ac:dyDescent="0.25">
      <c r="C48" s="71">
        <v>3</v>
      </c>
      <c r="D48" s="225" t="s">
        <v>154</v>
      </c>
      <c r="H48" s="71"/>
    </row>
    <row r="49" spans="3:8" x14ac:dyDescent="0.25">
      <c r="C49" s="71">
        <v>4</v>
      </c>
      <c r="D49" s="225" t="s">
        <v>154</v>
      </c>
      <c r="H49" s="71"/>
    </row>
    <row r="50" spans="3:8" x14ac:dyDescent="0.25">
      <c r="C50" s="71">
        <v>5</v>
      </c>
      <c r="D50" s="108">
        <v>9</v>
      </c>
    </row>
    <row r="51" spans="3:8" x14ac:dyDescent="0.25">
      <c r="C51" s="71">
        <v>6</v>
      </c>
      <c r="D51" s="108">
        <v>3</v>
      </c>
    </row>
    <row r="52" spans="3:8" x14ac:dyDescent="0.25">
      <c r="C52" s="71">
        <v>7</v>
      </c>
      <c r="D52" s="225" t="s">
        <v>153</v>
      </c>
    </row>
    <row r="53" spans="3:8" x14ac:dyDescent="0.25">
      <c r="C53" s="71">
        <v>8</v>
      </c>
      <c r="D53" s="225" t="s">
        <v>153</v>
      </c>
    </row>
  </sheetData>
  <protectedRanges>
    <protectedRange password="D554" sqref="I36:I38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13" workbookViewId="0">
      <selection activeCell="E7" sqref="E7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9.85546875" style="162" customWidth="1"/>
    <col min="6" max="7" width="14.28515625" style="162" customWidth="1"/>
    <col min="8" max="8" width="11.85546875" style="162" bestFit="1" customWidth="1"/>
    <col min="9" max="16384" width="11.42578125" style="162"/>
  </cols>
  <sheetData>
    <row r="1" spans="1:10" ht="15" customHeight="1" x14ac:dyDescent="0.25">
      <c r="A1" s="161"/>
      <c r="B1" s="518">
        <v>45872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35"/>
      <c r="C4" s="235"/>
      <c r="D4" s="165">
        <f>D25</f>
        <v>6065.7529999999997</v>
      </c>
      <c r="F4" s="58" t="s">
        <v>51</v>
      </c>
      <c r="G4" s="59">
        <v>45866</v>
      </c>
      <c r="H4" s="58">
        <v>3981.75</v>
      </c>
      <c r="I4" s="141">
        <v>3698.83</v>
      </c>
      <c r="J4" s="60">
        <f t="shared" ref="J4:J11" si="0">+I4/H4</f>
        <v>0.92894581528222508</v>
      </c>
    </row>
    <row r="5" spans="1:10" ht="15" customHeight="1" x14ac:dyDescent="0.25">
      <c r="A5" s="164"/>
      <c r="B5" s="168" t="s">
        <v>6</v>
      </c>
      <c r="C5" s="176">
        <v>2380</v>
      </c>
      <c r="D5" s="172">
        <v>101.74</v>
      </c>
      <c r="E5" s="80">
        <f>+D5/$D$4</f>
        <v>1.6772855736130372E-2</v>
      </c>
      <c r="F5" s="58" t="s">
        <v>52</v>
      </c>
      <c r="G5" s="59">
        <v>45867</v>
      </c>
      <c r="H5" s="58">
        <v>5331.5999999999985</v>
      </c>
      <c r="I5" s="141">
        <v>5144.43</v>
      </c>
      <c r="J5" s="60">
        <f t="shared" si="0"/>
        <v>0.96489421562007682</v>
      </c>
    </row>
    <row r="6" spans="1:10" ht="15" customHeight="1" x14ac:dyDescent="0.25">
      <c r="A6" s="164"/>
      <c r="B6" s="169" t="s">
        <v>10</v>
      </c>
      <c r="C6" s="177">
        <v>13638</v>
      </c>
      <c r="D6" s="173">
        <v>581.61199999999997</v>
      </c>
      <c r="E6" s="80">
        <f t="shared" ref="E6:E25" si="1">+D6/$D$4</f>
        <v>9.5884550524889492E-2</v>
      </c>
      <c r="F6" s="58" t="s">
        <v>53</v>
      </c>
      <c r="G6" s="59">
        <v>45868</v>
      </c>
      <c r="H6" s="58">
        <v>6523.5</v>
      </c>
      <c r="I6" s="141">
        <v>6779.482</v>
      </c>
      <c r="J6" s="60">
        <f t="shared" si="0"/>
        <v>1.0392399785391278</v>
      </c>
    </row>
    <row r="7" spans="1:10" ht="15" customHeight="1" x14ac:dyDescent="0.25">
      <c r="A7" s="164"/>
      <c r="B7" s="169" t="s">
        <v>35</v>
      </c>
      <c r="C7" s="177">
        <v>13217</v>
      </c>
      <c r="D7" s="173">
        <v>563.80999999999995</v>
      </c>
      <c r="E7" s="80">
        <f t="shared" si="1"/>
        <v>9.2949712921050365E-2</v>
      </c>
      <c r="F7" s="58" t="s">
        <v>54</v>
      </c>
      <c r="G7" s="59">
        <v>45869</v>
      </c>
      <c r="H7" s="58">
        <v>7418</v>
      </c>
      <c r="I7" s="141">
        <v>7645.3090000000002</v>
      </c>
      <c r="J7" s="60">
        <f t="shared" si="0"/>
        <v>1.0306428956592073</v>
      </c>
    </row>
    <row r="8" spans="1:10" ht="15" customHeight="1" x14ac:dyDescent="0.25">
      <c r="A8" s="164"/>
      <c r="B8" s="169" t="s">
        <v>4</v>
      </c>
      <c r="C8" s="177">
        <v>5640</v>
      </c>
      <c r="D8" s="173">
        <v>240.39</v>
      </c>
      <c r="E8" s="80">
        <f t="shared" si="1"/>
        <v>3.9630693831417138E-2</v>
      </c>
      <c r="F8" s="58" t="s">
        <v>55</v>
      </c>
      <c r="G8" s="59">
        <v>45863</v>
      </c>
      <c r="H8" s="58">
        <v>9230</v>
      </c>
      <c r="I8" s="141">
        <v>8476.39</v>
      </c>
      <c r="J8" s="60">
        <f t="shared" si="0"/>
        <v>0.91835211267605632</v>
      </c>
    </row>
    <row r="9" spans="1:10" ht="15" customHeight="1" x14ac:dyDescent="0.25">
      <c r="A9" s="164"/>
      <c r="B9" s="169" t="s">
        <v>37</v>
      </c>
      <c r="C9" s="177">
        <v>27170</v>
      </c>
      <c r="D9" s="173">
        <v>1159.374</v>
      </c>
      <c r="E9" s="191">
        <f t="shared" si="1"/>
        <v>0.19113439007490085</v>
      </c>
      <c r="F9" s="58" t="s">
        <v>56</v>
      </c>
      <c r="G9" s="59">
        <v>45864</v>
      </c>
      <c r="H9" s="58">
        <v>7828</v>
      </c>
      <c r="I9" s="141">
        <v>8300.92</v>
      </c>
      <c r="J9" s="60">
        <f t="shared" si="0"/>
        <v>1.0604138988247318</v>
      </c>
    </row>
    <row r="10" spans="1:10" ht="15" customHeight="1" x14ac:dyDescent="0.25">
      <c r="A10" s="164"/>
      <c r="B10" s="169" t="s">
        <v>38</v>
      </c>
      <c r="C10" s="177">
        <v>37465</v>
      </c>
      <c r="D10" s="173">
        <v>1597.848</v>
      </c>
      <c r="E10" s="191">
        <f t="shared" si="1"/>
        <v>0.2634212108537885</v>
      </c>
      <c r="F10" s="58" t="s">
        <v>57</v>
      </c>
      <c r="G10" s="59">
        <v>45865</v>
      </c>
      <c r="H10" s="58">
        <v>5202</v>
      </c>
      <c r="I10" s="141">
        <v>6065.75</v>
      </c>
      <c r="J10" s="60">
        <f t="shared" si="0"/>
        <v>1.1660419069588619</v>
      </c>
    </row>
    <row r="11" spans="1:10" ht="15" customHeight="1" x14ac:dyDescent="0.25">
      <c r="A11" s="164"/>
      <c r="B11" s="169" t="s">
        <v>42</v>
      </c>
      <c r="C11" s="177">
        <v>5270</v>
      </c>
      <c r="D11" s="173">
        <v>225.096</v>
      </c>
      <c r="E11" s="80">
        <f t="shared" si="1"/>
        <v>3.7109325091212918E-2</v>
      </c>
      <c r="H11" s="139">
        <f>+SUM(H4:H10)</f>
        <v>45514.85</v>
      </c>
      <c r="I11" s="142">
        <f>+SUM(I4:I10)</f>
        <v>46111.110999999997</v>
      </c>
      <c r="J11" s="140">
        <f t="shared" si="0"/>
        <v>1.0131003617500662</v>
      </c>
    </row>
    <row r="12" spans="1:10" ht="15" customHeight="1" x14ac:dyDescent="0.25">
      <c r="A12" s="164"/>
      <c r="B12" s="169" t="s">
        <v>158</v>
      </c>
      <c r="C12" s="177">
        <v>2700</v>
      </c>
      <c r="D12" s="173">
        <v>68.120999999999995</v>
      </c>
      <c r="E12" s="80">
        <f t="shared" si="1"/>
        <v>1.1230427615499675E-2</v>
      </c>
    </row>
    <row r="13" spans="1:10" ht="15" customHeight="1" x14ac:dyDescent="0.25">
      <c r="A13" s="164"/>
      <c r="B13" s="169" t="s">
        <v>95</v>
      </c>
      <c r="C13" s="177">
        <v>1300</v>
      </c>
      <c r="D13" s="173">
        <v>32.911999999999999</v>
      </c>
      <c r="E13" s="80">
        <f t="shared" si="1"/>
        <v>5.4258721052439819E-3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45</v>
      </c>
      <c r="D14" s="173">
        <v>68.180000000000007</v>
      </c>
      <c r="E14" s="80">
        <f t="shared" si="1"/>
        <v>1.1240154355114692E-2</v>
      </c>
      <c r="F14" s="112" t="s">
        <v>108</v>
      </c>
      <c r="G14" s="190">
        <v>204007.80300000001</v>
      </c>
      <c r="H14" s="190">
        <v>190629.128</v>
      </c>
      <c r="I14" s="57">
        <f t="shared" ref="I14:I20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146</v>
      </c>
      <c r="D15" s="173">
        <v>220.47</v>
      </c>
      <c r="E15" s="80">
        <f t="shared" si="1"/>
        <v>3.6346682761398297E-2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157</v>
      </c>
      <c r="D16" s="173">
        <v>237.24</v>
      </c>
      <c r="E16" s="80">
        <f t="shared" si="1"/>
        <v>3.9111384851971388E-2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84</v>
      </c>
      <c r="C17" s="177">
        <v>64</v>
      </c>
      <c r="D17" s="173">
        <v>96.27</v>
      </c>
      <c r="E17" s="80">
        <f t="shared" si="1"/>
        <v>1.5871071571822989E-2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49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41</v>
      </c>
      <c r="C19" s="177">
        <v>66</v>
      </c>
      <c r="D19" s="173">
        <v>99.32</v>
      </c>
      <c r="E19" s="80">
        <f t="shared" si="1"/>
        <v>1.6373894551921252E-2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239">
        <v>-14526.736000000266</v>
      </c>
    </row>
    <row r="20" spans="1:11" ht="15" customHeight="1" x14ac:dyDescent="0.25">
      <c r="A20" s="164"/>
      <c r="B20" s="169" t="s">
        <v>45</v>
      </c>
      <c r="C20" s="177">
        <v>45</v>
      </c>
      <c r="D20" s="173">
        <v>67.739999999999995</v>
      </c>
      <c r="E20" s="80">
        <f t="shared" si="1"/>
        <v>1.1167615957985761E-2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239">
        <f>+H22-G22</f>
        <v>-11597.598000000231</v>
      </c>
    </row>
    <row r="21" spans="1:11" ht="15" customHeight="1" x14ac:dyDescent="0.25">
      <c r="A21" s="164"/>
      <c r="B21" s="169" t="s">
        <v>85</v>
      </c>
      <c r="C21" s="177">
        <v>44</v>
      </c>
      <c r="D21" s="173">
        <v>66.239999999999995</v>
      </c>
      <c r="E21" s="80">
        <f t="shared" si="1"/>
        <v>1.0920325967773498E-2</v>
      </c>
      <c r="F21" s="112" t="s">
        <v>135</v>
      </c>
      <c r="G21" s="190">
        <v>232937.965</v>
      </c>
      <c r="H21" s="190"/>
    </row>
    <row r="22" spans="1:11" ht="15" customHeight="1" x14ac:dyDescent="0.25">
      <c r="A22" s="164"/>
      <c r="B22" s="169" t="s">
        <v>46</v>
      </c>
      <c r="C22" s="177"/>
      <c r="D22" s="173"/>
      <c r="E22" s="80">
        <f t="shared" si="1"/>
        <v>0</v>
      </c>
      <c r="G22" s="68">
        <f>+SUM(G14:G20)</f>
        <v>1420724.54</v>
      </c>
      <c r="H22" s="68">
        <f>+SUM(H14:H20)</f>
        <v>1409126.9419999998</v>
      </c>
    </row>
    <row r="23" spans="1:11" ht="15" customHeight="1" x14ac:dyDescent="0.25">
      <c r="A23" s="164"/>
      <c r="B23" s="169" t="s">
        <v>40</v>
      </c>
      <c r="C23" s="177"/>
      <c r="D23" s="173">
        <v>389.96</v>
      </c>
      <c r="E23" s="80">
        <f t="shared" si="1"/>
        <v>6.4288803055449179E-2</v>
      </c>
      <c r="F23" s="163"/>
    </row>
    <row r="24" spans="1:11" ht="15" customHeight="1" thickBot="1" x14ac:dyDescent="0.3">
      <c r="A24" s="164"/>
      <c r="B24" s="169" t="s">
        <v>9</v>
      </c>
      <c r="C24" s="177"/>
      <c r="D24" s="173">
        <v>249.43</v>
      </c>
      <c r="E24" s="80">
        <f t="shared" si="1"/>
        <v>4.1121028172429706E-2</v>
      </c>
      <c r="F24" s="179"/>
    </row>
    <row r="25" spans="1:11" ht="15" customHeight="1" thickBot="1" x14ac:dyDescent="0.3">
      <c r="B25" s="178" t="s">
        <v>0</v>
      </c>
      <c r="C25" s="170"/>
      <c r="D25" s="171">
        <f>SUM(D5:D24)</f>
        <v>6065.7529999999997</v>
      </c>
      <c r="E25" s="80">
        <f t="shared" si="1"/>
        <v>1</v>
      </c>
      <c r="F25" s="179"/>
    </row>
    <row r="26" spans="1:11" ht="15" customHeight="1" x14ac:dyDescent="0.25">
      <c r="B26" s="166" t="s">
        <v>1</v>
      </c>
      <c r="C26" s="167"/>
      <c r="D26" s="233">
        <v>22843.074000000001</v>
      </c>
      <c r="E26" s="57">
        <f>+D26/$E$2</f>
        <v>9.9493773764879598E-2</v>
      </c>
      <c r="F26" s="163"/>
      <c r="G26" s="163"/>
      <c r="H26" s="163"/>
      <c r="J26" s="163"/>
    </row>
    <row r="27" spans="1:11" x14ac:dyDescent="0.25">
      <c r="D27" s="193">
        <f>+(E2/31)*3</f>
        <v>22218.677419354837</v>
      </c>
      <c r="E27" s="98">
        <f>+D27/E2</f>
        <v>9.6774193548387094E-2</v>
      </c>
    </row>
    <row r="28" spans="1:11" x14ac:dyDescent="0.25">
      <c r="D28" s="138">
        <f>+D26-D27</f>
        <v>624.39658064516334</v>
      </c>
      <c r="E28" s="99">
        <f>E26-E27</f>
        <v>2.7195802164925037E-3</v>
      </c>
    </row>
    <row r="30" spans="1:11" x14ac:dyDescent="0.25">
      <c r="B30" s="66" t="s">
        <v>60</v>
      </c>
      <c r="D30" s="109" t="s">
        <v>105</v>
      </c>
      <c r="E30" s="109" t="s">
        <v>80</v>
      </c>
      <c r="G30" s="163"/>
      <c r="H30" s="237" t="s">
        <v>157</v>
      </c>
      <c r="I30" s="237" t="s">
        <v>92</v>
      </c>
      <c r="J30" s="71"/>
    </row>
    <row r="31" spans="1:11" x14ac:dyDescent="0.25">
      <c r="B31" s="162" t="s">
        <v>61</v>
      </c>
      <c r="C31" s="162">
        <v>940</v>
      </c>
      <c r="D31" s="108">
        <v>2142</v>
      </c>
      <c r="E31" s="57">
        <f>+C31/D31</f>
        <v>0.4388422035480859</v>
      </c>
      <c r="G31" s="86" t="s">
        <v>86</v>
      </c>
      <c r="H31" s="87">
        <v>5055</v>
      </c>
      <c r="I31" s="88">
        <v>126.375</v>
      </c>
      <c r="J31" s="228"/>
      <c r="K31" s="229"/>
    </row>
    <row r="32" spans="1:11" x14ac:dyDescent="0.25">
      <c r="B32" s="162" t="s">
        <v>62</v>
      </c>
      <c r="C32" s="162">
        <v>1510</v>
      </c>
      <c r="D32" s="108">
        <v>1890</v>
      </c>
      <c r="E32" s="57">
        <f>+C32/D32</f>
        <v>0.79894179894179895</v>
      </c>
      <c r="G32" s="86" t="s">
        <v>104</v>
      </c>
      <c r="H32" s="87">
        <v>14</v>
      </c>
      <c r="I32" s="88">
        <v>0.35000000000000003</v>
      </c>
      <c r="J32" s="228"/>
      <c r="K32" s="229"/>
    </row>
    <row r="33" spans="1:11" x14ac:dyDescent="0.25">
      <c r="B33" s="162" t="s">
        <v>63</v>
      </c>
      <c r="C33" s="67">
        <v>1250</v>
      </c>
      <c r="D33" s="108">
        <v>3006</v>
      </c>
      <c r="E33" s="57">
        <f>+C33/D33</f>
        <v>0.41583499667332002</v>
      </c>
      <c r="G33" s="89" t="s">
        <v>87</v>
      </c>
      <c r="H33" s="87">
        <v>123</v>
      </c>
      <c r="I33" s="88">
        <v>184.5</v>
      </c>
      <c r="J33" s="240">
        <v>45871</v>
      </c>
      <c r="K33" s="241">
        <v>48</v>
      </c>
    </row>
    <row r="34" spans="1:11" ht="45" x14ac:dyDescent="0.25">
      <c r="C34" s="162">
        <f>+SUM(C31:C33)</f>
        <v>3700</v>
      </c>
      <c r="D34" s="110">
        <f>+SUM(D31:D33)</f>
        <v>7038</v>
      </c>
      <c r="E34" s="57">
        <f>+C34/D34</f>
        <v>0.52571753339016769</v>
      </c>
      <c r="G34" s="89" t="s">
        <v>91</v>
      </c>
      <c r="H34" s="87">
        <v>106</v>
      </c>
      <c r="I34" s="88">
        <v>159</v>
      </c>
      <c r="J34" s="230" t="s">
        <v>156</v>
      </c>
    </row>
    <row r="35" spans="1:11" ht="15" customHeight="1" x14ac:dyDescent="0.25">
      <c r="G35" s="231" t="s">
        <v>123</v>
      </c>
      <c r="H35" s="138">
        <v>231</v>
      </c>
      <c r="I35" s="232">
        <v>346.5</v>
      </c>
      <c r="J35" s="230"/>
    </row>
    <row r="36" spans="1:11" ht="15" customHeight="1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  <c r="J36" s="218"/>
    </row>
    <row r="37" spans="1:11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224" t="s">
        <v>152</v>
      </c>
    </row>
    <row r="38" spans="1:11" x14ac:dyDescent="0.25">
      <c r="B38" s="73">
        <v>3</v>
      </c>
      <c r="C38" s="74">
        <v>1</v>
      </c>
      <c r="D38" s="74">
        <v>4</v>
      </c>
      <c r="E38" s="75">
        <f>+SUM(B38:D38)</f>
        <v>8</v>
      </c>
      <c r="J38" s="218"/>
    </row>
    <row r="39" spans="1:11" x14ac:dyDescent="0.25">
      <c r="E39" s="198" t="s">
        <v>76</v>
      </c>
      <c r="F39" s="198" t="s">
        <v>137</v>
      </c>
      <c r="H39" s="144" t="s">
        <v>124</v>
      </c>
      <c r="I39" s="220" t="s">
        <v>148</v>
      </c>
      <c r="J39" s="218" t="s">
        <v>146</v>
      </c>
    </row>
    <row r="40" spans="1:11" x14ac:dyDescent="0.25">
      <c r="D40" s="162"/>
      <c r="G40" s="71" t="s">
        <v>90</v>
      </c>
      <c r="H40" s="144" t="s">
        <v>120</v>
      </c>
      <c r="I40" s="145">
        <v>0</v>
      </c>
      <c r="J40" s="218"/>
    </row>
    <row r="41" spans="1:11" x14ac:dyDescent="0.25">
      <c r="A41" s="207" t="s">
        <v>70</v>
      </c>
      <c r="B41" s="199">
        <v>0</v>
      </c>
      <c r="C41" s="199">
        <v>0</v>
      </c>
      <c r="D41" s="200">
        <v>2400</v>
      </c>
      <c r="E41" s="201">
        <f t="shared" ref="E41:E46" si="3">+C41/D41</f>
        <v>0</v>
      </c>
      <c r="F41" s="201">
        <f t="shared" ref="F41:F46" si="4">+B41/24</f>
        <v>0</v>
      </c>
      <c r="G41" s="202">
        <v>7</v>
      </c>
      <c r="H41" s="144" t="s">
        <v>121</v>
      </c>
      <c r="I41" s="220" t="s">
        <v>149</v>
      </c>
      <c r="J41" s="218" t="s">
        <v>146</v>
      </c>
    </row>
    <row r="42" spans="1:11" x14ac:dyDescent="0.25">
      <c r="A42" s="207" t="s">
        <v>71</v>
      </c>
      <c r="B42" s="199">
        <v>13.71</v>
      </c>
      <c r="C42" s="199">
        <v>1582</v>
      </c>
      <c r="D42" s="200">
        <v>3600</v>
      </c>
      <c r="E42" s="201">
        <f t="shared" si="3"/>
        <v>0.43944444444444447</v>
      </c>
      <c r="F42" s="201">
        <f t="shared" si="4"/>
        <v>0.57125000000000004</v>
      </c>
      <c r="G42" s="202">
        <v>12</v>
      </c>
      <c r="H42" s="71"/>
    </row>
    <row r="43" spans="1:11" x14ac:dyDescent="0.25">
      <c r="A43" s="207" t="s">
        <v>72</v>
      </c>
      <c r="B43" s="199">
        <v>8.81</v>
      </c>
      <c r="C43" s="199">
        <v>1362</v>
      </c>
      <c r="D43" s="200">
        <v>3900</v>
      </c>
      <c r="E43" s="201">
        <f t="shared" si="3"/>
        <v>0.34923076923076923</v>
      </c>
      <c r="F43" s="201">
        <f t="shared" si="4"/>
        <v>0.36708333333333337</v>
      </c>
      <c r="G43" s="202">
        <v>12</v>
      </c>
      <c r="H43" s="71"/>
    </row>
    <row r="44" spans="1:11" x14ac:dyDescent="0.25">
      <c r="A44" s="207" t="s">
        <v>73</v>
      </c>
      <c r="B44" s="199">
        <v>4.82</v>
      </c>
      <c r="C44" s="199">
        <v>2765</v>
      </c>
      <c r="D44" s="200">
        <v>3900</v>
      </c>
      <c r="E44" s="201">
        <f t="shared" si="3"/>
        <v>0.70897435897435901</v>
      </c>
      <c r="F44" s="201">
        <f t="shared" si="4"/>
        <v>0.20083333333333334</v>
      </c>
      <c r="G44" s="202">
        <v>12</v>
      </c>
      <c r="H44" s="71"/>
    </row>
    <row r="45" spans="1:11" x14ac:dyDescent="0.25">
      <c r="A45" s="207" t="s">
        <v>74</v>
      </c>
      <c r="B45" s="199">
        <v>7.5</v>
      </c>
      <c r="C45" s="199">
        <v>2634</v>
      </c>
      <c r="D45" s="200">
        <v>3900</v>
      </c>
      <c r="E45" s="201">
        <f t="shared" si="3"/>
        <v>0.67538461538461536</v>
      </c>
      <c r="F45" s="201">
        <f t="shared" si="4"/>
        <v>0.3125</v>
      </c>
      <c r="G45" s="202">
        <v>12</v>
      </c>
      <c r="H45" s="71"/>
    </row>
    <row r="46" spans="1:11" x14ac:dyDescent="0.25">
      <c r="A46" s="207" t="s">
        <v>75</v>
      </c>
      <c r="B46" s="203">
        <v>8.66</v>
      </c>
      <c r="C46" s="204">
        <v>2937</v>
      </c>
      <c r="D46" s="205">
        <v>4300</v>
      </c>
      <c r="E46" s="206">
        <f t="shared" si="3"/>
        <v>0.68302325581395351</v>
      </c>
      <c r="F46" s="201">
        <f t="shared" si="4"/>
        <v>0.36083333333333334</v>
      </c>
      <c r="G46" s="202">
        <v>16</v>
      </c>
      <c r="H46" s="71"/>
    </row>
    <row r="47" spans="1:11" x14ac:dyDescent="0.25">
      <c r="C47" s="71" t="s">
        <v>83</v>
      </c>
      <c r="D47" s="72" t="s">
        <v>79</v>
      </c>
      <c r="H47" s="71"/>
    </row>
    <row r="48" spans="1:11" x14ac:dyDescent="0.25">
      <c r="B48" s="162" t="s">
        <v>78</v>
      </c>
      <c r="H48" s="71"/>
    </row>
    <row r="49" spans="3:8" x14ac:dyDescent="0.25">
      <c r="C49" s="71">
        <v>1</v>
      </c>
      <c r="D49" s="225" t="s">
        <v>153</v>
      </c>
      <c r="H49" s="71"/>
    </row>
    <row r="50" spans="3:8" x14ac:dyDescent="0.25">
      <c r="C50" s="71">
        <v>2</v>
      </c>
      <c r="D50" s="225" t="s">
        <v>153</v>
      </c>
      <c r="H50" s="71"/>
    </row>
    <row r="51" spans="3:8" x14ac:dyDescent="0.25">
      <c r="C51" s="71">
        <v>3</v>
      </c>
      <c r="D51" s="225" t="s">
        <v>154</v>
      </c>
      <c r="H51" s="71"/>
    </row>
    <row r="52" spans="3:8" x14ac:dyDescent="0.25">
      <c r="C52" s="71">
        <v>4</v>
      </c>
      <c r="D52" s="225" t="s">
        <v>154</v>
      </c>
      <c r="H52" s="71"/>
    </row>
    <row r="53" spans="3:8" x14ac:dyDescent="0.25">
      <c r="C53" s="71">
        <v>5</v>
      </c>
      <c r="D53" s="108">
        <v>5</v>
      </c>
    </row>
    <row r="54" spans="3:8" x14ac:dyDescent="0.25">
      <c r="C54" s="71">
        <v>6</v>
      </c>
      <c r="D54" s="108">
        <v>5</v>
      </c>
    </row>
    <row r="55" spans="3:8" x14ac:dyDescent="0.25">
      <c r="C55" s="71">
        <v>7</v>
      </c>
      <c r="D55" s="225" t="s">
        <v>153</v>
      </c>
    </row>
    <row r="56" spans="3:8" x14ac:dyDescent="0.25">
      <c r="C56" s="71">
        <v>8</v>
      </c>
      <c r="D56" s="225" t="s">
        <v>153</v>
      </c>
    </row>
  </sheetData>
  <protectedRanges>
    <protectedRange password="D554" sqref="I39:I41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16" workbookViewId="0">
      <selection activeCell="A27" sqref="A27:K5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5" style="162" customWidth="1"/>
    <col min="6" max="7" width="14.28515625" style="162" customWidth="1"/>
    <col min="8" max="8" width="11.85546875" style="162" bestFit="1" customWidth="1"/>
    <col min="9" max="10" width="11.42578125" style="162"/>
    <col min="11" max="11" width="3" style="162" bestFit="1" customWidth="1"/>
    <col min="12" max="16384" width="11.42578125" style="162"/>
  </cols>
  <sheetData>
    <row r="1" spans="1:10" ht="15" customHeight="1" x14ac:dyDescent="0.25">
      <c r="A1" s="161"/>
      <c r="B1" s="518">
        <v>45873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38"/>
      <c r="C4" s="238"/>
      <c r="D4" s="165">
        <f>D25</f>
        <v>6167.3719999999994</v>
      </c>
      <c r="F4" s="58" t="s">
        <v>51</v>
      </c>
      <c r="G4" s="59">
        <v>45873</v>
      </c>
      <c r="H4" s="58">
        <v>4383</v>
      </c>
      <c r="I4" s="141">
        <v>6167.3719999999994</v>
      </c>
      <c r="J4" s="60">
        <f t="shared" ref="J4:J11" si="0">+I4/H4</f>
        <v>1.4071120237280401</v>
      </c>
    </row>
    <row r="5" spans="1:10" ht="15" customHeight="1" x14ac:dyDescent="0.25">
      <c r="A5" s="164"/>
      <c r="B5" s="168" t="s">
        <v>6</v>
      </c>
      <c r="C5" s="176">
        <v>2990</v>
      </c>
      <c r="D5" s="172">
        <v>127.44199999999999</v>
      </c>
      <c r="E5" s="80">
        <f>+D5/$D$4</f>
        <v>2.06639067661234E-2</v>
      </c>
      <c r="F5" s="58" t="s">
        <v>52</v>
      </c>
      <c r="G5" s="59">
        <v>45874</v>
      </c>
      <c r="H5" s="58">
        <v>6443</v>
      </c>
      <c r="I5" s="141"/>
      <c r="J5" s="60">
        <f t="shared" si="0"/>
        <v>0</v>
      </c>
    </row>
    <row r="6" spans="1:10" ht="15" customHeight="1" x14ac:dyDescent="0.25">
      <c r="A6" s="164"/>
      <c r="B6" s="169" t="s">
        <v>10</v>
      </c>
      <c r="C6" s="177">
        <v>16310</v>
      </c>
      <c r="D6" s="173">
        <v>696.18600000000004</v>
      </c>
      <c r="E6" s="80">
        <f t="shared" ref="E6:E25" si="1">+D6/$D$4</f>
        <v>0.11288211575367922</v>
      </c>
      <c r="F6" s="58" t="s">
        <v>53</v>
      </c>
      <c r="G6" s="59">
        <v>45875</v>
      </c>
      <c r="H6" s="58">
        <v>5799.0000000000009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10825</v>
      </c>
      <c r="D7" s="173">
        <v>461.21199999999999</v>
      </c>
      <c r="E7" s="80">
        <f t="shared" si="1"/>
        <v>7.4782581624717959E-2</v>
      </c>
      <c r="F7" s="58" t="s">
        <v>54</v>
      </c>
      <c r="G7" s="59">
        <v>45876</v>
      </c>
      <c r="H7" s="58">
        <v>7375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/>
      <c r="D8" s="173"/>
      <c r="E8" s="80">
        <f t="shared" si="1"/>
        <v>0</v>
      </c>
      <c r="F8" s="58" t="s">
        <v>55</v>
      </c>
      <c r="G8" s="59">
        <v>45877</v>
      </c>
      <c r="H8" s="58">
        <v>9602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26498</v>
      </c>
      <c r="D9" s="173">
        <v>1129.8019999999999</v>
      </c>
      <c r="E9" s="191">
        <f t="shared" si="1"/>
        <v>0.18319018213916721</v>
      </c>
      <c r="F9" s="58" t="s">
        <v>56</v>
      </c>
      <c r="G9" s="59">
        <v>45878</v>
      </c>
      <c r="H9" s="58">
        <v>8049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37002</v>
      </c>
      <c r="D10" s="173">
        <v>1578.154</v>
      </c>
      <c r="E10" s="191">
        <f t="shared" si="1"/>
        <v>0.25588759685648932</v>
      </c>
      <c r="F10" s="58" t="s">
        <v>57</v>
      </c>
      <c r="G10" s="59">
        <v>45879</v>
      </c>
      <c r="H10" s="58">
        <v>5713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6915</v>
      </c>
      <c r="D11" s="173">
        <v>295.476</v>
      </c>
      <c r="E11" s="80">
        <f t="shared" si="1"/>
        <v>4.7909547210708225E-2</v>
      </c>
      <c r="H11" s="139">
        <f>+SUM(H4:H10)</f>
        <v>47364</v>
      </c>
      <c r="I11" s="142">
        <f>+SUM(I4:I10)</f>
        <v>6167.3719999999994</v>
      </c>
      <c r="J11" s="140">
        <f t="shared" si="0"/>
        <v>0.13021222869690058</v>
      </c>
    </row>
    <row r="12" spans="1:10" ht="15" customHeight="1" x14ac:dyDescent="0.25">
      <c r="A12" s="164"/>
      <c r="B12" s="169" t="s">
        <v>158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95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20</v>
      </c>
      <c r="D14" s="173">
        <v>30.2</v>
      </c>
      <c r="E14" s="80">
        <f t="shared" si="1"/>
        <v>4.8967372164351371E-3</v>
      </c>
      <c r="F14" s="112" t="s">
        <v>108</v>
      </c>
      <c r="G14" s="190">
        <v>204007.80300000001</v>
      </c>
      <c r="H14" s="190">
        <v>190629.128</v>
      </c>
      <c r="I14" s="57">
        <f t="shared" ref="I14:I20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241</v>
      </c>
      <c r="D15" s="173">
        <v>363.11</v>
      </c>
      <c r="E15" s="80">
        <f t="shared" si="1"/>
        <v>5.88759685648928E-2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409</v>
      </c>
      <c r="D16" s="173">
        <v>617.16</v>
      </c>
      <c r="E16" s="80">
        <f t="shared" si="1"/>
        <v>0.1000685543210301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84</v>
      </c>
      <c r="C17" s="177">
        <v>43</v>
      </c>
      <c r="D17" s="173">
        <v>64.790000000000006</v>
      </c>
      <c r="E17" s="80">
        <f t="shared" si="1"/>
        <v>1.050528490903419E-2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49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41</v>
      </c>
      <c r="C19" s="177">
        <v>105</v>
      </c>
      <c r="D19" s="173">
        <v>158.61000000000001</v>
      </c>
      <c r="E19" s="80">
        <f t="shared" si="1"/>
        <v>2.5717599003270766E-2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239">
        <v>-14526.736000000266</v>
      </c>
    </row>
    <row r="20" spans="1:11" ht="15" customHeight="1" x14ac:dyDescent="0.25">
      <c r="A20" s="164"/>
      <c r="B20" s="169" t="s">
        <v>45</v>
      </c>
      <c r="C20" s="177">
        <v>45</v>
      </c>
      <c r="D20" s="173">
        <v>67.760000000000005</v>
      </c>
      <c r="E20" s="80">
        <f t="shared" si="1"/>
        <v>1.0986851449855792E-2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239">
        <f>+H22-G22</f>
        <v>-11597.598000000231</v>
      </c>
    </row>
    <row r="21" spans="1:11" ht="15" customHeight="1" x14ac:dyDescent="0.25">
      <c r="A21" s="164"/>
      <c r="B21" s="169" t="s">
        <v>88</v>
      </c>
      <c r="C21" s="177">
        <v>40</v>
      </c>
      <c r="D21" s="173">
        <v>59.83</v>
      </c>
      <c r="E21" s="80">
        <f t="shared" si="1"/>
        <v>9.7010525715004719E-3</v>
      </c>
      <c r="F21" s="112" t="s">
        <v>135</v>
      </c>
      <c r="G21" s="190">
        <v>232937.965</v>
      </c>
      <c r="H21" s="190"/>
    </row>
    <row r="22" spans="1:11" ht="15" customHeight="1" x14ac:dyDescent="0.25">
      <c r="A22" s="164"/>
      <c r="B22" s="169" t="s">
        <v>46</v>
      </c>
      <c r="C22" s="177"/>
      <c r="D22" s="173"/>
      <c r="E22" s="80">
        <f t="shared" si="1"/>
        <v>0</v>
      </c>
      <c r="G22" s="68">
        <f>+SUM(G14:G20)</f>
        <v>1420724.54</v>
      </c>
      <c r="H22" s="68">
        <f>+SUM(H14:H20)</f>
        <v>1409126.9419999998</v>
      </c>
    </row>
    <row r="23" spans="1:11" ht="15" customHeight="1" x14ac:dyDescent="0.25">
      <c r="A23" s="164"/>
      <c r="B23" s="169" t="s">
        <v>40</v>
      </c>
      <c r="C23" s="177"/>
      <c r="D23" s="173">
        <v>365.89</v>
      </c>
      <c r="E23" s="80">
        <f t="shared" si="1"/>
        <v>5.9326727818591128E-2</v>
      </c>
      <c r="F23" s="163"/>
    </row>
    <row r="24" spans="1:11" ht="15" customHeight="1" thickBot="1" x14ac:dyDescent="0.3">
      <c r="A24" s="164"/>
      <c r="B24" s="169" t="s">
        <v>9</v>
      </c>
      <c r="C24" s="177"/>
      <c r="D24" s="173">
        <v>151.75</v>
      </c>
      <c r="E24" s="80">
        <f t="shared" si="1"/>
        <v>2.4605293794504372E-2</v>
      </c>
      <c r="F24" s="179"/>
    </row>
    <row r="25" spans="1:11" ht="15" customHeight="1" thickBot="1" x14ac:dyDescent="0.3">
      <c r="B25" s="178" t="s">
        <v>0</v>
      </c>
      <c r="C25" s="170"/>
      <c r="D25" s="171">
        <f>SUM(D5:D24)</f>
        <v>6167.3719999999994</v>
      </c>
      <c r="E25" s="80">
        <f t="shared" si="1"/>
        <v>1</v>
      </c>
      <c r="F25" s="179"/>
    </row>
    <row r="26" spans="1:11" ht="15" customHeight="1" x14ac:dyDescent="0.25">
      <c r="B26" s="166" t="s">
        <v>1</v>
      </c>
      <c r="C26" s="167"/>
      <c r="D26" s="233">
        <v>29010.446</v>
      </c>
      <c r="E26" s="57">
        <f>+D26/$E$2</f>
        <v>0.12635596904086796</v>
      </c>
      <c r="F26" s="163"/>
      <c r="G26" s="163"/>
      <c r="H26" s="163"/>
      <c r="J26" s="163"/>
    </row>
    <row r="27" spans="1:11" x14ac:dyDescent="0.25">
      <c r="D27" s="193">
        <f>+(E2/31)*4</f>
        <v>29624.903225806451</v>
      </c>
      <c r="E27" s="98">
        <f>+D27/E2</f>
        <v>0.12903225806451613</v>
      </c>
    </row>
    <row r="28" spans="1:11" x14ac:dyDescent="0.25">
      <c r="D28" s="138">
        <f>+D26-D27</f>
        <v>-614.45722580645088</v>
      </c>
      <c r="E28" s="99">
        <f>E26-E27</f>
        <v>-2.6762890236481651E-3</v>
      </c>
    </row>
    <row r="30" spans="1:11" x14ac:dyDescent="0.25">
      <c r="B30" s="66" t="s">
        <v>60</v>
      </c>
      <c r="D30" s="109" t="s">
        <v>105</v>
      </c>
      <c r="E30" s="109" t="s">
        <v>80</v>
      </c>
      <c r="G30" s="163"/>
      <c r="H30" s="237" t="s">
        <v>157</v>
      </c>
      <c r="I30" s="237" t="s">
        <v>92</v>
      </c>
      <c r="J30" s="71"/>
    </row>
    <row r="31" spans="1:11" x14ac:dyDescent="0.25">
      <c r="B31" s="162" t="s">
        <v>61</v>
      </c>
      <c r="C31" s="162">
        <v>851</v>
      </c>
      <c r="D31" s="108">
        <v>2142</v>
      </c>
      <c r="E31" s="57">
        <f>+C31/D31</f>
        <v>0.39729225023342668</v>
      </c>
      <c r="G31" s="86" t="s">
        <v>86</v>
      </c>
      <c r="H31" s="87">
        <v>7267</v>
      </c>
      <c r="I31" s="88">
        <v>181.67500000000001</v>
      </c>
      <c r="J31" s="228"/>
      <c r="K31" s="229"/>
    </row>
    <row r="32" spans="1:11" x14ac:dyDescent="0.25">
      <c r="B32" s="162" t="s">
        <v>62</v>
      </c>
      <c r="C32" s="162">
        <v>1575</v>
      </c>
      <c r="D32" s="108">
        <v>1890</v>
      </c>
      <c r="E32" s="57">
        <f>+C32/D32</f>
        <v>0.83333333333333337</v>
      </c>
      <c r="G32" s="86" t="s">
        <v>104</v>
      </c>
      <c r="H32" s="87">
        <v>14</v>
      </c>
      <c r="I32" s="88">
        <v>0.35000000000000003</v>
      </c>
      <c r="J32" s="228"/>
      <c r="K32" s="229"/>
    </row>
    <row r="33" spans="1:11" x14ac:dyDescent="0.25">
      <c r="B33" s="162" t="s">
        <v>63</v>
      </c>
      <c r="C33" s="67">
        <v>1774</v>
      </c>
      <c r="D33" s="108">
        <v>3006</v>
      </c>
      <c r="E33" s="57">
        <f>+C33/D33</f>
        <v>0.59015302727877583</v>
      </c>
      <c r="G33" s="89" t="s">
        <v>87</v>
      </c>
      <c r="H33" s="87">
        <v>103</v>
      </c>
      <c r="I33" s="88">
        <v>184.5</v>
      </c>
      <c r="J33" s="240">
        <v>45871</v>
      </c>
      <c r="K33" s="241">
        <v>48</v>
      </c>
    </row>
    <row r="34" spans="1:11" ht="45" x14ac:dyDescent="0.25">
      <c r="C34" s="162">
        <f>+SUM(C31:C33)</f>
        <v>4200</v>
      </c>
      <c r="D34" s="110">
        <f>+SUM(D31:D33)</f>
        <v>7038</v>
      </c>
      <c r="E34" s="57">
        <f>+C34/D34</f>
        <v>0.5967604433077579</v>
      </c>
      <c r="G34" s="89" t="s">
        <v>91</v>
      </c>
      <c r="H34" s="87">
        <v>106</v>
      </c>
      <c r="I34" s="88">
        <v>159</v>
      </c>
      <c r="J34" s="230" t="s">
        <v>156</v>
      </c>
    </row>
    <row r="35" spans="1:11" ht="15" customHeight="1" x14ac:dyDescent="0.25">
      <c r="G35" s="231" t="s">
        <v>123</v>
      </c>
      <c r="H35" s="138">
        <v>231</v>
      </c>
      <c r="I35" s="232">
        <v>346.5</v>
      </c>
      <c r="J35" s="230"/>
    </row>
    <row r="36" spans="1:11" ht="15" customHeight="1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  <c r="J36" s="218"/>
    </row>
    <row r="37" spans="1:11" ht="15" customHeight="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224" t="s">
        <v>152</v>
      </c>
    </row>
    <row r="38" spans="1:11" x14ac:dyDescent="0.25">
      <c r="B38" s="73">
        <v>18</v>
      </c>
      <c r="C38" s="74">
        <v>6</v>
      </c>
      <c r="D38" s="74">
        <v>10</v>
      </c>
      <c r="E38" s="75">
        <f>+SUM(B38:D38)</f>
        <v>34</v>
      </c>
      <c r="J38" s="218"/>
    </row>
    <row r="39" spans="1:11" x14ac:dyDescent="0.25">
      <c r="E39" s="198" t="s">
        <v>76</v>
      </c>
      <c r="F39" s="198" t="s">
        <v>137</v>
      </c>
      <c r="H39" s="144" t="s">
        <v>124</v>
      </c>
      <c r="I39" s="220" t="s">
        <v>148</v>
      </c>
      <c r="J39" s="218" t="s">
        <v>146</v>
      </c>
    </row>
    <row r="40" spans="1:11" x14ac:dyDescent="0.25">
      <c r="D40" s="162"/>
      <c r="G40" s="71" t="s">
        <v>90</v>
      </c>
      <c r="H40" s="144" t="s">
        <v>120</v>
      </c>
      <c r="I40" s="145">
        <v>0</v>
      </c>
      <c r="J40" s="218"/>
    </row>
    <row r="41" spans="1:11" x14ac:dyDescent="0.25">
      <c r="A41" s="207" t="s">
        <v>70</v>
      </c>
      <c r="B41" s="199">
        <v>0</v>
      </c>
      <c r="C41" s="199">
        <v>0</v>
      </c>
      <c r="D41" s="200">
        <v>2400</v>
      </c>
      <c r="E41" s="201">
        <f t="shared" ref="E41:E46" si="3">+C41/D41</f>
        <v>0</v>
      </c>
      <c r="F41" s="201">
        <f t="shared" ref="F41:F46" si="4">+B41/24</f>
        <v>0</v>
      </c>
      <c r="G41" s="202">
        <v>7</v>
      </c>
      <c r="H41" s="144" t="s">
        <v>121</v>
      </c>
      <c r="I41" s="220" t="s">
        <v>149</v>
      </c>
      <c r="J41" s="218" t="s">
        <v>146</v>
      </c>
    </row>
    <row r="42" spans="1:11" x14ac:dyDescent="0.25">
      <c r="A42" s="207" t="s">
        <v>71</v>
      </c>
      <c r="B42" s="199">
        <v>10.84</v>
      </c>
      <c r="C42" s="199">
        <v>1652</v>
      </c>
      <c r="D42" s="200">
        <v>3600</v>
      </c>
      <c r="E42" s="201">
        <f t="shared" si="3"/>
        <v>0.4588888888888889</v>
      </c>
      <c r="F42" s="201">
        <f t="shared" si="4"/>
        <v>0.45166666666666666</v>
      </c>
      <c r="G42" s="202">
        <v>12</v>
      </c>
      <c r="H42" s="71"/>
    </row>
    <row r="43" spans="1:11" x14ac:dyDescent="0.25">
      <c r="A43" s="207" t="s">
        <v>72</v>
      </c>
      <c r="B43" s="199">
        <v>5.52</v>
      </c>
      <c r="C43" s="199">
        <v>1791</v>
      </c>
      <c r="D43" s="200">
        <v>3900</v>
      </c>
      <c r="E43" s="201">
        <f t="shared" si="3"/>
        <v>0.45923076923076922</v>
      </c>
      <c r="F43" s="201">
        <f t="shared" si="4"/>
        <v>0.22999999999999998</v>
      </c>
      <c r="G43" s="202">
        <v>12</v>
      </c>
      <c r="H43" s="71"/>
    </row>
    <row r="44" spans="1:11" x14ac:dyDescent="0.25">
      <c r="A44" s="207" t="s">
        <v>73</v>
      </c>
      <c r="B44" s="199">
        <v>7.86</v>
      </c>
      <c r="C44" s="199">
        <v>2606</v>
      </c>
      <c r="D44" s="200">
        <v>3900</v>
      </c>
      <c r="E44" s="201">
        <f t="shared" si="3"/>
        <v>0.66820512820512823</v>
      </c>
      <c r="F44" s="201">
        <f t="shared" si="4"/>
        <v>0.32750000000000001</v>
      </c>
      <c r="G44" s="202">
        <v>12</v>
      </c>
      <c r="H44" s="71"/>
    </row>
    <row r="45" spans="1:11" x14ac:dyDescent="0.25">
      <c r="A45" s="207" t="s">
        <v>74</v>
      </c>
      <c r="B45" s="199">
        <v>15.56</v>
      </c>
      <c r="C45" s="199">
        <v>2856</v>
      </c>
      <c r="D45" s="200">
        <v>3900</v>
      </c>
      <c r="E45" s="201">
        <f t="shared" si="3"/>
        <v>0.73230769230769233</v>
      </c>
      <c r="F45" s="201">
        <f t="shared" si="4"/>
        <v>0.64833333333333332</v>
      </c>
      <c r="G45" s="202">
        <v>12</v>
      </c>
      <c r="H45" s="71"/>
    </row>
    <row r="46" spans="1:11" x14ac:dyDescent="0.25">
      <c r="A46" s="207" t="s">
        <v>75</v>
      </c>
      <c r="B46" s="203">
        <v>10.93</v>
      </c>
      <c r="C46" s="204">
        <v>3092</v>
      </c>
      <c r="D46" s="205">
        <v>4300</v>
      </c>
      <c r="E46" s="206">
        <f t="shared" si="3"/>
        <v>0.71906976744186046</v>
      </c>
      <c r="F46" s="201">
        <f t="shared" si="4"/>
        <v>0.45541666666666664</v>
      </c>
      <c r="G46" s="202">
        <v>16</v>
      </c>
      <c r="H46" s="71"/>
    </row>
    <row r="47" spans="1:11" x14ac:dyDescent="0.25">
      <c r="C47" s="71" t="s">
        <v>83</v>
      </c>
      <c r="D47" s="72" t="s">
        <v>79</v>
      </c>
      <c r="H47" s="71"/>
    </row>
    <row r="48" spans="1:11" x14ac:dyDescent="0.25">
      <c r="B48" s="162" t="s">
        <v>78</v>
      </c>
      <c r="H48" s="71"/>
    </row>
    <row r="49" spans="3:8" x14ac:dyDescent="0.25">
      <c r="C49" s="71">
        <v>1</v>
      </c>
      <c r="D49" s="225" t="s">
        <v>153</v>
      </c>
      <c r="H49" s="71"/>
    </row>
    <row r="50" spans="3:8" x14ac:dyDescent="0.25">
      <c r="C50" s="71">
        <v>2</v>
      </c>
      <c r="D50" s="225" t="s">
        <v>153</v>
      </c>
      <c r="H50" s="71"/>
    </row>
    <row r="51" spans="3:8" x14ac:dyDescent="0.25">
      <c r="C51" s="71">
        <v>3</v>
      </c>
      <c r="D51" s="225" t="s">
        <v>154</v>
      </c>
      <c r="H51" s="71"/>
    </row>
    <row r="52" spans="3:8" x14ac:dyDescent="0.25">
      <c r="C52" s="71">
        <v>4</v>
      </c>
      <c r="D52" s="108">
        <v>1</v>
      </c>
      <c r="H52" s="71"/>
    </row>
    <row r="53" spans="3:8" x14ac:dyDescent="0.25">
      <c r="C53" s="71">
        <v>5</v>
      </c>
      <c r="D53" s="108">
        <v>2</v>
      </c>
    </row>
    <row r="54" spans="3:8" x14ac:dyDescent="0.25">
      <c r="C54" s="71">
        <v>6</v>
      </c>
      <c r="D54" s="108">
        <v>11</v>
      </c>
    </row>
    <row r="55" spans="3:8" x14ac:dyDescent="0.25">
      <c r="C55" s="71">
        <v>7</v>
      </c>
      <c r="D55" s="225" t="s">
        <v>153</v>
      </c>
    </row>
    <row r="56" spans="3:8" x14ac:dyDescent="0.25">
      <c r="C56" s="71">
        <v>8</v>
      </c>
      <c r="D56" s="225" t="s">
        <v>153</v>
      </c>
    </row>
  </sheetData>
  <protectedRanges>
    <protectedRange password="D554" sqref="I39:I41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activeCell="H24" sqref="H24"/>
    </sheetView>
  </sheetViews>
  <sheetFormatPr baseColWidth="10" defaultColWidth="11.42578125" defaultRowHeight="15.75" x14ac:dyDescent="0.25"/>
  <cols>
    <col min="1" max="1" width="2.42578125" style="162" customWidth="1"/>
    <col min="2" max="2" width="43" style="162" customWidth="1"/>
    <col min="3" max="3" width="15.28515625" style="162" customWidth="1"/>
    <col min="4" max="4" width="15.28515625" style="163" customWidth="1"/>
    <col min="5" max="10" width="11.42578125" style="162"/>
    <col min="11" max="11" width="3" style="162" bestFit="1" customWidth="1"/>
    <col min="12" max="12" width="4.28515625" style="162" customWidth="1"/>
    <col min="13" max="16384" width="11.42578125" style="162"/>
  </cols>
  <sheetData>
    <row r="1" spans="1:10" ht="15" customHeight="1" x14ac:dyDescent="0.25">
      <c r="A1" s="161"/>
      <c r="B1" s="518">
        <v>45875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38"/>
      <c r="C4" s="238"/>
      <c r="D4" s="165">
        <f>D25</f>
        <v>7658.751000000002</v>
      </c>
      <c r="F4" s="58" t="s">
        <v>51</v>
      </c>
      <c r="G4" s="59">
        <v>45873</v>
      </c>
      <c r="H4" s="58">
        <v>4383</v>
      </c>
      <c r="I4" s="141">
        <v>6167.3719999999994</v>
      </c>
      <c r="J4" s="60">
        <f t="shared" ref="J4:J11" si="0">+I4/H4</f>
        <v>1.4071120237280401</v>
      </c>
    </row>
    <row r="5" spans="1:10" ht="15" customHeight="1" x14ac:dyDescent="0.25">
      <c r="A5" s="164"/>
      <c r="B5" s="168" t="s">
        <v>6</v>
      </c>
      <c r="C5" s="176">
        <v>3250</v>
      </c>
      <c r="D5" s="172">
        <v>138.51999999999998</v>
      </c>
      <c r="E5" s="80">
        <f>+D5/$D$4</f>
        <v>1.8086500005026922E-2</v>
      </c>
      <c r="F5" s="58" t="s">
        <v>52</v>
      </c>
      <c r="G5" s="59">
        <v>45874</v>
      </c>
      <c r="H5" s="58">
        <v>6443</v>
      </c>
      <c r="I5" s="141">
        <v>8342.9</v>
      </c>
      <c r="J5" s="60">
        <f t="shared" si="0"/>
        <v>1.2948781623467329</v>
      </c>
    </row>
    <row r="6" spans="1:10" ht="15" customHeight="1" x14ac:dyDescent="0.25">
      <c r="A6" s="164"/>
      <c r="B6" s="169" t="s">
        <v>10</v>
      </c>
      <c r="C6" s="177">
        <v>12320</v>
      </c>
      <c r="D6" s="173">
        <v>525.3420000000001</v>
      </c>
      <c r="E6" s="80">
        <f t="shared" ref="E6:E25" si="1">+D6/$D$4</f>
        <v>6.8593691060069711E-2</v>
      </c>
      <c r="F6" s="58" t="s">
        <v>53</v>
      </c>
      <c r="G6" s="59">
        <v>45875</v>
      </c>
      <c r="H6" s="58">
        <v>5799.0000000000009</v>
      </c>
      <c r="I6" s="141">
        <v>7658.75</v>
      </c>
      <c r="J6" s="60">
        <f t="shared" si="0"/>
        <v>1.3207018451457146</v>
      </c>
    </row>
    <row r="7" spans="1:10" ht="15" customHeight="1" x14ac:dyDescent="0.25">
      <c r="A7" s="164"/>
      <c r="B7" s="169" t="s">
        <v>35</v>
      </c>
      <c r="C7" s="177">
        <v>21426</v>
      </c>
      <c r="D7" s="173">
        <v>912.39800000000014</v>
      </c>
      <c r="E7" s="80">
        <f t="shared" si="1"/>
        <v>0.11913143539984521</v>
      </c>
      <c r="F7" s="58" t="s">
        <v>54</v>
      </c>
      <c r="G7" s="59">
        <v>45876</v>
      </c>
      <c r="H7" s="58">
        <v>7375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3206</v>
      </c>
      <c r="D8" s="173">
        <v>136.69999999999999</v>
      </c>
      <c r="E8" s="80">
        <f t="shared" si="1"/>
        <v>1.784886334599466E-2</v>
      </c>
      <c r="F8" s="58" t="s">
        <v>55</v>
      </c>
      <c r="G8" s="59">
        <v>45877</v>
      </c>
      <c r="H8" s="58">
        <v>9602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38118</v>
      </c>
      <c r="D9" s="173">
        <v>1627.373</v>
      </c>
      <c r="E9" s="191">
        <f t="shared" si="1"/>
        <v>0.21248543006555504</v>
      </c>
      <c r="F9" s="58" t="s">
        <v>56</v>
      </c>
      <c r="G9" s="59">
        <v>45878</v>
      </c>
      <c r="H9" s="58">
        <v>8049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44700</v>
      </c>
      <c r="D10" s="173">
        <v>1907.2499999999995</v>
      </c>
      <c r="E10" s="191">
        <f t="shared" si="1"/>
        <v>0.24902885601059482</v>
      </c>
      <c r="F10" s="58" t="s">
        <v>57</v>
      </c>
      <c r="G10" s="59">
        <v>45879</v>
      </c>
      <c r="H10" s="58">
        <v>5713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12215</v>
      </c>
      <c r="D11" s="173">
        <v>521.53800000000001</v>
      </c>
      <c r="E11" s="80">
        <f t="shared" si="1"/>
        <v>6.8097004328773691E-2</v>
      </c>
      <c r="H11" s="139">
        <f>+SUM(H4:H10)</f>
        <v>47364</v>
      </c>
      <c r="I11" s="142">
        <f>+SUM(I4:I10)</f>
        <v>22169.021999999997</v>
      </c>
      <c r="J11" s="140">
        <f t="shared" si="0"/>
        <v>0.46805637192804656</v>
      </c>
    </row>
    <row r="12" spans="1:10" ht="15" customHeight="1" x14ac:dyDescent="0.25">
      <c r="A12" s="164"/>
      <c r="B12" s="169" t="s">
        <v>158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43</v>
      </c>
      <c r="C13" s="177">
        <v>201</v>
      </c>
      <c r="D13" s="173">
        <v>303.52999999999997</v>
      </c>
      <c r="E13" s="80">
        <f t="shared" si="1"/>
        <v>3.9631788525309138E-2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22</v>
      </c>
      <c r="D14" s="173">
        <v>33.22</v>
      </c>
      <c r="E14" s="80">
        <f t="shared" si="1"/>
        <v>4.3375218753031646E-3</v>
      </c>
      <c r="F14" s="112" t="s">
        <v>108</v>
      </c>
      <c r="G14" s="190">
        <v>204007.80300000001</v>
      </c>
      <c r="H14" s="190">
        <v>190629.128</v>
      </c>
      <c r="I14" s="57">
        <f t="shared" ref="I14:I20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20</v>
      </c>
      <c r="D15" s="173">
        <v>30.060000000000002</v>
      </c>
      <c r="E15" s="80">
        <f t="shared" si="1"/>
        <v>3.9249219618185775E-3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68</v>
      </c>
      <c r="D16" s="173">
        <v>102.25</v>
      </c>
      <c r="E16" s="80">
        <f t="shared" si="1"/>
        <v>1.3350740871455408E-2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192</v>
      </c>
      <c r="D17" s="173">
        <v>289.03999999999996</v>
      </c>
      <c r="E17" s="80">
        <f t="shared" si="1"/>
        <v>3.7739835124552278E-2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39</v>
      </c>
      <c r="C18" s="177">
        <v>446</v>
      </c>
      <c r="D18" s="173">
        <v>673.04000000000008</v>
      </c>
      <c r="E18" s="80">
        <f t="shared" si="1"/>
        <v>8.787855878850219E-2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88</v>
      </c>
      <c r="C19" s="177">
        <v>19</v>
      </c>
      <c r="D19" s="173">
        <v>29.69</v>
      </c>
      <c r="E19" s="80">
        <f t="shared" si="1"/>
        <v>3.876611212454876E-3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239">
        <v>-14526.736000000266</v>
      </c>
    </row>
    <row r="20" spans="1:11" ht="15" customHeight="1" x14ac:dyDescent="0.25">
      <c r="A20" s="164"/>
      <c r="B20" s="169" t="s">
        <v>45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239">
        <f>+H22-G22</f>
        <v>-11597.598000000231</v>
      </c>
    </row>
    <row r="21" spans="1:11" ht="15" customHeight="1" x14ac:dyDescent="0.25">
      <c r="A21" s="164"/>
      <c r="B21" s="169" t="s">
        <v>88</v>
      </c>
      <c r="C21" s="177"/>
      <c r="D21" s="173"/>
      <c r="E21" s="80">
        <f t="shared" si="1"/>
        <v>0</v>
      </c>
      <c r="F21" s="112" t="s">
        <v>135</v>
      </c>
      <c r="G21" s="190">
        <v>232937.965</v>
      </c>
      <c r="H21" s="190"/>
    </row>
    <row r="22" spans="1:11" ht="15" customHeight="1" x14ac:dyDescent="0.25">
      <c r="A22" s="164"/>
      <c r="B22" s="169" t="s">
        <v>9</v>
      </c>
      <c r="C22" s="177"/>
      <c r="D22" s="173">
        <v>122.77</v>
      </c>
      <c r="E22" s="80">
        <f t="shared" si="1"/>
        <v>1.6030028917247731E-2</v>
      </c>
      <c r="G22" s="68">
        <f>+SUM(G14:G20)</f>
        <v>1420724.54</v>
      </c>
      <c r="H22" s="68">
        <f>+SUM(H14:H20)</f>
        <v>1409126.9419999998</v>
      </c>
    </row>
    <row r="23" spans="1:11" ht="15" customHeight="1" x14ac:dyDescent="0.25">
      <c r="A23" s="164"/>
      <c r="B23" s="169" t="s">
        <v>46</v>
      </c>
      <c r="C23" s="177"/>
      <c r="D23" s="173">
        <v>30.64</v>
      </c>
      <c r="E23" s="80">
        <f t="shared" si="1"/>
        <v>4.000652325686002E-3</v>
      </c>
      <c r="F23" s="163"/>
    </row>
    <row r="24" spans="1:11" ht="15" customHeight="1" thickBot="1" x14ac:dyDescent="0.3">
      <c r="A24" s="164"/>
      <c r="B24" s="169" t="s">
        <v>40</v>
      </c>
      <c r="C24" s="177"/>
      <c r="D24" s="173">
        <v>275.39</v>
      </c>
      <c r="E24" s="80">
        <f t="shared" si="1"/>
        <v>3.5957560181810309E-2</v>
      </c>
      <c r="F24" s="179"/>
    </row>
    <row r="25" spans="1:11" ht="15" customHeight="1" thickBot="1" x14ac:dyDescent="0.3">
      <c r="B25" s="178" t="s">
        <v>0</v>
      </c>
      <c r="C25" s="170"/>
      <c r="D25" s="171">
        <f>SUM(D5:D24)</f>
        <v>7658.751000000002</v>
      </c>
      <c r="E25" s="80">
        <f t="shared" si="1"/>
        <v>1</v>
      </c>
      <c r="F25" s="179"/>
    </row>
    <row r="26" spans="1:11" ht="15" customHeight="1" x14ac:dyDescent="0.25">
      <c r="B26" s="166" t="s">
        <v>1</v>
      </c>
      <c r="C26" s="167"/>
      <c r="D26" s="233">
        <v>45012.099000000002</v>
      </c>
      <c r="E26" s="57">
        <f>+D26/$E$2</f>
        <v>0.19605170453803034</v>
      </c>
      <c r="F26" s="163"/>
      <c r="G26" s="163"/>
      <c r="H26" s="163"/>
      <c r="J26" s="163"/>
    </row>
    <row r="27" spans="1:11" x14ac:dyDescent="0.25">
      <c r="D27" s="193">
        <f>+(E2/31)*6</f>
        <v>44437.354838709674</v>
      </c>
      <c r="E27" s="98">
        <f>+D27/E2</f>
        <v>0.19354838709677419</v>
      </c>
    </row>
    <row r="28" spans="1:11" x14ac:dyDescent="0.25">
      <c r="D28" s="138">
        <f>+D26-D27</f>
        <v>574.74416129032761</v>
      </c>
      <c r="E28" s="99">
        <f>E26-E27</f>
        <v>2.5033174412561476E-3</v>
      </c>
    </row>
    <row r="30" spans="1:11" x14ac:dyDescent="0.25">
      <c r="B30" s="66" t="s">
        <v>60</v>
      </c>
      <c r="D30" s="109" t="s">
        <v>105</v>
      </c>
      <c r="E30" s="109" t="s">
        <v>80</v>
      </c>
      <c r="G30" s="163"/>
      <c r="H30" s="237" t="s">
        <v>157</v>
      </c>
      <c r="I30" s="237" t="s">
        <v>92</v>
      </c>
      <c r="J30" s="71"/>
    </row>
    <row r="31" spans="1:11" x14ac:dyDescent="0.25">
      <c r="B31" s="162" t="s">
        <v>61</v>
      </c>
      <c r="C31" s="162">
        <v>937</v>
      </c>
      <c r="D31" s="108">
        <v>2142</v>
      </c>
      <c r="E31" s="57">
        <f>+C31/D31</f>
        <v>0.43744164332399627</v>
      </c>
      <c r="G31" s="86" t="s">
        <v>86</v>
      </c>
      <c r="H31" s="87">
        <v>7132</v>
      </c>
      <c r="I31" s="88">
        <v>178.3</v>
      </c>
      <c r="J31" s="228"/>
      <c r="K31" s="229"/>
    </row>
    <row r="32" spans="1:11" x14ac:dyDescent="0.25">
      <c r="B32" s="162" t="s">
        <v>62</v>
      </c>
      <c r="C32" s="162">
        <v>1760</v>
      </c>
      <c r="D32" s="108">
        <v>1890</v>
      </c>
      <c r="E32" s="57">
        <f>+C32/D32</f>
        <v>0.93121693121693117</v>
      </c>
      <c r="G32" s="86" t="s">
        <v>104</v>
      </c>
      <c r="H32" s="87">
        <v>14</v>
      </c>
      <c r="I32" s="88">
        <v>0.35000000000000003</v>
      </c>
      <c r="J32" s="228"/>
      <c r="K32" s="229"/>
    </row>
    <row r="33" spans="1:12" x14ac:dyDescent="0.25">
      <c r="B33" s="162" t="s">
        <v>63</v>
      </c>
      <c r="C33" s="67">
        <v>480</v>
      </c>
      <c r="D33" s="108">
        <v>3006</v>
      </c>
      <c r="E33" s="57">
        <f>+C33/D33</f>
        <v>0.15968063872255489</v>
      </c>
      <c r="G33" s="89" t="s">
        <v>87</v>
      </c>
      <c r="H33" s="87">
        <v>80</v>
      </c>
      <c r="I33" s="88">
        <v>120</v>
      </c>
      <c r="J33" s="240">
        <v>45848</v>
      </c>
      <c r="K33" s="241">
        <v>15</v>
      </c>
      <c r="L33" s="215" t="s">
        <v>159</v>
      </c>
    </row>
    <row r="34" spans="1:12" ht="45" x14ac:dyDescent="0.25">
      <c r="C34" s="162">
        <f>+SUM(C31:C33)</f>
        <v>3177</v>
      </c>
      <c r="D34" s="110">
        <f>+SUM(D31:D33)</f>
        <v>7038</v>
      </c>
      <c r="E34" s="57">
        <f>+C34/D34</f>
        <v>0.45140664961636828</v>
      </c>
      <c r="G34" s="89" t="s">
        <v>91</v>
      </c>
      <c r="H34" s="87">
        <v>106</v>
      </c>
      <c r="I34" s="88">
        <v>159</v>
      </c>
      <c r="J34" s="230" t="s">
        <v>156</v>
      </c>
    </row>
    <row r="35" spans="1:12" x14ac:dyDescent="0.25">
      <c r="G35" s="231" t="s">
        <v>123</v>
      </c>
      <c r="H35" s="138">
        <v>231</v>
      </c>
      <c r="I35" s="232">
        <v>346.5</v>
      </c>
      <c r="J35" s="230"/>
    </row>
    <row r="36" spans="1:12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  <c r="J36" s="218"/>
    </row>
    <row r="37" spans="1:12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224" t="s">
        <v>152</v>
      </c>
    </row>
    <row r="38" spans="1:12" x14ac:dyDescent="0.25">
      <c r="B38" s="73">
        <v>18</v>
      </c>
      <c r="C38" s="74">
        <v>6</v>
      </c>
      <c r="D38" s="74">
        <v>10</v>
      </c>
      <c r="E38" s="75">
        <f>+SUM(B38:D38)</f>
        <v>34</v>
      </c>
      <c r="J38" s="218"/>
    </row>
    <row r="39" spans="1:12" x14ac:dyDescent="0.25">
      <c r="E39" s="198" t="s">
        <v>76</v>
      </c>
      <c r="F39" s="198" t="s">
        <v>137</v>
      </c>
      <c r="H39" s="144" t="s">
        <v>124</v>
      </c>
      <c r="I39" s="220" t="s">
        <v>148</v>
      </c>
      <c r="J39" s="218" t="s">
        <v>146</v>
      </c>
    </row>
    <row r="40" spans="1:12" x14ac:dyDescent="0.25">
      <c r="D40" s="162"/>
      <c r="G40" s="71" t="s">
        <v>90</v>
      </c>
      <c r="H40" s="144" t="s">
        <v>120</v>
      </c>
      <c r="I40" s="145">
        <v>0</v>
      </c>
      <c r="J40" s="218"/>
    </row>
    <row r="41" spans="1:12" x14ac:dyDescent="0.25">
      <c r="A41" s="207" t="s">
        <v>70</v>
      </c>
      <c r="B41" s="199">
        <v>0</v>
      </c>
      <c r="C41" s="199">
        <v>0</v>
      </c>
      <c r="D41" s="200">
        <v>2400</v>
      </c>
      <c r="E41" s="201">
        <f t="shared" ref="E41:E46" si="3">+C41/D41</f>
        <v>0</v>
      </c>
      <c r="F41" s="201">
        <f t="shared" ref="F41:F46" si="4">+B41/24</f>
        <v>0</v>
      </c>
      <c r="G41" s="202">
        <v>7</v>
      </c>
      <c r="H41" s="144" t="s">
        <v>121</v>
      </c>
      <c r="I41" s="220" t="s">
        <v>149</v>
      </c>
      <c r="J41" s="218" t="s">
        <v>146</v>
      </c>
    </row>
    <row r="42" spans="1:12" x14ac:dyDescent="0.25">
      <c r="A42" s="207" t="s">
        <v>71</v>
      </c>
      <c r="B42" s="199">
        <v>9.5</v>
      </c>
      <c r="C42" s="199">
        <v>1599</v>
      </c>
      <c r="D42" s="200">
        <v>3600</v>
      </c>
      <c r="E42" s="201">
        <f t="shared" si="3"/>
        <v>0.44416666666666665</v>
      </c>
      <c r="F42" s="201">
        <f t="shared" si="4"/>
        <v>0.39583333333333331</v>
      </c>
      <c r="G42" s="202">
        <v>12</v>
      </c>
      <c r="H42" s="71"/>
    </row>
    <row r="43" spans="1:12" x14ac:dyDescent="0.25">
      <c r="A43" s="207" t="s">
        <v>72</v>
      </c>
      <c r="B43" s="199">
        <v>10.32</v>
      </c>
      <c r="C43" s="199">
        <v>1239</v>
      </c>
      <c r="D43" s="200">
        <v>3900</v>
      </c>
      <c r="E43" s="201">
        <f t="shared" si="3"/>
        <v>0.31769230769230772</v>
      </c>
      <c r="F43" s="201">
        <f t="shared" si="4"/>
        <v>0.43</v>
      </c>
      <c r="G43" s="202">
        <v>12</v>
      </c>
      <c r="H43" s="71"/>
    </row>
    <row r="44" spans="1:12" x14ac:dyDescent="0.25">
      <c r="A44" s="207" t="s">
        <v>73</v>
      </c>
      <c r="B44" s="199">
        <v>9.35</v>
      </c>
      <c r="C44" s="199">
        <v>2560</v>
      </c>
      <c r="D44" s="200">
        <v>3900</v>
      </c>
      <c r="E44" s="201">
        <f t="shared" si="3"/>
        <v>0.65641025641025641</v>
      </c>
      <c r="F44" s="201">
        <f t="shared" si="4"/>
        <v>0.38958333333333334</v>
      </c>
      <c r="G44" s="202">
        <v>12</v>
      </c>
      <c r="H44" s="71"/>
    </row>
    <row r="45" spans="1:12" x14ac:dyDescent="0.25">
      <c r="A45" s="207" t="s">
        <v>74</v>
      </c>
      <c r="B45" s="199">
        <v>9.52</v>
      </c>
      <c r="C45" s="199">
        <v>2856</v>
      </c>
      <c r="D45" s="200">
        <v>3900</v>
      </c>
      <c r="E45" s="201">
        <f t="shared" si="3"/>
        <v>0.73230769230769233</v>
      </c>
      <c r="F45" s="201">
        <f t="shared" si="4"/>
        <v>0.39666666666666667</v>
      </c>
      <c r="G45" s="202">
        <v>12</v>
      </c>
      <c r="H45" s="71"/>
    </row>
    <row r="46" spans="1:12" x14ac:dyDescent="0.25">
      <c r="A46" s="207" t="s">
        <v>75</v>
      </c>
      <c r="B46" s="203">
        <v>13.58</v>
      </c>
      <c r="C46" s="204">
        <v>2587</v>
      </c>
      <c r="D46" s="205">
        <v>4300</v>
      </c>
      <c r="E46" s="206">
        <f t="shared" si="3"/>
        <v>0.60162790697674418</v>
      </c>
      <c r="F46" s="201">
        <f t="shared" si="4"/>
        <v>0.5658333333333333</v>
      </c>
      <c r="G46" s="202">
        <v>16</v>
      </c>
      <c r="H46" s="71"/>
    </row>
    <row r="47" spans="1:12" x14ac:dyDescent="0.25">
      <c r="C47" s="71" t="s">
        <v>83</v>
      </c>
      <c r="D47" s="72" t="s">
        <v>79</v>
      </c>
      <c r="H47" s="71"/>
    </row>
    <row r="48" spans="1:12" x14ac:dyDescent="0.25">
      <c r="B48" s="162" t="s">
        <v>78</v>
      </c>
      <c r="H48" s="71"/>
    </row>
    <row r="49" spans="3:8" x14ac:dyDescent="0.25">
      <c r="C49" s="71">
        <v>1</v>
      </c>
      <c r="D49" s="225" t="s">
        <v>153</v>
      </c>
      <c r="H49" s="71"/>
    </row>
    <row r="50" spans="3:8" x14ac:dyDescent="0.25">
      <c r="C50" s="71">
        <v>2</v>
      </c>
      <c r="D50" s="225" t="s">
        <v>153</v>
      </c>
      <c r="H50" s="71"/>
    </row>
    <row r="51" spans="3:8" x14ac:dyDescent="0.25">
      <c r="C51" s="71">
        <v>3</v>
      </c>
      <c r="D51" s="225" t="s">
        <v>154</v>
      </c>
      <c r="H51" s="71"/>
    </row>
    <row r="52" spans="3:8" x14ac:dyDescent="0.25">
      <c r="C52" s="71">
        <v>4</v>
      </c>
      <c r="D52" s="108">
        <v>1</v>
      </c>
      <c r="H52" s="71"/>
    </row>
    <row r="53" spans="3:8" x14ac:dyDescent="0.25">
      <c r="C53" s="71">
        <v>5</v>
      </c>
      <c r="D53" s="108">
        <v>2</v>
      </c>
    </row>
    <row r="54" spans="3:8" x14ac:dyDescent="0.25">
      <c r="C54" s="71">
        <v>6</v>
      </c>
      <c r="D54" s="108">
        <v>7</v>
      </c>
    </row>
    <row r="55" spans="3:8" x14ac:dyDescent="0.25">
      <c r="C55" s="71">
        <v>7</v>
      </c>
      <c r="D55" s="225" t="s">
        <v>153</v>
      </c>
    </row>
    <row r="56" spans="3:8" x14ac:dyDescent="0.25">
      <c r="C56" s="71">
        <v>8</v>
      </c>
      <c r="D56" s="225" t="s">
        <v>153</v>
      </c>
    </row>
  </sheetData>
  <protectedRanges>
    <protectedRange password="D554" sqref="I39:I41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activeCell="J20" sqref="J20"/>
    </sheetView>
  </sheetViews>
  <sheetFormatPr baseColWidth="10" defaultColWidth="11.42578125" defaultRowHeight="15.75" x14ac:dyDescent="0.25"/>
  <cols>
    <col min="1" max="1" width="2.42578125" style="162" customWidth="1"/>
    <col min="2" max="2" width="43" style="162" customWidth="1"/>
    <col min="3" max="3" width="15.28515625" style="162" customWidth="1"/>
    <col min="4" max="4" width="15.28515625" style="163" customWidth="1"/>
    <col min="5" max="10" width="11.42578125" style="162"/>
    <col min="11" max="11" width="3" style="162" bestFit="1" customWidth="1"/>
    <col min="12" max="12" width="4.28515625" style="162" customWidth="1"/>
    <col min="13" max="16384" width="11.42578125" style="162"/>
  </cols>
  <sheetData>
    <row r="1" spans="1:10" ht="15" customHeight="1" x14ac:dyDescent="0.25">
      <c r="A1" s="161"/>
      <c r="B1" s="518">
        <v>45875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42"/>
      <c r="C4" s="242"/>
      <c r="D4" s="165">
        <f>D25</f>
        <v>7658.751000000002</v>
      </c>
      <c r="F4" s="58" t="s">
        <v>51</v>
      </c>
      <c r="G4" s="59">
        <v>45873</v>
      </c>
      <c r="H4" s="58">
        <v>4383</v>
      </c>
      <c r="I4" s="141">
        <v>6167.3719999999994</v>
      </c>
      <c r="J4" s="60">
        <f t="shared" ref="J4:J11" si="0">+I4/H4</f>
        <v>1.4071120237280401</v>
      </c>
    </row>
    <row r="5" spans="1:10" ht="15" customHeight="1" x14ac:dyDescent="0.25">
      <c r="A5" s="164"/>
      <c r="B5" s="168" t="s">
        <v>6</v>
      </c>
      <c r="C5" s="176">
        <v>3250</v>
      </c>
      <c r="D5" s="172">
        <v>138.51999999999998</v>
      </c>
      <c r="E5" s="80">
        <f>+D5/$D$4</f>
        <v>1.8086500005026922E-2</v>
      </c>
      <c r="F5" s="58" t="s">
        <v>52</v>
      </c>
      <c r="G5" s="59">
        <v>45874</v>
      </c>
      <c r="H5" s="58">
        <v>6443</v>
      </c>
      <c r="I5" s="141">
        <v>8342.9</v>
      </c>
      <c r="J5" s="60">
        <f t="shared" si="0"/>
        <v>1.2948781623467329</v>
      </c>
    </row>
    <row r="6" spans="1:10" ht="15" customHeight="1" x14ac:dyDescent="0.25">
      <c r="A6" s="164"/>
      <c r="B6" s="169" t="s">
        <v>10</v>
      </c>
      <c r="C6" s="177">
        <v>12320</v>
      </c>
      <c r="D6" s="173">
        <v>525.3420000000001</v>
      </c>
      <c r="E6" s="80">
        <f t="shared" ref="E6:E25" si="1">+D6/$D$4</f>
        <v>6.8593691060069711E-2</v>
      </c>
      <c r="F6" s="58" t="s">
        <v>53</v>
      </c>
      <c r="G6" s="59">
        <v>45875</v>
      </c>
      <c r="H6" s="58">
        <v>5799.0000000000009</v>
      </c>
      <c r="I6" s="141">
        <v>7658.75</v>
      </c>
      <c r="J6" s="60">
        <f t="shared" si="0"/>
        <v>1.3207018451457146</v>
      </c>
    </row>
    <row r="7" spans="1:10" ht="15" customHeight="1" x14ac:dyDescent="0.25">
      <c r="A7" s="164"/>
      <c r="B7" s="169" t="s">
        <v>35</v>
      </c>
      <c r="C7" s="177">
        <v>21426</v>
      </c>
      <c r="D7" s="173">
        <v>912.39800000000014</v>
      </c>
      <c r="E7" s="80">
        <f t="shared" si="1"/>
        <v>0.11913143539984521</v>
      </c>
      <c r="F7" s="58" t="s">
        <v>54</v>
      </c>
      <c r="G7" s="59">
        <v>45876</v>
      </c>
      <c r="H7" s="58">
        <v>7375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3206</v>
      </c>
      <c r="D8" s="173">
        <v>136.69999999999999</v>
      </c>
      <c r="E8" s="80">
        <f t="shared" si="1"/>
        <v>1.784886334599466E-2</v>
      </c>
      <c r="F8" s="58" t="s">
        <v>55</v>
      </c>
      <c r="G8" s="59">
        <v>45877</v>
      </c>
      <c r="H8" s="58">
        <v>9602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38118</v>
      </c>
      <c r="D9" s="173">
        <v>1627.373</v>
      </c>
      <c r="E9" s="191">
        <f t="shared" si="1"/>
        <v>0.21248543006555504</v>
      </c>
      <c r="F9" s="58" t="s">
        <v>56</v>
      </c>
      <c r="G9" s="59">
        <v>45878</v>
      </c>
      <c r="H9" s="58">
        <v>8049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44700</v>
      </c>
      <c r="D10" s="173">
        <v>1907.2499999999995</v>
      </c>
      <c r="E10" s="191">
        <f t="shared" si="1"/>
        <v>0.24902885601059482</v>
      </c>
      <c r="F10" s="58" t="s">
        <v>57</v>
      </c>
      <c r="G10" s="59">
        <v>45879</v>
      </c>
      <c r="H10" s="58">
        <v>5713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12215</v>
      </c>
      <c r="D11" s="173">
        <v>521.53800000000001</v>
      </c>
      <c r="E11" s="80">
        <f t="shared" si="1"/>
        <v>6.8097004328773691E-2</v>
      </c>
      <c r="H11" s="139">
        <f>+SUM(H4:H10)</f>
        <v>47364</v>
      </c>
      <c r="I11" s="142">
        <f>+SUM(I4:I10)</f>
        <v>22169.021999999997</v>
      </c>
      <c r="J11" s="140">
        <f t="shared" si="0"/>
        <v>0.46805637192804656</v>
      </c>
    </row>
    <row r="12" spans="1:10" ht="15" customHeight="1" x14ac:dyDescent="0.25">
      <c r="A12" s="164"/>
      <c r="B12" s="169" t="s">
        <v>158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43</v>
      </c>
      <c r="C13" s="177">
        <v>201</v>
      </c>
      <c r="D13" s="173">
        <v>303.52999999999997</v>
      </c>
      <c r="E13" s="80">
        <f t="shared" si="1"/>
        <v>3.9631788525309138E-2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22</v>
      </c>
      <c r="D14" s="173">
        <v>33.22</v>
      </c>
      <c r="E14" s="80">
        <f t="shared" si="1"/>
        <v>4.3375218753031646E-3</v>
      </c>
      <c r="F14" s="112" t="s">
        <v>108</v>
      </c>
      <c r="G14" s="190">
        <v>204007.80300000001</v>
      </c>
      <c r="H14" s="190">
        <v>190629.128</v>
      </c>
      <c r="I14" s="57">
        <f t="shared" ref="I14:I20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20</v>
      </c>
      <c r="D15" s="173">
        <v>30.060000000000002</v>
      </c>
      <c r="E15" s="80">
        <f t="shared" si="1"/>
        <v>3.9249219618185775E-3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68</v>
      </c>
      <c r="D16" s="173">
        <v>102.25</v>
      </c>
      <c r="E16" s="80">
        <f t="shared" si="1"/>
        <v>1.3350740871455408E-2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192</v>
      </c>
      <c r="D17" s="173">
        <v>289.03999999999996</v>
      </c>
      <c r="E17" s="80">
        <f t="shared" si="1"/>
        <v>3.7739835124552278E-2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39</v>
      </c>
      <c r="C18" s="177">
        <v>446</v>
      </c>
      <c r="D18" s="173">
        <v>673.04000000000008</v>
      </c>
      <c r="E18" s="80">
        <f t="shared" si="1"/>
        <v>8.787855878850219E-2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88</v>
      </c>
      <c r="C19" s="177">
        <v>19</v>
      </c>
      <c r="D19" s="173">
        <v>29.69</v>
      </c>
      <c r="E19" s="80">
        <f t="shared" si="1"/>
        <v>3.876611212454876E-3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239">
        <v>-14526.736000000266</v>
      </c>
    </row>
    <row r="20" spans="1:11" ht="15" customHeight="1" x14ac:dyDescent="0.25">
      <c r="A20" s="164"/>
      <c r="B20" s="169" t="s">
        <v>45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239">
        <f>+H22-G22</f>
        <v>-11597.598000000231</v>
      </c>
    </row>
    <row r="21" spans="1:11" ht="15" customHeight="1" x14ac:dyDescent="0.25">
      <c r="A21" s="164"/>
      <c r="B21" s="169" t="s">
        <v>88</v>
      </c>
      <c r="C21" s="177"/>
      <c r="D21" s="173"/>
      <c r="E21" s="80">
        <f t="shared" si="1"/>
        <v>0</v>
      </c>
      <c r="F21" s="112" t="s">
        <v>135</v>
      </c>
      <c r="G21" s="190">
        <v>232937.965</v>
      </c>
      <c r="H21" s="190"/>
    </row>
    <row r="22" spans="1:11" ht="15" customHeight="1" x14ac:dyDescent="0.25">
      <c r="A22" s="164"/>
      <c r="B22" s="169" t="s">
        <v>9</v>
      </c>
      <c r="C22" s="177"/>
      <c r="D22" s="173">
        <v>122.77</v>
      </c>
      <c r="E22" s="80">
        <f t="shared" si="1"/>
        <v>1.6030028917247731E-2</v>
      </c>
      <c r="G22" s="68">
        <f>+SUM(G14:G20)</f>
        <v>1420724.54</v>
      </c>
      <c r="H22" s="68">
        <f>+SUM(H14:H20)</f>
        <v>1409126.9419999998</v>
      </c>
    </row>
    <row r="23" spans="1:11" ht="15" customHeight="1" x14ac:dyDescent="0.25">
      <c r="A23" s="164"/>
      <c r="B23" s="169" t="s">
        <v>46</v>
      </c>
      <c r="C23" s="177"/>
      <c r="D23" s="173">
        <v>30.64</v>
      </c>
      <c r="E23" s="80">
        <f t="shared" si="1"/>
        <v>4.000652325686002E-3</v>
      </c>
      <c r="F23" s="163"/>
    </row>
    <row r="24" spans="1:11" ht="15" customHeight="1" thickBot="1" x14ac:dyDescent="0.3">
      <c r="A24" s="164"/>
      <c r="B24" s="169" t="s">
        <v>40</v>
      </c>
      <c r="C24" s="177"/>
      <c r="D24" s="173">
        <v>275.39</v>
      </c>
      <c r="E24" s="80">
        <f t="shared" si="1"/>
        <v>3.5957560181810309E-2</v>
      </c>
      <c r="F24" s="179"/>
    </row>
    <row r="25" spans="1:11" ht="15" customHeight="1" thickBot="1" x14ac:dyDescent="0.3">
      <c r="B25" s="178" t="s">
        <v>0</v>
      </c>
      <c r="C25" s="170"/>
      <c r="D25" s="171">
        <f>SUM(D5:D24)</f>
        <v>7658.751000000002</v>
      </c>
      <c r="E25" s="80">
        <f t="shared" si="1"/>
        <v>1</v>
      </c>
      <c r="F25" s="179"/>
    </row>
    <row r="26" spans="1:11" ht="15" customHeight="1" x14ac:dyDescent="0.25">
      <c r="B26" s="166" t="s">
        <v>1</v>
      </c>
      <c r="C26" s="167"/>
      <c r="D26" s="233">
        <v>45012.099000000002</v>
      </c>
      <c r="E26" s="57">
        <f>+D26/$E$2</f>
        <v>0.19605170453803034</v>
      </c>
      <c r="F26" s="163"/>
      <c r="G26" s="163"/>
      <c r="H26" s="163"/>
      <c r="J26" s="163"/>
    </row>
    <row r="27" spans="1:11" x14ac:dyDescent="0.25">
      <c r="D27" s="193">
        <f>+(E2/31)*6</f>
        <v>44437.354838709674</v>
      </c>
      <c r="E27" s="98">
        <f>+D27/E2</f>
        <v>0.19354838709677419</v>
      </c>
    </row>
    <row r="28" spans="1:11" x14ac:dyDescent="0.25">
      <c r="D28" s="138">
        <f>+D26-D27</f>
        <v>574.74416129032761</v>
      </c>
      <c r="E28" s="99">
        <f>E26-E27</f>
        <v>2.5033174412561476E-3</v>
      </c>
    </row>
    <row r="30" spans="1:11" x14ac:dyDescent="0.25">
      <c r="B30" s="66" t="s">
        <v>60</v>
      </c>
      <c r="D30" s="109" t="s">
        <v>105</v>
      </c>
      <c r="E30" s="109" t="s">
        <v>80</v>
      </c>
      <c r="G30" s="163"/>
      <c r="H30" s="237" t="s">
        <v>157</v>
      </c>
      <c r="I30" s="237" t="s">
        <v>92</v>
      </c>
      <c r="J30" s="71"/>
    </row>
    <row r="31" spans="1:11" x14ac:dyDescent="0.25">
      <c r="B31" s="162" t="s">
        <v>61</v>
      </c>
      <c r="C31" s="162">
        <v>937</v>
      </c>
      <c r="D31" s="108">
        <v>2142</v>
      </c>
      <c r="E31" s="57">
        <f>+C31/D31</f>
        <v>0.43744164332399627</v>
      </c>
      <c r="G31" s="86" t="s">
        <v>86</v>
      </c>
      <c r="H31" s="87">
        <v>7132</v>
      </c>
      <c r="I31" s="88">
        <v>178.3</v>
      </c>
      <c r="J31" s="228"/>
      <c r="K31" s="229"/>
    </row>
    <row r="32" spans="1:11" x14ac:dyDescent="0.25">
      <c r="B32" s="162" t="s">
        <v>62</v>
      </c>
      <c r="C32" s="162">
        <v>1760</v>
      </c>
      <c r="D32" s="108">
        <v>1890</v>
      </c>
      <c r="E32" s="57">
        <f>+C32/D32</f>
        <v>0.93121693121693117</v>
      </c>
      <c r="G32" s="86" t="s">
        <v>104</v>
      </c>
      <c r="H32" s="87">
        <v>14</v>
      </c>
      <c r="I32" s="88">
        <v>0.35000000000000003</v>
      </c>
      <c r="J32" s="228"/>
      <c r="K32" s="229"/>
    </row>
    <row r="33" spans="1:12" x14ac:dyDescent="0.25">
      <c r="B33" s="162" t="s">
        <v>63</v>
      </c>
      <c r="C33" s="67">
        <v>480</v>
      </c>
      <c r="D33" s="108">
        <v>3006</v>
      </c>
      <c r="E33" s="57">
        <f>+C33/D33</f>
        <v>0.15968063872255489</v>
      </c>
      <c r="G33" s="89" t="s">
        <v>87</v>
      </c>
      <c r="H33" s="87">
        <v>80</v>
      </c>
      <c r="I33" s="88">
        <v>120</v>
      </c>
      <c r="J33" s="240">
        <v>45848</v>
      </c>
      <c r="K33" s="241">
        <v>15</v>
      </c>
      <c r="L33" s="215" t="s">
        <v>159</v>
      </c>
    </row>
    <row r="34" spans="1:12" ht="45" x14ac:dyDescent="0.25">
      <c r="C34" s="162">
        <f>+SUM(C31:C33)</f>
        <v>3177</v>
      </c>
      <c r="D34" s="110">
        <f>+SUM(D31:D33)</f>
        <v>7038</v>
      </c>
      <c r="E34" s="57">
        <f>+C34/D34</f>
        <v>0.45140664961636828</v>
      </c>
      <c r="G34" s="89" t="s">
        <v>91</v>
      </c>
      <c r="H34" s="87">
        <v>106</v>
      </c>
      <c r="I34" s="88">
        <v>159</v>
      </c>
      <c r="J34" s="230" t="s">
        <v>156</v>
      </c>
    </row>
    <row r="35" spans="1:12" x14ac:dyDescent="0.25">
      <c r="G35" s="231" t="s">
        <v>123</v>
      </c>
      <c r="H35" s="138">
        <v>231</v>
      </c>
      <c r="I35" s="232">
        <v>346.5</v>
      </c>
      <c r="J35" s="230"/>
    </row>
    <row r="36" spans="1:12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  <c r="J36" s="218"/>
    </row>
    <row r="37" spans="1:12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224" t="s">
        <v>152</v>
      </c>
    </row>
    <row r="38" spans="1:12" x14ac:dyDescent="0.25">
      <c r="B38" s="73">
        <v>18</v>
      </c>
      <c r="C38" s="74">
        <v>6</v>
      </c>
      <c r="D38" s="74">
        <v>10</v>
      </c>
      <c r="E38" s="75">
        <f>+SUM(B38:D38)</f>
        <v>34</v>
      </c>
      <c r="J38" s="218"/>
    </row>
    <row r="39" spans="1:12" x14ac:dyDescent="0.25">
      <c r="E39" s="198" t="s">
        <v>76</v>
      </c>
      <c r="F39" s="198" t="s">
        <v>137</v>
      </c>
      <c r="H39" s="144" t="s">
        <v>124</v>
      </c>
      <c r="I39" s="220" t="s">
        <v>148</v>
      </c>
      <c r="J39" s="218" t="s">
        <v>146</v>
      </c>
    </row>
    <row r="40" spans="1:12" x14ac:dyDescent="0.25">
      <c r="D40" s="162"/>
      <c r="G40" s="71" t="s">
        <v>90</v>
      </c>
      <c r="H40" s="144" t="s">
        <v>120</v>
      </c>
      <c r="I40" s="145">
        <v>0</v>
      </c>
      <c r="J40" s="218"/>
    </row>
    <row r="41" spans="1:12" x14ac:dyDescent="0.25">
      <c r="A41" s="207" t="s">
        <v>70</v>
      </c>
      <c r="B41" s="199">
        <v>0</v>
      </c>
      <c r="C41" s="199">
        <v>0</v>
      </c>
      <c r="D41" s="200">
        <v>2400</v>
      </c>
      <c r="E41" s="201">
        <f t="shared" ref="E41:E46" si="3">+C41/D41</f>
        <v>0</v>
      </c>
      <c r="F41" s="201">
        <f t="shared" ref="F41:F46" si="4">+B41/24</f>
        <v>0</v>
      </c>
      <c r="G41" s="202">
        <v>7</v>
      </c>
      <c r="H41" s="144" t="s">
        <v>121</v>
      </c>
      <c r="I41" s="220" t="s">
        <v>149</v>
      </c>
      <c r="J41" s="218" t="s">
        <v>146</v>
      </c>
    </row>
    <row r="42" spans="1:12" x14ac:dyDescent="0.25">
      <c r="A42" s="207" t="s">
        <v>71</v>
      </c>
      <c r="B42" s="199">
        <v>9.5</v>
      </c>
      <c r="C42" s="199">
        <v>1599</v>
      </c>
      <c r="D42" s="200">
        <v>3600</v>
      </c>
      <c r="E42" s="201">
        <f t="shared" si="3"/>
        <v>0.44416666666666665</v>
      </c>
      <c r="F42" s="201">
        <f t="shared" si="4"/>
        <v>0.39583333333333331</v>
      </c>
      <c r="G42" s="202">
        <v>12</v>
      </c>
      <c r="H42" s="71"/>
    </row>
    <row r="43" spans="1:12" x14ac:dyDescent="0.25">
      <c r="A43" s="207" t="s">
        <v>72</v>
      </c>
      <c r="B43" s="199">
        <v>10.32</v>
      </c>
      <c r="C43" s="199">
        <v>1239</v>
      </c>
      <c r="D43" s="200">
        <v>3900</v>
      </c>
      <c r="E43" s="201">
        <f t="shared" si="3"/>
        <v>0.31769230769230772</v>
      </c>
      <c r="F43" s="201">
        <f t="shared" si="4"/>
        <v>0.43</v>
      </c>
      <c r="G43" s="202">
        <v>12</v>
      </c>
      <c r="H43" s="71"/>
    </row>
    <row r="44" spans="1:12" x14ac:dyDescent="0.25">
      <c r="A44" s="207" t="s">
        <v>73</v>
      </c>
      <c r="B44" s="199">
        <v>9.35</v>
      </c>
      <c r="C44" s="199">
        <v>2560</v>
      </c>
      <c r="D44" s="200">
        <v>3900</v>
      </c>
      <c r="E44" s="201">
        <f t="shared" si="3"/>
        <v>0.65641025641025641</v>
      </c>
      <c r="F44" s="201">
        <f t="shared" si="4"/>
        <v>0.38958333333333334</v>
      </c>
      <c r="G44" s="202">
        <v>12</v>
      </c>
      <c r="H44" s="71"/>
    </row>
    <row r="45" spans="1:12" x14ac:dyDescent="0.25">
      <c r="A45" s="207" t="s">
        <v>74</v>
      </c>
      <c r="B45" s="199">
        <v>9.52</v>
      </c>
      <c r="C45" s="199">
        <v>2856</v>
      </c>
      <c r="D45" s="200">
        <v>3900</v>
      </c>
      <c r="E45" s="201">
        <f t="shared" si="3"/>
        <v>0.73230769230769233</v>
      </c>
      <c r="F45" s="201">
        <f t="shared" si="4"/>
        <v>0.39666666666666667</v>
      </c>
      <c r="G45" s="202">
        <v>12</v>
      </c>
      <c r="H45" s="71"/>
    </row>
    <row r="46" spans="1:12" x14ac:dyDescent="0.25">
      <c r="A46" s="207" t="s">
        <v>75</v>
      </c>
      <c r="B46" s="203">
        <v>13.58</v>
      </c>
      <c r="C46" s="204">
        <v>2587</v>
      </c>
      <c r="D46" s="205">
        <v>4300</v>
      </c>
      <c r="E46" s="206">
        <f t="shared" si="3"/>
        <v>0.60162790697674418</v>
      </c>
      <c r="F46" s="201">
        <f t="shared" si="4"/>
        <v>0.5658333333333333</v>
      </c>
      <c r="G46" s="202">
        <v>16</v>
      </c>
      <c r="H46" s="71"/>
    </row>
    <row r="47" spans="1:12" x14ac:dyDescent="0.25">
      <c r="C47" s="71" t="s">
        <v>83</v>
      </c>
      <c r="D47" s="72" t="s">
        <v>79</v>
      </c>
      <c r="H47" s="71"/>
    </row>
    <row r="48" spans="1:12" x14ac:dyDescent="0.25">
      <c r="B48" s="162" t="s">
        <v>78</v>
      </c>
      <c r="H48" s="71"/>
    </row>
    <row r="49" spans="3:8" x14ac:dyDescent="0.25">
      <c r="C49" s="71">
        <v>1</v>
      </c>
      <c r="D49" s="225" t="s">
        <v>153</v>
      </c>
      <c r="H49" s="71"/>
    </row>
    <row r="50" spans="3:8" x14ac:dyDescent="0.25">
      <c r="C50" s="71">
        <v>2</v>
      </c>
      <c r="D50" s="225" t="s">
        <v>153</v>
      </c>
      <c r="H50" s="71"/>
    </row>
    <row r="51" spans="3:8" x14ac:dyDescent="0.25">
      <c r="C51" s="71">
        <v>3</v>
      </c>
      <c r="D51" s="225" t="s">
        <v>154</v>
      </c>
      <c r="H51" s="71"/>
    </row>
    <row r="52" spans="3:8" x14ac:dyDescent="0.25">
      <c r="C52" s="71">
        <v>4</v>
      </c>
      <c r="D52" s="108">
        <v>1</v>
      </c>
      <c r="H52" s="71"/>
    </row>
    <row r="53" spans="3:8" x14ac:dyDescent="0.25">
      <c r="C53" s="71">
        <v>5</v>
      </c>
      <c r="D53" s="108">
        <v>2</v>
      </c>
    </row>
    <row r="54" spans="3:8" x14ac:dyDescent="0.25">
      <c r="C54" s="71">
        <v>6</v>
      </c>
      <c r="D54" s="108">
        <v>7</v>
      </c>
    </row>
    <row r="55" spans="3:8" x14ac:dyDescent="0.25">
      <c r="C55" s="71">
        <v>7</v>
      </c>
      <c r="D55" s="225" t="s">
        <v>153</v>
      </c>
    </row>
    <row r="56" spans="3:8" x14ac:dyDescent="0.25">
      <c r="C56" s="71">
        <v>8</v>
      </c>
      <c r="D56" s="225" t="s">
        <v>153</v>
      </c>
    </row>
  </sheetData>
  <protectedRanges>
    <protectedRange password="D554" sqref="I39:I41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workbookViewId="0">
      <selection activeCell="E1" sqref="E1:J24"/>
    </sheetView>
  </sheetViews>
  <sheetFormatPr baseColWidth="10" defaultColWidth="11.42578125" defaultRowHeight="15.75" x14ac:dyDescent="0.25"/>
  <cols>
    <col min="1" max="1" width="2.42578125" style="162" customWidth="1"/>
    <col min="2" max="2" width="44.140625" style="162" customWidth="1"/>
    <col min="3" max="3" width="15.28515625" style="162" customWidth="1"/>
    <col min="4" max="4" width="15.28515625" style="163" customWidth="1"/>
    <col min="5" max="10" width="11.42578125" style="162"/>
    <col min="11" max="11" width="3" style="162" bestFit="1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42"/>
      <c r="C4" s="242"/>
      <c r="D4" s="165">
        <f>D25</f>
        <v>6901.9449999999997</v>
      </c>
      <c r="F4" s="58" t="s">
        <v>51</v>
      </c>
      <c r="G4" s="59">
        <v>45873</v>
      </c>
      <c r="H4" s="58">
        <v>4383</v>
      </c>
      <c r="I4" s="141">
        <v>6167.3719999999994</v>
      </c>
      <c r="J4" s="60">
        <f t="shared" ref="J4:J11" si="0">+I4/H4</f>
        <v>1.4071120237280401</v>
      </c>
    </row>
    <row r="5" spans="1:10" ht="15" customHeight="1" x14ac:dyDescent="0.25">
      <c r="A5" s="164"/>
      <c r="B5" s="168" t="s">
        <v>6</v>
      </c>
      <c r="C5" s="176">
        <v>2988</v>
      </c>
      <c r="D5" s="172">
        <v>127.22399999999999</v>
      </c>
      <c r="E5" s="80">
        <f>+D5/$D$4</f>
        <v>1.8433064882435311E-2</v>
      </c>
      <c r="F5" s="58" t="s">
        <v>52</v>
      </c>
      <c r="G5" s="59">
        <v>45874</v>
      </c>
      <c r="H5" s="58">
        <v>6443</v>
      </c>
      <c r="I5" s="141">
        <v>8342.9</v>
      </c>
      <c r="J5" s="60">
        <f t="shared" si="0"/>
        <v>1.2948781623467329</v>
      </c>
    </row>
    <row r="6" spans="1:10" ht="15" customHeight="1" x14ac:dyDescent="0.25">
      <c r="A6" s="164"/>
      <c r="B6" s="169" t="s">
        <v>10</v>
      </c>
      <c r="C6" s="177">
        <v>6323</v>
      </c>
      <c r="D6" s="173">
        <v>269.47999999999996</v>
      </c>
      <c r="E6" s="80">
        <f t="shared" ref="E6:E25" si="1">+D6/$D$4</f>
        <v>3.9044066563845403E-2</v>
      </c>
      <c r="F6" s="58" t="s">
        <v>53</v>
      </c>
      <c r="G6" s="59">
        <v>45875</v>
      </c>
      <c r="H6" s="58">
        <v>5799.0000000000009</v>
      </c>
      <c r="I6" s="141">
        <v>7658.75</v>
      </c>
      <c r="J6" s="60">
        <f t="shared" si="0"/>
        <v>1.3207018451457146</v>
      </c>
    </row>
    <row r="7" spans="1:10" ht="15" customHeight="1" x14ac:dyDescent="0.25">
      <c r="A7" s="164"/>
      <c r="B7" s="169" t="s">
        <v>35</v>
      </c>
      <c r="C7" s="177">
        <v>17201</v>
      </c>
      <c r="D7" s="173">
        <v>732.52499999999998</v>
      </c>
      <c r="E7" s="80">
        <f t="shared" si="1"/>
        <v>0.10613312624195063</v>
      </c>
      <c r="F7" s="58" t="s">
        <v>54</v>
      </c>
      <c r="G7" s="59">
        <v>45876</v>
      </c>
      <c r="H7" s="58">
        <v>7375</v>
      </c>
      <c r="I7" s="141">
        <v>6901.9449999999997</v>
      </c>
      <c r="J7" s="60">
        <f t="shared" si="0"/>
        <v>0.93585694915254236</v>
      </c>
    </row>
    <row r="8" spans="1:10" ht="15" customHeight="1" x14ac:dyDescent="0.25">
      <c r="A8" s="164"/>
      <c r="B8" s="169" t="s">
        <v>4</v>
      </c>
      <c r="C8" s="177">
        <v>760</v>
      </c>
      <c r="D8" s="173">
        <v>32.479999999999997</v>
      </c>
      <c r="E8" s="80">
        <f t="shared" si="1"/>
        <v>4.7059198530269367E-3</v>
      </c>
      <c r="F8" s="58" t="s">
        <v>55</v>
      </c>
      <c r="G8" s="59">
        <v>45877</v>
      </c>
      <c r="H8" s="58">
        <v>9602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32969</v>
      </c>
      <c r="D9" s="173">
        <v>1406.3880000000001</v>
      </c>
      <c r="E9" s="245">
        <f t="shared" si="1"/>
        <v>0.20376690918284632</v>
      </c>
      <c r="F9" s="58" t="s">
        <v>56</v>
      </c>
      <c r="G9" s="59">
        <v>45878</v>
      </c>
      <c r="H9" s="58">
        <v>8049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5375</v>
      </c>
      <c r="D10" s="173">
        <v>229.726</v>
      </c>
      <c r="E10" s="244">
        <f t="shared" si="1"/>
        <v>3.3284240891516811E-2</v>
      </c>
      <c r="F10" s="58" t="s">
        <v>57</v>
      </c>
      <c r="G10" s="59">
        <v>45879</v>
      </c>
      <c r="H10" s="58">
        <v>5713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38</v>
      </c>
      <c r="C11" s="177">
        <v>55450</v>
      </c>
      <c r="D11" s="173">
        <v>2366.4920000000002</v>
      </c>
      <c r="E11" s="245">
        <f t="shared" si="1"/>
        <v>0.34287320458218667</v>
      </c>
      <c r="H11" s="139">
        <f>+SUM(H4:H10)</f>
        <v>47364</v>
      </c>
      <c r="I11" s="142">
        <f>+SUM(I4:I10)</f>
        <v>29070.966999999997</v>
      </c>
      <c r="J11" s="140">
        <f t="shared" si="0"/>
        <v>0.61377770036314494</v>
      </c>
    </row>
    <row r="12" spans="1:10" ht="15" customHeight="1" x14ac:dyDescent="0.25">
      <c r="A12" s="164"/>
      <c r="B12" s="169" t="s">
        <v>158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43</v>
      </c>
      <c r="C13" s="177">
        <v>200</v>
      </c>
      <c r="D13" s="173">
        <v>302.17999999999995</v>
      </c>
      <c r="E13" s="80">
        <f t="shared" si="1"/>
        <v>4.378186148976846E-2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46</v>
      </c>
      <c r="D14" s="173">
        <v>69.53</v>
      </c>
      <c r="E14" s="80">
        <f t="shared" si="1"/>
        <v>1.0073971902123243E-2</v>
      </c>
      <c r="F14" s="112" t="s">
        <v>108</v>
      </c>
      <c r="G14" s="190">
        <v>204007.80300000001</v>
      </c>
      <c r="H14" s="190">
        <v>190629.128</v>
      </c>
      <c r="I14" s="57">
        <f t="shared" ref="I14:I21" si="2">+H14/G14</f>
        <v>0.93442076820953746</v>
      </c>
    </row>
    <row r="15" spans="1:10" ht="15" customHeight="1" x14ac:dyDescent="0.25">
      <c r="A15" s="164"/>
      <c r="B15" s="169" t="s">
        <v>45</v>
      </c>
      <c r="C15" s="177">
        <v>23</v>
      </c>
      <c r="D15" s="173">
        <v>34.54</v>
      </c>
      <c r="E15" s="80">
        <f t="shared" si="1"/>
        <v>5.0043864446905912E-3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41</v>
      </c>
      <c r="C16" s="177">
        <v>207</v>
      </c>
      <c r="D16" s="173">
        <v>311.03000000000003</v>
      </c>
      <c r="E16" s="80">
        <f t="shared" si="1"/>
        <v>4.5064108740362326E-2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39</v>
      </c>
      <c r="C17" s="177">
        <v>342</v>
      </c>
      <c r="D17" s="173">
        <v>516.11999999999989</v>
      </c>
      <c r="E17" s="80">
        <f t="shared" si="1"/>
        <v>7.4778921014293787E-2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88</v>
      </c>
      <c r="C18" s="177">
        <v>40</v>
      </c>
      <c r="D18" s="173">
        <v>59.739999999999995</v>
      </c>
      <c r="E18" s="80">
        <f t="shared" si="1"/>
        <v>8.6555311582459729E-3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88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45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88</v>
      </c>
      <c r="C21" s="177"/>
      <c r="D21" s="173"/>
      <c r="E21" s="80">
        <f t="shared" si="1"/>
        <v>0</v>
      </c>
      <c r="F21" s="112" t="s">
        <v>135</v>
      </c>
      <c r="G21" s="190">
        <v>232937.965</v>
      </c>
      <c r="H21" s="190">
        <f>+D26</f>
        <v>51945.196000000004</v>
      </c>
      <c r="I21" s="98">
        <f t="shared" si="2"/>
        <v>0.22300012795252164</v>
      </c>
      <c r="J21" s="108">
        <f>+H24-G24</f>
        <v>-192590.36700000032</v>
      </c>
    </row>
    <row r="22" spans="1:11" ht="15" customHeight="1" x14ac:dyDescent="0.25">
      <c r="A22" s="164"/>
      <c r="B22" s="169" t="s">
        <v>9</v>
      </c>
      <c r="C22" s="177"/>
      <c r="D22" s="173">
        <v>119.97</v>
      </c>
      <c r="E22" s="80">
        <f t="shared" si="1"/>
        <v>1.73820567970333E-2</v>
      </c>
      <c r="F22" s="112" t="s">
        <v>160</v>
      </c>
      <c r="G22" s="112"/>
      <c r="H22" s="112"/>
    </row>
    <row r="23" spans="1:11" ht="15" customHeight="1" x14ac:dyDescent="0.25">
      <c r="A23" s="164"/>
      <c r="B23" s="169" t="s">
        <v>46</v>
      </c>
      <c r="C23" s="177"/>
      <c r="D23" s="173">
        <v>59.03</v>
      </c>
      <c r="E23" s="80">
        <f t="shared" si="1"/>
        <v>8.5526616048084998E-3</v>
      </c>
      <c r="F23" s="112" t="s">
        <v>161</v>
      </c>
      <c r="G23" s="112"/>
      <c r="H23" s="112"/>
    </row>
    <row r="24" spans="1:11" ht="15" customHeight="1" thickBot="1" x14ac:dyDescent="0.3">
      <c r="A24" s="164"/>
      <c r="B24" s="169" t="s">
        <v>40</v>
      </c>
      <c r="C24" s="177"/>
      <c r="D24" s="173">
        <v>265.49</v>
      </c>
      <c r="E24" s="80">
        <f t="shared" si="1"/>
        <v>3.8465968650865809E-2</v>
      </c>
      <c r="F24" s="179"/>
      <c r="G24" s="68">
        <f>+SUM(G14:G21)</f>
        <v>1653662.5050000001</v>
      </c>
      <c r="H24" s="68">
        <f>+SUM(H14:H21)</f>
        <v>1461072.1379999998</v>
      </c>
    </row>
    <row r="25" spans="1:11" ht="15" customHeight="1" thickBot="1" x14ac:dyDescent="0.3">
      <c r="B25" s="178" t="s">
        <v>0</v>
      </c>
      <c r="C25" s="170"/>
      <c r="D25" s="171">
        <f>SUM(D5:D24)</f>
        <v>6901.9449999999997</v>
      </c>
      <c r="E25" s="80">
        <f t="shared" si="1"/>
        <v>1</v>
      </c>
      <c r="F25" s="179"/>
    </row>
    <row r="26" spans="1:11" ht="15" customHeight="1" thickBot="1" x14ac:dyDescent="0.3">
      <c r="B26" s="166" t="s">
        <v>1</v>
      </c>
      <c r="C26" s="167"/>
      <c r="D26" s="227">
        <v>51945.196000000004</v>
      </c>
      <c r="E26" s="57">
        <f>+D26/$E$2</f>
        <v>0.22624904069374938</v>
      </c>
      <c r="F26" s="163"/>
      <c r="G26" s="163"/>
      <c r="H26" s="163"/>
      <c r="J26" s="163"/>
    </row>
    <row r="27" spans="1:11" x14ac:dyDescent="0.25">
      <c r="D27" s="193">
        <f>+(E2/31)*7</f>
        <v>51843.580645161288</v>
      </c>
      <c r="E27" s="98">
        <f>+D27/E2</f>
        <v>0.22580645161290322</v>
      </c>
    </row>
    <row r="28" spans="1:11" x14ac:dyDescent="0.25">
      <c r="D28" s="138">
        <f>+D26-D27</f>
        <v>101.61535483871558</v>
      </c>
      <c r="E28" s="99">
        <f>E26-E27</f>
        <v>4.4258908084615634E-4</v>
      </c>
    </row>
    <row r="30" spans="1:11" x14ac:dyDescent="0.25">
      <c r="B30" s="66" t="s">
        <v>60</v>
      </c>
      <c r="D30" s="109" t="s">
        <v>105</v>
      </c>
      <c r="E30" s="109" t="s">
        <v>80</v>
      </c>
      <c r="G30" s="163"/>
      <c r="H30" s="237" t="s">
        <v>157</v>
      </c>
      <c r="I30" s="237" t="s">
        <v>92</v>
      </c>
      <c r="J30" s="71"/>
    </row>
    <row r="31" spans="1:11" x14ac:dyDescent="0.25">
      <c r="B31" s="162" t="s">
        <v>61</v>
      </c>
      <c r="C31" s="162">
        <v>1061</v>
      </c>
      <c r="D31" s="108">
        <v>2142</v>
      </c>
      <c r="E31" s="57">
        <f>+C31/D31</f>
        <v>0.49533146591970123</v>
      </c>
      <c r="G31" s="86" t="s">
        <v>86</v>
      </c>
      <c r="H31" s="87">
        <v>7132</v>
      </c>
      <c r="I31" s="88">
        <v>178.3</v>
      </c>
      <c r="J31" s="228"/>
      <c r="K31" s="229"/>
    </row>
    <row r="32" spans="1:11" x14ac:dyDescent="0.25">
      <c r="B32" s="162" t="s">
        <v>62</v>
      </c>
      <c r="C32" s="162">
        <v>1918</v>
      </c>
      <c r="D32" s="108">
        <v>1890</v>
      </c>
      <c r="E32" s="57">
        <f>+C32/D32</f>
        <v>1.0148148148148148</v>
      </c>
      <c r="G32" s="86" t="s">
        <v>104</v>
      </c>
      <c r="H32" s="87">
        <v>14</v>
      </c>
      <c r="I32" s="88">
        <v>0.35000000000000003</v>
      </c>
      <c r="J32" s="228"/>
      <c r="K32" s="229"/>
    </row>
    <row r="33" spans="1:12" x14ac:dyDescent="0.25">
      <c r="B33" s="162" t="s">
        <v>63</v>
      </c>
      <c r="C33" s="67">
        <v>906</v>
      </c>
      <c r="D33" s="108">
        <v>3006</v>
      </c>
      <c r="E33" s="57">
        <f>+C33/D33</f>
        <v>0.30139720558882238</v>
      </c>
      <c r="G33" s="89" t="s">
        <v>87</v>
      </c>
      <c r="H33" s="87">
        <v>80</v>
      </c>
      <c r="I33" s="88">
        <v>120</v>
      </c>
      <c r="J33" s="240">
        <v>45848</v>
      </c>
      <c r="K33" s="241">
        <v>15</v>
      </c>
      <c r="L33" s="215" t="s">
        <v>159</v>
      </c>
    </row>
    <row r="34" spans="1:12" ht="45" x14ac:dyDescent="0.25">
      <c r="C34" s="162">
        <f>+SUM(C31:C33)</f>
        <v>3885</v>
      </c>
      <c r="D34" s="110">
        <f>+SUM(D31:D33)</f>
        <v>7038</v>
      </c>
      <c r="E34" s="57">
        <f>+C34/D34</f>
        <v>0.55200341005967601</v>
      </c>
      <c r="G34" s="89" t="s">
        <v>91</v>
      </c>
      <c r="H34" s="87">
        <v>3</v>
      </c>
      <c r="I34" s="88">
        <v>4.5</v>
      </c>
      <c r="J34" s="230" t="s">
        <v>162</v>
      </c>
    </row>
    <row r="35" spans="1:12" x14ac:dyDescent="0.25">
      <c r="G35" s="231" t="s">
        <v>123</v>
      </c>
      <c r="H35" s="138">
        <v>231</v>
      </c>
      <c r="I35" s="232">
        <v>346.5</v>
      </c>
      <c r="J35" s="218" t="s">
        <v>146</v>
      </c>
    </row>
    <row r="36" spans="1:12" x14ac:dyDescent="0.25">
      <c r="B36" s="162" t="s">
        <v>66</v>
      </c>
      <c r="D36" s="162"/>
      <c r="G36" s="89" t="s">
        <v>96</v>
      </c>
      <c r="H36" s="87">
        <v>22</v>
      </c>
      <c r="I36" s="88">
        <v>33</v>
      </c>
      <c r="J36" s="218" t="s">
        <v>146</v>
      </c>
    </row>
    <row r="37" spans="1:12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244</v>
      </c>
      <c r="I37" s="88">
        <f>+H37*1.5</f>
        <v>366</v>
      </c>
      <c r="J37" s="224" t="s">
        <v>152</v>
      </c>
    </row>
    <row r="38" spans="1:12" x14ac:dyDescent="0.25">
      <c r="B38" s="73">
        <v>6</v>
      </c>
      <c r="C38" s="74">
        <v>2</v>
      </c>
      <c r="D38" s="74">
        <v>17</v>
      </c>
      <c r="E38" s="75">
        <f>+SUM(B38:D38)</f>
        <v>25</v>
      </c>
      <c r="J38" s="218"/>
    </row>
    <row r="39" spans="1:12" x14ac:dyDescent="0.25">
      <c r="E39" s="198" t="s">
        <v>76</v>
      </c>
      <c r="F39" s="198" t="s">
        <v>137</v>
      </c>
      <c r="H39" s="144" t="s">
        <v>124</v>
      </c>
      <c r="I39" s="220" t="s">
        <v>148</v>
      </c>
      <c r="J39" s="218" t="s">
        <v>146</v>
      </c>
    </row>
    <row r="40" spans="1:12" x14ac:dyDescent="0.25">
      <c r="D40" s="162"/>
      <c r="G40" s="71" t="s">
        <v>90</v>
      </c>
      <c r="H40" s="144" t="s">
        <v>120</v>
      </c>
      <c r="I40" s="145">
        <v>0</v>
      </c>
      <c r="J40" s="218"/>
    </row>
    <row r="41" spans="1:12" x14ac:dyDescent="0.25">
      <c r="A41" s="207" t="s">
        <v>70</v>
      </c>
      <c r="B41" s="199">
        <v>0</v>
      </c>
      <c r="C41" s="199">
        <v>0</v>
      </c>
      <c r="D41" s="200">
        <v>2400</v>
      </c>
      <c r="E41" s="201">
        <f t="shared" ref="E41:E46" si="3">+C41/D41</f>
        <v>0</v>
      </c>
      <c r="F41" s="201">
        <f t="shared" ref="F41:F46" si="4">+B41/24</f>
        <v>0</v>
      </c>
      <c r="G41" s="202">
        <v>7</v>
      </c>
      <c r="H41" s="144" t="s">
        <v>121</v>
      </c>
      <c r="I41" s="220" t="s">
        <v>149</v>
      </c>
      <c r="J41" s="218" t="s">
        <v>146</v>
      </c>
    </row>
    <row r="42" spans="1:12" x14ac:dyDescent="0.25">
      <c r="A42" s="207" t="s">
        <v>71</v>
      </c>
      <c r="B42" s="199">
        <v>4.59</v>
      </c>
      <c r="C42" s="199">
        <v>2201</v>
      </c>
      <c r="D42" s="200">
        <v>3600</v>
      </c>
      <c r="E42" s="201">
        <f t="shared" si="3"/>
        <v>0.61138888888888887</v>
      </c>
      <c r="F42" s="201">
        <f t="shared" si="4"/>
        <v>0.19125</v>
      </c>
      <c r="G42" s="202">
        <v>12</v>
      </c>
      <c r="H42" s="71"/>
    </row>
    <row r="43" spans="1:12" x14ac:dyDescent="0.25">
      <c r="A43" s="207" t="s">
        <v>72</v>
      </c>
      <c r="B43" s="199">
        <v>9.5399999999999991</v>
      </c>
      <c r="C43" s="199">
        <v>1276</v>
      </c>
      <c r="D43" s="200">
        <v>3900</v>
      </c>
      <c r="E43" s="201">
        <f t="shared" si="3"/>
        <v>0.32717948717948719</v>
      </c>
      <c r="F43" s="201">
        <f t="shared" si="4"/>
        <v>0.39749999999999996</v>
      </c>
      <c r="G43" s="202">
        <v>12</v>
      </c>
      <c r="H43" s="71"/>
    </row>
    <row r="44" spans="1:12" x14ac:dyDescent="0.25">
      <c r="A44" s="207" t="s">
        <v>73</v>
      </c>
      <c r="B44" s="199">
        <v>13.31</v>
      </c>
      <c r="C44" s="199">
        <v>2789</v>
      </c>
      <c r="D44" s="200">
        <v>3900</v>
      </c>
      <c r="E44" s="201">
        <f t="shared" si="3"/>
        <v>0.71512820512820507</v>
      </c>
      <c r="F44" s="201">
        <f t="shared" si="4"/>
        <v>0.55458333333333332</v>
      </c>
      <c r="G44" s="202">
        <v>12</v>
      </c>
      <c r="H44" s="71"/>
    </row>
    <row r="45" spans="1:12" x14ac:dyDescent="0.25">
      <c r="A45" s="207" t="s">
        <v>74</v>
      </c>
      <c r="B45" s="199">
        <v>14.07</v>
      </c>
      <c r="C45" s="199">
        <v>2307</v>
      </c>
      <c r="D45" s="200">
        <v>3900</v>
      </c>
      <c r="E45" s="201">
        <f t="shared" si="3"/>
        <v>0.59153846153846157</v>
      </c>
      <c r="F45" s="201">
        <f t="shared" si="4"/>
        <v>0.58625000000000005</v>
      </c>
      <c r="G45" s="202">
        <v>12</v>
      </c>
      <c r="H45" s="71"/>
    </row>
    <row r="46" spans="1:12" x14ac:dyDescent="0.25">
      <c r="A46" s="207" t="s">
        <v>75</v>
      </c>
      <c r="B46" s="203">
        <v>16.39</v>
      </c>
      <c r="C46" s="204">
        <v>3084</v>
      </c>
      <c r="D46" s="205">
        <v>4300</v>
      </c>
      <c r="E46" s="206">
        <f t="shared" si="3"/>
        <v>0.71720930232558144</v>
      </c>
      <c r="F46" s="201">
        <f t="shared" si="4"/>
        <v>0.68291666666666673</v>
      </c>
      <c r="G46" s="202">
        <v>16</v>
      </c>
      <c r="H46" s="71"/>
    </row>
    <row r="47" spans="1:12" x14ac:dyDescent="0.25">
      <c r="C47" s="71" t="s">
        <v>83</v>
      </c>
      <c r="D47" s="72" t="s">
        <v>79</v>
      </c>
      <c r="H47" s="71"/>
    </row>
    <row r="48" spans="1:12" x14ac:dyDescent="0.25">
      <c r="B48" s="162" t="s">
        <v>78</v>
      </c>
      <c r="H48" s="71"/>
    </row>
    <row r="49" spans="2:8" x14ac:dyDescent="0.25">
      <c r="C49" s="71">
        <v>1</v>
      </c>
      <c r="D49" s="225" t="s">
        <v>153</v>
      </c>
      <c r="H49" s="71"/>
    </row>
    <row r="50" spans="2:8" x14ac:dyDescent="0.25">
      <c r="C50" s="71">
        <v>2</v>
      </c>
      <c r="D50" s="225" t="s">
        <v>153</v>
      </c>
      <c r="H50" s="71"/>
    </row>
    <row r="51" spans="2:8" x14ac:dyDescent="0.25">
      <c r="C51" s="71">
        <v>3</v>
      </c>
      <c r="D51" s="225" t="s">
        <v>154</v>
      </c>
      <c r="H51" s="71"/>
    </row>
    <row r="52" spans="2:8" x14ac:dyDescent="0.25">
      <c r="C52" s="71">
        <v>4</v>
      </c>
      <c r="D52" s="108">
        <v>1</v>
      </c>
      <c r="H52" s="71"/>
    </row>
    <row r="53" spans="2:8" x14ac:dyDescent="0.25">
      <c r="C53" s="71">
        <v>5</v>
      </c>
      <c r="D53" s="108">
        <v>2</v>
      </c>
    </row>
    <row r="54" spans="2:8" x14ac:dyDescent="0.25">
      <c r="C54" s="71">
        <v>6</v>
      </c>
      <c r="D54" s="108">
        <v>11</v>
      </c>
    </row>
    <row r="55" spans="2:8" x14ac:dyDescent="0.25">
      <c r="C55" s="71">
        <v>7</v>
      </c>
      <c r="D55" s="225" t="s">
        <v>153</v>
      </c>
    </row>
    <row r="56" spans="2:8" x14ac:dyDescent="0.25">
      <c r="C56" s="71">
        <v>8</v>
      </c>
      <c r="D56" s="225" t="s">
        <v>153</v>
      </c>
    </row>
    <row r="59" spans="2:8" x14ac:dyDescent="0.25">
      <c r="B59" s="162" t="s">
        <v>163</v>
      </c>
    </row>
  </sheetData>
  <protectedRanges>
    <protectedRange password="D554" sqref="I39:I41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opLeftCell="A15" workbookViewId="0">
      <selection activeCell="E32" sqref="C32:E32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42"/>
      <c r="C4" s="242"/>
      <c r="D4" s="165">
        <f>D20</f>
        <v>5905.9070000000011</v>
      </c>
      <c r="F4" s="58" t="s">
        <v>51</v>
      </c>
      <c r="G4" s="59">
        <v>45873</v>
      </c>
      <c r="H4" s="58">
        <v>4383</v>
      </c>
      <c r="I4" s="141">
        <v>6167.3719999999994</v>
      </c>
      <c r="J4" s="60">
        <f t="shared" ref="J4:J11" si="0">+I4/H4</f>
        <v>1.4071120237280401</v>
      </c>
    </row>
    <row r="5" spans="1:10" ht="15" customHeight="1" x14ac:dyDescent="0.25">
      <c r="A5" s="164"/>
      <c r="B5" s="168" t="s">
        <v>6</v>
      </c>
      <c r="C5" s="176">
        <v>2300</v>
      </c>
      <c r="D5" s="172">
        <v>98.28</v>
      </c>
      <c r="E5" s="80">
        <f>+D5/$D$4</f>
        <v>1.6640966408715881E-2</v>
      </c>
      <c r="F5" s="58" t="s">
        <v>52</v>
      </c>
      <c r="G5" s="59">
        <v>45874</v>
      </c>
      <c r="H5" s="58">
        <v>6443</v>
      </c>
      <c r="I5" s="141">
        <v>8342.9</v>
      </c>
      <c r="J5" s="60">
        <f t="shared" si="0"/>
        <v>1.2948781623467329</v>
      </c>
    </row>
    <row r="6" spans="1:10" ht="15" customHeight="1" x14ac:dyDescent="0.25">
      <c r="A6" s="164"/>
      <c r="B6" s="169" t="s">
        <v>10</v>
      </c>
      <c r="C6" s="177">
        <v>17548</v>
      </c>
      <c r="D6" s="173">
        <v>748.31200000000024</v>
      </c>
      <c r="E6" s="80">
        <f t="shared" ref="E6:E20" si="1">+D6/$D$4</f>
        <v>0.12670568635774321</v>
      </c>
      <c r="F6" s="58" t="s">
        <v>53</v>
      </c>
      <c r="G6" s="59">
        <v>45875</v>
      </c>
      <c r="H6" s="58">
        <v>5799.0000000000009</v>
      </c>
      <c r="I6" s="141">
        <v>7658.75</v>
      </c>
      <c r="J6" s="60">
        <f t="shared" si="0"/>
        <v>1.3207018451457146</v>
      </c>
    </row>
    <row r="7" spans="1:10" ht="15" customHeight="1" x14ac:dyDescent="0.25">
      <c r="A7" s="164"/>
      <c r="B7" s="169" t="s">
        <v>35</v>
      </c>
      <c r="C7" s="177">
        <v>26286</v>
      </c>
      <c r="D7" s="173">
        <v>1120.6049999999998</v>
      </c>
      <c r="E7" s="80">
        <f t="shared" si="1"/>
        <v>0.18974308264590004</v>
      </c>
      <c r="F7" s="58" t="s">
        <v>54</v>
      </c>
      <c r="G7" s="59">
        <v>45876</v>
      </c>
      <c r="H7" s="58">
        <v>7375</v>
      </c>
      <c r="I7" s="141">
        <v>6901.9449999999997</v>
      </c>
      <c r="J7" s="60">
        <f t="shared" si="0"/>
        <v>0.93585694915254236</v>
      </c>
    </row>
    <row r="8" spans="1:10" ht="15" customHeight="1" x14ac:dyDescent="0.25">
      <c r="A8" s="164"/>
      <c r="B8" s="169" t="s">
        <v>4</v>
      </c>
      <c r="C8" s="177">
        <v>5268</v>
      </c>
      <c r="D8" s="173">
        <v>225.11</v>
      </c>
      <c r="E8" s="80">
        <f t="shared" si="1"/>
        <v>3.811607598968287E-2</v>
      </c>
      <c r="F8" s="58" t="s">
        <v>55</v>
      </c>
      <c r="G8" s="59">
        <v>45877</v>
      </c>
      <c r="H8" s="58">
        <v>9602</v>
      </c>
      <c r="I8" s="141">
        <v>8001.12</v>
      </c>
      <c r="J8" s="60">
        <f t="shared" si="0"/>
        <v>0.83327640074984377</v>
      </c>
    </row>
    <row r="9" spans="1:10" ht="15" customHeight="1" x14ac:dyDescent="0.25">
      <c r="A9" s="164"/>
      <c r="B9" s="169" t="s">
        <v>37</v>
      </c>
      <c r="C9" s="177">
        <v>20247</v>
      </c>
      <c r="D9" s="173">
        <v>864.10400000000016</v>
      </c>
      <c r="E9" s="245">
        <f t="shared" si="1"/>
        <v>0.14631181967477647</v>
      </c>
      <c r="F9" s="58" t="s">
        <v>56</v>
      </c>
      <c r="G9" s="59">
        <v>45878</v>
      </c>
      <c r="H9" s="58">
        <v>8049</v>
      </c>
      <c r="I9" s="141">
        <v>7223.18</v>
      </c>
      <c r="J9" s="60">
        <f t="shared" si="0"/>
        <v>0.89740091936886568</v>
      </c>
    </row>
    <row r="10" spans="1:10" ht="15" customHeight="1" x14ac:dyDescent="0.25">
      <c r="A10" s="164"/>
      <c r="B10" s="169" t="s">
        <v>38</v>
      </c>
      <c r="C10" s="177">
        <v>32450</v>
      </c>
      <c r="D10" s="173">
        <v>1384.7900000000004</v>
      </c>
      <c r="E10" s="245">
        <f t="shared" si="1"/>
        <v>0.2344754158844696</v>
      </c>
      <c r="F10" s="58" t="s">
        <v>57</v>
      </c>
      <c r="G10" s="59">
        <v>45879</v>
      </c>
      <c r="H10" s="58">
        <v>5713</v>
      </c>
      <c r="I10" s="141">
        <v>5905.9</v>
      </c>
      <c r="J10" s="60">
        <f t="shared" si="0"/>
        <v>1.0337650971468579</v>
      </c>
    </row>
    <row r="11" spans="1:10" ht="15" customHeight="1" x14ac:dyDescent="0.25">
      <c r="A11" s="164"/>
      <c r="B11" s="169" t="s">
        <v>42</v>
      </c>
      <c r="C11" s="177">
        <v>7820</v>
      </c>
      <c r="D11" s="173">
        <v>334.06599999999997</v>
      </c>
      <c r="E11" s="80">
        <f t="shared" si="1"/>
        <v>5.656472409741635E-2</v>
      </c>
      <c r="H11" s="139">
        <f>+SUM(H4:H10)</f>
        <v>47364</v>
      </c>
      <c r="I11" s="142">
        <f>+SUM(I4:I10)</f>
        <v>50201.167000000001</v>
      </c>
      <c r="J11" s="140">
        <f t="shared" si="0"/>
        <v>1.0599013385693776</v>
      </c>
    </row>
    <row r="12" spans="1:10" ht="15" customHeight="1" x14ac:dyDescent="0.25">
      <c r="A12" s="164"/>
      <c r="B12" s="169" t="s">
        <v>44</v>
      </c>
      <c r="C12" s="177">
        <v>24</v>
      </c>
      <c r="D12" s="173">
        <v>36.25</v>
      </c>
      <c r="E12" s="80">
        <f t="shared" si="1"/>
        <v>6.1379225917373896E-3</v>
      </c>
    </row>
    <row r="13" spans="1:10" ht="15" customHeight="1" x14ac:dyDescent="0.25">
      <c r="A13" s="164"/>
      <c r="B13" s="169" t="s">
        <v>39</v>
      </c>
      <c r="C13" s="177">
        <v>128</v>
      </c>
      <c r="D13" s="173">
        <v>193.31</v>
      </c>
      <c r="E13" s="80">
        <f t="shared" si="1"/>
        <v>3.2731636309207029E-2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159</v>
      </c>
      <c r="D14" s="173">
        <v>239.74</v>
      </c>
      <c r="E14" s="80">
        <f t="shared" si="1"/>
        <v>4.0593256886706813E-2</v>
      </c>
      <c r="F14" s="112" t="s">
        <v>108</v>
      </c>
      <c r="G14" s="190">
        <v>204007.80300000001</v>
      </c>
      <c r="H14" s="190">
        <v>190629.128</v>
      </c>
      <c r="I14" s="57">
        <f t="shared" ref="I14:I21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22</v>
      </c>
      <c r="D15" s="173">
        <v>33.020000000000003</v>
      </c>
      <c r="E15" s="80">
        <f t="shared" si="1"/>
        <v>5.5910125235632728E-3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41</v>
      </c>
      <c r="C16" s="177">
        <v>61</v>
      </c>
      <c r="D16" s="173">
        <v>91.86</v>
      </c>
      <c r="E16" s="80">
        <f t="shared" si="1"/>
        <v>1.5553919152468872E-2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2" ht="15" customHeight="1" x14ac:dyDescent="0.25">
      <c r="A17" s="164"/>
      <c r="B17" s="169" t="s">
        <v>40</v>
      </c>
      <c r="C17" s="177"/>
      <c r="D17" s="173">
        <v>416.72</v>
      </c>
      <c r="E17" s="80">
        <f t="shared" si="1"/>
        <v>7.0559864894587737E-2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2" ht="15" customHeight="1" x14ac:dyDescent="0.25">
      <c r="A18" s="164"/>
      <c r="B18" s="169" t="s">
        <v>9</v>
      </c>
      <c r="C18" s="177"/>
      <c r="D18" s="173">
        <v>91.45</v>
      </c>
      <c r="E18" s="80">
        <f t="shared" si="1"/>
        <v>1.5484497131431291E-2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2" ht="15" customHeight="1" thickBot="1" x14ac:dyDescent="0.3">
      <c r="A19" s="164"/>
      <c r="B19" s="169" t="s">
        <v>46</v>
      </c>
      <c r="C19" s="177"/>
      <c r="D19" s="173">
        <v>28.29</v>
      </c>
      <c r="E19" s="80">
        <f t="shared" si="1"/>
        <v>4.7901194515931247E-3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2" ht="15" customHeight="1" thickBot="1" x14ac:dyDescent="0.3">
      <c r="B20" s="178" t="s">
        <v>0</v>
      </c>
      <c r="C20" s="170"/>
      <c r="D20" s="171">
        <f>SUM(D5:D19)</f>
        <v>5905.9070000000011</v>
      </c>
      <c r="E20" s="80">
        <f t="shared" si="1"/>
        <v>1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2" ht="15" customHeight="1" x14ac:dyDescent="0.25">
      <c r="B21" s="166" t="s">
        <v>1</v>
      </c>
      <c r="C21" s="167"/>
      <c r="D21" s="233">
        <v>74345.127000000022</v>
      </c>
      <c r="E21" s="57">
        <f>+D21/$E$2</f>
        <v>0.32381269028236931</v>
      </c>
      <c r="F21" s="112" t="s">
        <v>135</v>
      </c>
      <c r="G21" s="190">
        <v>232937.965</v>
      </c>
      <c r="H21" s="190">
        <f>+D21</f>
        <v>74345.127000000022</v>
      </c>
      <c r="I21" s="98">
        <f t="shared" si="2"/>
        <v>0.31916277365950213</v>
      </c>
      <c r="J21" s="108">
        <f>+H24-G24</f>
        <v>-170190.43600000022</v>
      </c>
    </row>
    <row r="22" spans="1:12" ht="15" customHeight="1" x14ac:dyDescent="0.25">
      <c r="D22" s="193">
        <f>+(E2/31)*10</f>
        <v>74062.258064516122</v>
      </c>
      <c r="E22" s="98">
        <f>+D22/E2</f>
        <v>0.32258064516129031</v>
      </c>
      <c r="F22" s="112" t="s">
        <v>160</v>
      </c>
      <c r="G22" s="112"/>
      <c r="H22" s="112"/>
    </row>
    <row r="23" spans="1:12" ht="15" customHeight="1" x14ac:dyDescent="0.25">
      <c r="D23" s="138">
        <f>+D22-D21</f>
        <v>-282.86893548390071</v>
      </c>
      <c r="E23" s="99">
        <f>E22-E21</f>
        <v>-1.2320451210789951E-3</v>
      </c>
      <c r="F23" s="112" t="s">
        <v>161</v>
      </c>
      <c r="G23" s="112"/>
      <c r="H23" s="112"/>
    </row>
    <row r="24" spans="1:12" ht="15" customHeight="1" x14ac:dyDescent="0.25">
      <c r="D24" s="162"/>
      <c r="F24" s="179"/>
      <c r="G24" s="68">
        <f>+SUM(G14:G21)</f>
        <v>1653662.5050000001</v>
      </c>
      <c r="H24" s="68">
        <f>+SUM(H14:H21)</f>
        <v>1483472.0689999999</v>
      </c>
    </row>
    <row r="25" spans="1:12" ht="15" customHeight="1" x14ac:dyDescent="0.25">
      <c r="D25" s="162"/>
    </row>
    <row r="26" spans="1:12" ht="15" customHeight="1" x14ac:dyDescent="0.25">
      <c r="D26" s="162"/>
    </row>
    <row r="27" spans="1:12" ht="15" customHeight="1" x14ac:dyDescent="0.25"/>
    <row r="28" spans="1:12" ht="15" customHeight="1" x14ac:dyDescent="0.25">
      <c r="B28" s="66" t="s">
        <v>60</v>
      </c>
      <c r="D28" s="109" t="s">
        <v>105</v>
      </c>
      <c r="E28" s="109" t="s">
        <v>80</v>
      </c>
      <c r="G28" s="163"/>
      <c r="H28" s="237" t="s">
        <v>157</v>
      </c>
      <c r="I28" s="237" t="s">
        <v>92</v>
      </c>
      <c r="J28" s="71"/>
    </row>
    <row r="29" spans="1:12" ht="15" customHeight="1" x14ac:dyDescent="0.25">
      <c r="B29" s="162" t="s">
        <v>61</v>
      </c>
      <c r="C29" s="162">
        <v>1505</v>
      </c>
      <c r="D29" s="108">
        <v>2142</v>
      </c>
      <c r="E29" s="57">
        <f>+C29/D29</f>
        <v>0.70261437908496727</v>
      </c>
      <c r="G29" s="86" t="s">
        <v>86</v>
      </c>
      <c r="H29" s="87">
        <v>7136</v>
      </c>
      <c r="I29" s="88">
        <v>178.4</v>
      </c>
      <c r="J29" s="228"/>
      <c r="K29" s="229"/>
    </row>
    <row r="30" spans="1:12" ht="15" customHeight="1" x14ac:dyDescent="0.25">
      <c r="B30" s="162" t="s">
        <v>62</v>
      </c>
      <c r="C30" s="162">
        <v>2411</v>
      </c>
      <c r="D30" s="108">
        <v>1890</v>
      </c>
      <c r="E30" s="57">
        <f>+C30/D30</f>
        <v>1.2756613756613757</v>
      </c>
      <c r="G30" s="86" t="s">
        <v>104</v>
      </c>
      <c r="H30" s="87">
        <v>14</v>
      </c>
      <c r="I30" s="88">
        <v>0.35000000000000003</v>
      </c>
      <c r="J30" s="228"/>
      <c r="K30" s="229"/>
    </row>
    <row r="31" spans="1:12" ht="15" customHeight="1" x14ac:dyDescent="0.25">
      <c r="B31" s="162" t="s">
        <v>63</v>
      </c>
      <c r="C31" s="67">
        <v>2466</v>
      </c>
      <c r="D31" s="108">
        <v>3006</v>
      </c>
      <c r="E31" s="57">
        <f>+C31/D31</f>
        <v>0.82035928143712578</v>
      </c>
      <c r="G31" s="89" t="s">
        <v>87</v>
      </c>
      <c r="H31" s="87">
        <v>102</v>
      </c>
      <c r="I31" s="88">
        <v>153</v>
      </c>
      <c r="J31" s="240">
        <v>45878</v>
      </c>
      <c r="K31" s="241">
        <v>61</v>
      </c>
      <c r="L31" s="215"/>
    </row>
    <row r="32" spans="1:12" ht="15" customHeight="1" x14ac:dyDescent="0.25">
      <c r="C32" s="162">
        <f>+SUM(C29:C31)</f>
        <v>6382</v>
      </c>
      <c r="D32" s="110">
        <f>+SUM(D29:D31)</f>
        <v>7038</v>
      </c>
      <c r="E32" s="57">
        <f>+C32/D32</f>
        <v>0.90679170218812166</v>
      </c>
      <c r="G32" s="89" t="s">
        <v>91</v>
      </c>
      <c r="H32" s="87">
        <v>3</v>
      </c>
      <c r="I32" s="88">
        <v>4.5</v>
      </c>
      <c r="J32" s="230" t="s">
        <v>162</v>
      </c>
    </row>
    <row r="33" spans="1:10" ht="15" customHeight="1" x14ac:dyDescent="0.25">
      <c r="G33" s="231" t="s">
        <v>123</v>
      </c>
      <c r="H33" s="138">
        <v>231</v>
      </c>
      <c r="I33" s="232">
        <v>346.5</v>
      </c>
      <c r="J33" s="218" t="s">
        <v>146</v>
      </c>
    </row>
    <row r="34" spans="1:10" ht="15" customHeight="1" x14ac:dyDescent="0.25">
      <c r="B34" s="162" t="s">
        <v>66</v>
      </c>
      <c r="D34" s="162"/>
      <c r="G34" s="89" t="s">
        <v>96</v>
      </c>
      <c r="H34" s="87">
        <v>22</v>
      </c>
      <c r="I34" s="88">
        <v>33</v>
      </c>
      <c r="J34" s="218" t="s">
        <v>146</v>
      </c>
    </row>
    <row r="35" spans="1:10" ht="15" customHeight="1" x14ac:dyDescent="0.25">
      <c r="B35" s="76" t="s">
        <v>67</v>
      </c>
      <c r="C35" s="77" t="s">
        <v>68</v>
      </c>
      <c r="D35" s="78" t="s">
        <v>69</v>
      </c>
      <c r="E35" s="79" t="s">
        <v>33</v>
      </c>
      <c r="G35" s="89" t="s">
        <v>107</v>
      </c>
      <c r="H35" s="87">
        <v>239</v>
      </c>
      <c r="I35" s="88">
        <f>+H35*1.5</f>
        <v>358.5</v>
      </c>
      <c r="J35" s="224" t="s">
        <v>152</v>
      </c>
    </row>
    <row r="36" spans="1:10" ht="15" customHeight="1" x14ac:dyDescent="0.25">
      <c r="B36" s="73">
        <v>6</v>
      </c>
      <c r="C36" s="74">
        <v>2</v>
      </c>
      <c r="D36" s="74">
        <v>17</v>
      </c>
      <c r="E36" s="75">
        <f>+SUM(B36:D36)</f>
        <v>25</v>
      </c>
      <c r="J36" s="218"/>
    </row>
    <row r="37" spans="1:10" x14ac:dyDescent="0.25">
      <c r="E37" s="198" t="s">
        <v>76</v>
      </c>
      <c r="F37" s="198" t="s">
        <v>137</v>
      </c>
      <c r="H37" s="144" t="s">
        <v>124</v>
      </c>
      <c r="I37" s="220" t="s">
        <v>148</v>
      </c>
      <c r="J37" s="218" t="s">
        <v>146</v>
      </c>
    </row>
    <row r="38" spans="1:10" x14ac:dyDescent="0.25">
      <c r="D38" s="162"/>
      <c r="G38" s="71" t="s">
        <v>90</v>
      </c>
      <c r="H38" s="144" t="s">
        <v>120</v>
      </c>
      <c r="I38" s="145">
        <v>0</v>
      </c>
      <c r="J38" s="218"/>
    </row>
    <row r="39" spans="1:10" x14ac:dyDescent="0.25">
      <c r="A39" s="207" t="s">
        <v>70</v>
      </c>
      <c r="B39" s="199">
        <v>0</v>
      </c>
      <c r="C39" s="199">
        <v>0</v>
      </c>
      <c r="D39" s="200">
        <v>2400</v>
      </c>
      <c r="E39" s="201">
        <f t="shared" ref="E39:E44" si="3">+C39/D39</f>
        <v>0</v>
      </c>
      <c r="F39" s="201">
        <f t="shared" ref="F39:F44" si="4">+B39/24</f>
        <v>0</v>
      </c>
      <c r="G39" s="202">
        <v>7</v>
      </c>
      <c r="H39" s="144" t="s">
        <v>121</v>
      </c>
      <c r="I39" s="220" t="s">
        <v>149</v>
      </c>
      <c r="J39" s="218" t="s">
        <v>146</v>
      </c>
    </row>
    <row r="40" spans="1:10" x14ac:dyDescent="0.25">
      <c r="A40" s="207" t="s">
        <v>71</v>
      </c>
      <c r="B40" s="199">
        <v>12.89</v>
      </c>
      <c r="C40" s="199">
        <v>1678</v>
      </c>
      <c r="D40" s="200">
        <v>3600</v>
      </c>
      <c r="E40" s="201">
        <f t="shared" si="3"/>
        <v>0.46611111111111109</v>
      </c>
      <c r="F40" s="201">
        <f t="shared" si="4"/>
        <v>0.53708333333333336</v>
      </c>
      <c r="G40" s="202">
        <v>12</v>
      </c>
      <c r="H40" s="71"/>
    </row>
    <row r="41" spans="1:10" x14ac:dyDescent="0.25">
      <c r="A41" s="207" t="s">
        <v>72</v>
      </c>
      <c r="B41" s="199">
        <v>6.57</v>
      </c>
      <c r="C41" s="199">
        <v>1495</v>
      </c>
      <c r="D41" s="200">
        <v>3900</v>
      </c>
      <c r="E41" s="201">
        <f t="shared" si="3"/>
        <v>0.38333333333333336</v>
      </c>
      <c r="F41" s="201">
        <f t="shared" si="4"/>
        <v>0.27374999999999999</v>
      </c>
      <c r="G41" s="202">
        <v>12</v>
      </c>
      <c r="H41" s="71"/>
    </row>
    <row r="42" spans="1:10" x14ac:dyDescent="0.25">
      <c r="A42" s="207" t="s">
        <v>73</v>
      </c>
      <c r="B42" s="199">
        <v>10.92</v>
      </c>
      <c r="C42" s="199">
        <v>2467</v>
      </c>
      <c r="D42" s="200">
        <v>3900</v>
      </c>
      <c r="E42" s="201">
        <f t="shared" si="3"/>
        <v>0.63256410256410256</v>
      </c>
      <c r="F42" s="201">
        <f t="shared" si="4"/>
        <v>0.45500000000000002</v>
      </c>
      <c r="G42" s="202">
        <v>12</v>
      </c>
      <c r="H42" s="71"/>
    </row>
    <row r="43" spans="1:10" x14ac:dyDescent="0.25">
      <c r="A43" s="207" t="s">
        <v>74</v>
      </c>
      <c r="B43" s="199">
        <v>14.02</v>
      </c>
      <c r="C43" s="199">
        <v>2650</v>
      </c>
      <c r="D43" s="200">
        <v>3900</v>
      </c>
      <c r="E43" s="201">
        <f t="shared" si="3"/>
        <v>0.67948717948717952</v>
      </c>
      <c r="F43" s="201">
        <f t="shared" si="4"/>
        <v>0.58416666666666661</v>
      </c>
      <c r="G43" s="202">
        <v>12</v>
      </c>
      <c r="H43" s="71"/>
    </row>
    <row r="44" spans="1:10" x14ac:dyDescent="0.25">
      <c r="A44" s="207" t="s">
        <v>75</v>
      </c>
      <c r="B44" s="203">
        <v>10.88</v>
      </c>
      <c r="C44" s="204">
        <v>2501</v>
      </c>
      <c r="D44" s="205">
        <v>4300</v>
      </c>
      <c r="E44" s="206">
        <f t="shared" si="3"/>
        <v>0.58162790697674416</v>
      </c>
      <c r="F44" s="201">
        <f t="shared" si="4"/>
        <v>0.45333333333333337</v>
      </c>
      <c r="G44" s="202">
        <v>16</v>
      </c>
      <c r="H44" s="71"/>
    </row>
    <row r="45" spans="1:10" ht="15" customHeight="1" x14ac:dyDescent="0.25">
      <c r="C45" s="71" t="s">
        <v>83</v>
      </c>
      <c r="D45" s="72" t="s">
        <v>79</v>
      </c>
      <c r="H45" s="71"/>
    </row>
    <row r="46" spans="1:10" ht="15" customHeight="1" x14ac:dyDescent="0.25">
      <c r="B46" s="162" t="s">
        <v>78</v>
      </c>
      <c r="H46" s="71"/>
    </row>
    <row r="47" spans="1:10" x14ac:dyDescent="0.25">
      <c r="C47" s="71">
        <v>1</v>
      </c>
      <c r="D47" s="225" t="s">
        <v>153</v>
      </c>
      <c r="H47" s="71"/>
    </row>
    <row r="48" spans="1:10" x14ac:dyDescent="0.25">
      <c r="C48" s="71">
        <v>2</v>
      </c>
      <c r="D48" s="225" t="s">
        <v>153</v>
      </c>
      <c r="H48" s="71"/>
    </row>
    <row r="49" spans="2:8" x14ac:dyDescent="0.25">
      <c r="C49" s="71">
        <v>3</v>
      </c>
      <c r="D49" s="225" t="s">
        <v>154</v>
      </c>
      <c r="H49" s="71"/>
    </row>
    <row r="50" spans="2:8" x14ac:dyDescent="0.25">
      <c r="C50" s="71">
        <v>4</v>
      </c>
      <c r="D50" s="108">
        <v>1</v>
      </c>
      <c r="H50" s="71"/>
    </row>
    <row r="51" spans="2:8" x14ac:dyDescent="0.25">
      <c r="C51" s="71">
        <v>5</v>
      </c>
      <c r="D51" s="108">
        <v>2</v>
      </c>
    </row>
    <row r="52" spans="2:8" x14ac:dyDescent="0.25">
      <c r="C52" s="71">
        <v>6</v>
      </c>
      <c r="D52" s="108">
        <v>11</v>
      </c>
    </row>
    <row r="53" spans="2:8" x14ac:dyDescent="0.25">
      <c r="C53" s="71">
        <v>7</v>
      </c>
      <c r="D53" s="225" t="s">
        <v>153</v>
      </c>
    </row>
    <row r="54" spans="2:8" x14ac:dyDescent="0.25">
      <c r="C54" s="71">
        <v>8</v>
      </c>
      <c r="D54" s="225" t="s">
        <v>153</v>
      </c>
    </row>
    <row r="57" spans="2:8" x14ac:dyDescent="0.25">
      <c r="B57" s="162" t="s">
        <v>163</v>
      </c>
    </row>
  </sheetData>
  <protectedRanges>
    <protectedRange password="D554" sqref="I37:I3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15" workbookViewId="0">
      <selection activeCell="E21" sqref="E21"/>
    </sheetView>
  </sheetViews>
  <sheetFormatPr baseColWidth="10" defaultColWidth="11.42578125" defaultRowHeight="15.75" x14ac:dyDescent="0.25"/>
  <cols>
    <col min="1" max="1" width="2.42578125" style="162" customWidth="1"/>
    <col min="2" max="2" width="45.140625" style="162" customWidth="1"/>
    <col min="3" max="3" width="15.28515625" style="162" customWidth="1"/>
    <col min="4" max="4" width="15.28515625" style="163" customWidth="1"/>
    <col min="5" max="5" width="13" style="162" bestFit="1" customWidth="1"/>
    <col min="6" max="9" width="11.42578125" style="162"/>
    <col min="10" max="10" width="8.5703125" style="162" customWidth="1"/>
    <col min="11" max="16384" width="11.42578125" style="162"/>
  </cols>
  <sheetData>
    <row r="1" spans="1:10" ht="15" customHeight="1" x14ac:dyDescent="0.25">
      <c r="A1" s="161"/>
      <c r="B1" s="518">
        <v>45881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43"/>
      <c r="C4" s="243"/>
      <c r="D4" s="165">
        <f>D20</f>
        <v>8999.3209999999999</v>
      </c>
      <c r="F4" s="58" t="s">
        <v>51</v>
      </c>
      <c r="G4" s="59">
        <v>45880</v>
      </c>
      <c r="H4" s="58">
        <v>5085</v>
      </c>
      <c r="I4" s="141">
        <v>6685.55</v>
      </c>
      <c r="J4" s="60">
        <f t="shared" ref="J4:J11" si="0">+I4/H4</f>
        <v>1.3147590953785644</v>
      </c>
    </row>
    <row r="5" spans="1:10" ht="15" customHeight="1" x14ac:dyDescent="0.25">
      <c r="A5" s="164"/>
      <c r="B5" s="168" t="s">
        <v>6</v>
      </c>
      <c r="C5" s="176">
        <v>6140</v>
      </c>
      <c r="D5" s="172">
        <v>262.12799999999999</v>
      </c>
      <c r="E5" s="80">
        <f>+D5/$D$4</f>
        <v>2.9127530843715874E-2</v>
      </c>
      <c r="F5" s="58" t="s">
        <v>52</v>
      </c>
      <c r="G5" s="59">
        <v>45881</v>
      </c>
      <c r="H5" s="58">
        <v>7027</v>
      </c>
      <c r="I5" s="141">
        <v>8999.3209999999999</v>
      </c>
      <c r="J5" s="60">
        <f t="shared" si="0"/>
        <v>1.2806775295289596</v>
      </c>
    </row>
    <row r="6" spans="1:10" ht="15" customHeight="1" x14ac:dyDescent="0.25">
      <c r="A6" s="164"/>
      <c r="B6" s="169" t="s">
        <v>10</v>
      </c>
      <c r="C6" s="177">
        <v>23386</v>
      </c>
      <c r="D6" s="173">
        <v>997.75399999999991</v>
      </c>
      <c r="E6" s="80">
        <f t="shared" ref="E6:E20" si="1">+D6/$D$4</f>
        <v>0.11086992007508122</v>
      </c>
      <c r="F6" s="58" t="s">
        <v>53</v>
      </c>
      <c r="G6" s="59">
        <v>45882</v>
      </c>
      <c r="H6" s="58">
        <v>7012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21710</v>
      </c>
      <c r="D7" s="173">
        <v>924.04000000000008</v>
      </c>
      <c r="E7" s="80">
        <f t="shared" si="1"/>
        <v>0.1026788576604835</v>
      </c>
      <c r="F7" s="58" t="s">
        <v>54</v>
      </c>
      <c r="G7" s="59">
        <v>45883</v>
      </c>
      <c r="H7" s="58">
        <v>7546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1580</v>
      </c>
      <c r="D8" s="173">
        <v>67.42</v>
      </c>
      <c r="E8" s="80">
        <f t="shared" si="1"/>
        <v>7.4916763164687653E-3</v>
      </c>
      <c r="F8" s="58" t="s">
        <v>55</v>
      </c>
      <c r="G8" s="59">
        <v>45884</v>
      </c>
      <c r="H8" s="58">
        <v>7992.6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49641</v>
      </c>
      <c r="D9" s="173">
        <v>2118.2839999999992</v>
      </c>
      <c r="E9" s="245">
        <f t="shared" si="1"/>
        <v>0.23538264720193883</v>
      </c>
      <c r="F9" s="58" t="s">
        <v>56</v>
      </c>
      <c r="G9" s="59">
        <v>45885</v>
      </c>
      <c r="H9" s="58">
        <v>8245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44821</v>
      </c>
      <c r="D10" s="173">
        <v>1910.4860000000003</v>
      </c>
      <c r="E10" s="245">
        <f t="shared" si="1"/>
        <v>0.21229223849221518</v>
      </c>
      <c r="F10" s="58" t="s">
        <v>57</v>
      </c>
      <c r="G10" s="59">
        <v>45886</v>
      </c>
      <c r="H10" s="58">
        <v>6382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7658</v>
      </c>
      <c r="D11" s="173">
        <v>326.84799999999996</v>
      </c>
      <c r="E11" s="80">
        <f t="shared" si="1"/>
        <v>3.6319184525143614E-2</v>
      </c>
      <c r="H11" s="139">
        <f>+SUM(H4:H10)</f>
        <v>49289.599999999999</v>
      </c>
      <c r="I11" s="142">
        <f>+SUM(I4:I10)</f>
        <v>15684.870999999999</v>
      </c>
      <c r="J11" s="140">
        <f t="shared" si="0"/>
        <v>0.31821867087580341</v>
      </c>
    </row>
    <row r="12" spans="1:10" ht="15" customHeight="1" x14ac:dyDescent="0.25">
      <c r="A12" s="164"/>
      <c r="B12" s="169" t="s">
        <v>44</v>
      </c>
      <c r="C12" s="177">
        <v>91</v>
      </c>
      <c r="D12" s="173">
        <v>137.21099999999998</v>
      </c>
      <c r="E12" s="80">
        <f t="shared" si="1"/>
        <v>1.5246816954301329E-2</v>
      </c>
    </row>
    <row r="13" spans="1:10" ht="15" customHeight="1" x14ac:dyDescent="0.25">
      <c r="A13" s="164"/>
      <c r="B13" s="169" t="s">
        <v>39</v>
      </c>
      <c r="C13" s="177">
        <v>347</v>
      </c>
      <c r="D13" s="173">
        <v>523.34</v>
      </c>
      <c r="E13" s="80">
        <f t="shared" si="1"/>
        <v>5.8153276230506729E-2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382</v>
      </c>
      <c r="D14" s="173">
        <v>575.79999999999995</v>
      </c>
      <c r="E14" s="80">
        <f t="shared" si="1"/>
        <v>6.3982604909859311E-2</v>
      </c>
      <c r="F14" s="112" t="s">
        <v>108</v>
      </c>
      <c r="G14" s="190">
        <v>204007.80300000001</v>
      </c>
      <c r="H14" s="190">
        <v>190629.128</v>
      </c>
      <c r="I14" s="57">
        <f t="shared" ref="I14:I21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43</v>
      </c>
      <c r="D15" s="173">
        <v>64.75</v>
      </c>
      <c r="E15" s="80">
        <f t="shared" si="1"/>
        <v>7.1949872662615327E-3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41</v>
      </c>
      <c r="C16" s="177">
        <v>223</v>
      </c>
      <c r="D16" s="173">
        <v>335.38000000000005</v>
      </c>
      <c r="E16" s="80">
        <f t="shared" si="1"/>
        <v>3.7267256051873254E-2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40</v>
      </c>
      <c r="C17" s="177"/>
      <c r="D17" s="173">
        <v>333.34000000000003</v>
      </c>
      <c r="E17" s="80">
        <f t="shared" si="1"/>
        <v>3.7040572283175588E-2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9</v>
      </c>
      <c r="C18" s="177"/>
      <c r="D18" s="173">
        <v>274.69000000000005</v>
      </c>
      <c r="E18" s="80">
        <f t="shared" si="1"/>
        <v>3.052341393311785E-2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thickBot="1" x14ac:dyDescent="0.3">
      <c r="A19" s="164"/>
      <c r="B19" s="169" t="s">
        <v>46</v>
      </c>
      <c r="C19" s="177"/>
      <c r="D19" s="173">
        <v>147.85</v>
      </c>
      <c r="E19" s="80">
        <f t="shared" si="1"/>
        <v>1.6429017255857412E-2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thickBot="1" x14ac:dyDescent="0.3">
      <c r="B20" s="178" t="s">
        <v>0</v>
      </c>
      <c r="C20" s="170"/>
      <c r="D20" s="171">
        <f>SUM(D5:D19)</f>
        <v>8999.3209999999999</v>
      </c>
      <c r="E20" s="80">
        <f t="shared" si="1"/>
        <v>1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B21" s="166" t="s">
        <v>1</v>
      </c>
      <c r="C21" s="167"/>
      <c r="D21" s="233">
        <v>90061.885000000009</v>
      </c>
      <c r="E21" s="57">
        <f>+D21/$E$2</f>
        <v>0.39226755606660485</v>
      </c>
      <c r="F21" s="112" t="s">
        <v>135</v>
      </c>
      <c r="G21" s="190">
        <v>232937.965</v>
      </c>
      <c r="H21" s="190">
        <f>+D21</f>
        <v>90061.885000000009</v>
      </c>
      <c r="I21" s="98">
        <f t="shared" si="2"/>
        <v>0.38663463467623238</v>
      </c>
      <c r="J21" s="108">
        <f>+H24-G24</f>
        <v>-154473.67800000031</v>
      </c>
    </row>
    <row r="22" spans="1:11" x14ac:dyDescent="0.25">
      <c r="D22" s="193">
        <f>+(E2/31)*12</f>
        <v>88874.709677419349</v>
      </c>
      <c r="E22" s="98">
        <f>+D22/E2</f>
        <v>0.38709677419354838</v>
      </c>
      <c r="F22" s="112" t="s">
        <v>160</v>
      </c>
      <c r="G22" s="112"/>
      <c r="H22" s="112"/>
    </row>
    <row r="23" spans="1:11" x14ac:dyDescent="0.25">
      <c r="D23" s="138">
        <f>+D21-D22</f>
        <v>1187.1753225806606</v>
      </c>
      <c r="E23" s="99">
        <f>+E21-E22</f>
        <v>5.1707818730564736E-3</v>
      </c>
      <c r="F23" s="112" t="s">
        <v>161</v>
      </c>
      <c r="G23" s="112"/>
      <c r="H23" s="112"/>
    </row>
    <row r="24" spans="1:11" x14ac:dyDescent="0.25">
      <c r="D24" s="162"/>
      <c r="F24" s="179"/>
      <c r="G24" s="68">
        <f>+SUM(G14:G21)</f>
        <v>1653662.5050000001</v>
      </c>
      <c r="H24" s="68">
        <f>+SUM(H14:H21)</f>
        <v>1499188.8269999998</v>
      </c>
    </row>
    <row r="25" spans="1:11" x14ac:dyDescent="0.25">
      <c r="D25" s="162"/>
    </row>
    <row r="26" spans="1:11" x14ac:dyDescent="0.25">
      <c r="D26" s="162"/>
    </row>
    <row r="28" spans="1:11" ht="15" customHeight="1" x14ac:dyDescent="0.25">
      <c r="B28" s="66" t="s">
        <v>60</v>
      </c>
      <c r="D28" s="109" t="s">
        <v>105</v>
      </c>
      <c r="E28" s="109" t="s">
        <v>80</v>
      </c>
      <c r="G28" s="163"/>
      <c r="H28" s="237" t="s">
        <v>157</v>
      </c>
      <c r="I28" s="237" t="s">
        <v>92</v>
      </c>
      <c r="J28" s="71"/>
    </row>
    <row r="29" spans="1:11" ht="15" customHeight="1" x14ac:dyDescent="0.25">
      <c r="B29" s="162" t="s">
        <v>61</v>
      </c>
      <c r="C29" s="162">
        <v>1124</v>
      </c>
      <c r="D29" s="108">
        <v>2142</v>
      </c>
      <c r="E29" s="57">
        <f>+C29/D29</f>
        <v>0.52474323062558359</v>
      </c>
      <c r="G29" s="86" t="s">
        <v>86</v>
      </c>
      <c r="H29" s="87">
        <v>5840</v>
      </c>
      <c r="I29" s="88">
        <v>146</v>
      </c>
      <c r="J29" s="228"/>
      <c r="K29" s="229"/>
    </row>
    <row r="30" spans="1:11" x14ac:dyDescent="0.25">
      <c r="B30" s="162" t="s">
        <v>62</v>
      </c>
      <c r="C30" s="162">
        <v>1335</v>
      </c>
      <c r="D30" s="108">
        <v>1890</v>
      </c>
      <c r="E30" s="57">
        <f>+C30/D30</f>
        <v>0.70634920634920639</v>
      </c>
      <c r="G30" s="86" t="s">
        <v>104</v>
      </c>
      <c r="H30" s="87">
        <v>14</v>
      </c>
      <c r="I30" s="88">
        <v>0.35000000000000003</v>
      </c>
      <c r="J30" s="228"/>
      <c r="K30" s="229"/>
    </row>
    <row r="31" spans="1:11" x14ac:dyDescent="0.25">
      <c r="B31" s="162" t="s">
        <v>63</v>
      </c>
      <c r="C31" s="67">
        <v>1752</v>
      </c>
      <c r="D31" s="108">
        <v>3006</v>
      </c>
      <c r="E31" s="57">
        <f>+C31/D31</f>
        <v>0.58283433133732532</v>
      </c>
      <c r="G31" s="89" t="s">
        <v>87</v>
      </c>
      <c r="H31" s="87">
        <v>102</v>
      </c>
      <c r="I31" s="88">
        <v>153</v>
      </c>
      <c r="J31" s="240">
        <v>45878</v>
      </c>
      <c r="K31" s="241">
        <v>61</v>
      </c>
    </row>
    <row r="32" spans="1:11" ht="67.5" x14ac:dyDescent="0.25">
      <c r="C32" s="162">
        <f>+SUM(C29:C31)</f>
        <v>4211</v>
      </c>
      <c r="D32" s="110">
        <f>+SUM(D29:D31)</f>
        <v>7038</v>
      </c>
      <c r="E32" s="57">
        <f>+C32/D32</f>
        <v>0.59832338732594492</v>
      </c>
      <c r="G32" s="89" t="s">
        <v>91</v>
      </c>
      <c r="H32" s="87">
        <v>3</v>
      </c>
      <c r="I32" s="88">
        <v>4.5</v>
      </c>
      <c r="J32" s="230" t="s">
        <v>162</v>
      </c>
    </row>
    <row r="33" spans="1:10" x14ac:dyDescent="0.25">
      <c r="G33" s="231" t="s">
        <v>123</v>
      </c>
      <c r="H33" s="138">
        <v>231</v>
      </c>
      <c r="I33" s="232">
        <v>346.5</v>
      </c>
      <c r="J33" s="218" t="s">
        <v>146</v>
      </c>
    </row>
    <row r="34" spans="1:10" x14ac:dyDescent="0.25">
      <c r="B34" s="162" t="s">
        <v>66</v>
      </c>
      <c r="D34" s="162"/>
      <c r="G34" s="89" t="s">
        <v>96</v>
      </c>
      <c r="H34" s="87">
        <v>22</v>
      </c>
      <c r="I34" s="88">
        <v>33</v>
      </c>
      <c r="J34" s="218" t="s">
        <v>146</v>
      </c>
    </row>
    <row r="35" spans="1:10" x14ac:dyDescent="0.25">
      <c r="B35" s="76" t="s">
        <v>67</v>
      </c>
      <c r="C35" s="77" t="s">
        <v>68</v>
      </c>
      <c r="D35" s="78" t="s">
        <v>69</v>
      </c>
      <c r="E35" s="79" t="s">
        <v>33</v>
      </c>
      <c r="G35" s="89" t="s">
        <v>107</v>
      </c>
      <c r="H35" s="87">
        <v>239</v>
      </c>
      <c r="I35" s="88">
        <f>+H35*1.5</f>
        <v>358.5</v>
      </c>
      <c r="J35" s="224" t="s">
        <v>152</v>
      </c>
    </row>
    <row r="36" spans="1:10" x14ac:dyDescent="0.25">
      <c r="B36" s="73">
        <v>23</v>
      </c>
      <c r="C36" s="74">
        <v>2</v>
      </c>
      <c r="D36" s="74">
        <v>14</v>
      </c>
      <c r="E36" s="75">
        <f>+SUM(B36:D36)</f>
        <v>39</v>
      </c>
      <c r="J36" s="218"/>
    </row>
    <row r="37" spans="1:10" x14ac:dyDescent="0.25">
      <c r="E37" s="198" t="s">
        <v>76</v>
      </c>
      <c r="F37" s="198" t="s">
        <v>137</v>
      </c>
      <c r="H37" s="144" t="s">
        <v>124</v>
      </c>
      <c r="I37" s="220" t="s">
        <v>148</v>
      </c>
      <c r="J37" s="218" t="s">
        <v>146</v>
      </c>
    </row>
    <row r="38" spans="1:10" x14ac:dyDescent="0.25">
      <c r="D38" s="162"/>
      <c r="G38" s="71" t="s">
        <v>90</v>
      </c>
      <c r="H38" s="144" t="s">
        <v>120</v>
      </c>
      <c r="I38" s="145">
        <v>0</v>
      </c>
      <c r="J38" s="218"/>
    </row>
    <row r="39" spans="1:10" x14ac:dyDescent="0.25">
      <c r="A39" s="207" t="s">
        <v>70</v>
      </c>
      <c r="B39" s="199">
        <v>0</v>
      </c>
      <c r="C39" s="199">
        <v>0</v>
      </c>
      <c r="D39" s="200">
        <v>2400</v>
      </c>
      <c r="E39" s="201">
        <f t="shared" ref="E39:E44" si="3">+C39/D39</f>
        <v>0</v>
      </c>
      <c r="F39" s="201">
        <f t="shared" ref="F39:F44" si="4">+B39/24</f>
        <v>0</v>
      </c>
      <c r="G39" s="202">
        <v>7</v>
      </c>
      <c r="H39" s="144" t="s">
        <v>121</v>
      </c>
      <c r="I39" s="220" t="s">
        <v>149</v>
      </c>
      <c r="J39" s="218" t="s">
        <v>146</v>
      </c>
    </row>
    <row r="40" spans="1:10" x14ac:dyDescent="0.25">
      <c r="A40" s="207" t="s">
        <v>71</v>
      </c>
      <c r="B40" s="199">
        <v>10.59</v>
      </c>
      <c r="C40" s="199">
        <v>1725</v>
      </c>
      <c r="D40" s="200">
        <v>3600</v>
      </c>
      <c r="E40" s="201">
        <f t="shared" si="3"/>
        <v>0.47916666666666669</v>
      </c>
      <c r="F40" s="201">
        <f t="shared" si="4"/>
        <v>0.44124999999999998</v>
      </c>
      <c r="G40" s="202">
        <v>12</v>
      </c>
      <c r="H40" s="71"/>
    </row>
    <row r="41" spans="1:10" x14ac:dyDescent="0.25">
      <c r="A41" s="207" t="s">
        <v>72</v>
      </c>
      <c r="B41" s="199">
        <v>7.86</v>
      </c>
      <c r="C41" s="199">
        <v>1458</v>
      </c>
      <c r="D41" s="200">
        <v>3900</v>
      </c>
      <c r="E41" s="201">
        <f t="shared" si="3"/>
        <v>0.37384615384615383</v>
      </c>
      <c r="F41" s="201">
        <f t="shared" si="4"/>
        <v>0.32750000000000001</v>
      </c>
      <c r="G41" s="202">
        <v>12</v>
      </c>
      <c r="H41" s="71"/>
    </row>
    <row r="42" spans="1:10" x14ac:dyDescent="0.25">
      <c r="A42" s="207" t="s">
        <v>73</v>
      </c>
      <c r="B42" s="199">
        <v>12.55</v>
      </c>
      <c r="C42" s="199">
        <v>2465</v>
      </c>
      <c r="D42" s="200">
        <v>3900</v>
      </c>
      <c r="E42" s="201">
        <f t="shared" si="3"/>
        <v>0.63205128205128203</v>
      </c>
      <c r="F42" s="201">
        <f t="shared" si="4"/>
        <v>0.5229166666666667</v>
      </c>
      <c r="G42" s="202">
        <v>12</v>
      </c>
      <c r="H42" s="71"/>
    </row>
    <row r="43" spans="1:10" x14ac:dyDescent="0.25">
      <c r="A43" s="207" t="s">
        <v>74</v>
      </c>
      <c r="B43" s="199">
        <v>17.899999999999999</v>
      </c>
      <c r="C43" s="199">
        <v>2991</v>
      </c>
      <c r="D43" s="200">
        <v>3900</v>
      </c>
      <c r="E43" s="201">
        <f t="shared" si="3"/>
        <v>0.76692307692307693</v>
      </c>
      <c r="F43" s="201">
        <f t="shared" si="4"/>
        <v>0.74583333333333324</v>
      </c>
      <c r="G43" s="202">
        <v>12</v>
      </c>
      <c r="H43" s="71"/>
    </row>
    <row r="44" spans="1:10" x14ac:dyDescent="0.25">
      <c r="A44" s="207" t="s">
        <v>75</v>
      </c>
      <c r="B44" s="203">
        <v>9.7100000000000009</v>
      </c>
      <c r="C44" s="204">
        <v>3122</v>
      </c>
      <c r="D44" s="205">
        <v>4300</v>
      </c>
      <c r="E44" s="206">
        <f t="shared" si="3"/>
        <v>0.72604651162790701</v>
      </c>
      <c r="F44" s="201">
        <f t="shared" si="4"/>
        <v>0.40458333333333335</v>
      </c>
      <c r="G44" s="202">
        <v>16</v>
      </c>
      <c r="H44" s="71"/>
    </row>
    <row r="45" spans="1:10" x14ac:dyDescent="0.25">
      <c r="C45" s="71" t="s">
        <v>83</v>
      </c>
      <c r="D45" s="72" t="s">
        <v>79</v>
      </c>
      <c r="H45" s="71"/>
    </row>
    <row r="46" spans="1:10" x14ac:dyDescent="0.25">
      <c r="B46" s="162" t="s">
        <v>78</v>
      </c>
      <c r="H46" s="71"/>
    </row>
    <row r="47" spans="1:10" x14ac:dyDescent="0.25">
      <c r="C47" s="71">
        <v>1</v>
      </c>
      <c r="D47" s="225" t="s">
        <v>153</v>
      </c>
      <c r="H47" s="71"/>
    </row>
    <row r="48" spans="1:10" x14ac:dyDescent="0.25">
      <c r="C48" s="71">
        <v>2</v>
      </c>
      <c r="D48" s="225" t="s">
        <v>153</v>
      </c>
      <c r="H48" s="71"/>
    </row>
    <row r="49" spans="3:8" x14ac:dyDescent="0.25">
      <c r="C49" s="71">
        <v>3</v>
      </c>
      <c r="D49" s="225" t="s">
        <v>154</v>
      </c>
      <c r="H49" s="71"/>
    </row>
    <row r="50" spans="3:8" x14ac:dyDescent="0.25">
      <c r="C50" s="71">
        <v>4</v>
      </c>
      <c r="D50" s="108">
        <v>1</v>
      </c>
      <c r="H50" s="71"/>
    </row>
    <row r="51" spans="3:8" x14ac:dyDescent="0.25">
      <c r="C51" s="71">
        <v>5</v>
      </c>
      <c r="D51" s="108">
        <v>2</v>
      </c>
    </row>
    <row r="52" spans="3:8" x14ac:dyDescent="0.25">
      <c r="C52" s="71">
        <v>6</v>
      </c>
      <c r="D52" s="108">
        <v>14</v>
      </c>
    </row>
    <row r="53" spans="3:8" x14ac:dyDescent="0.25">
      <c r="C53" s="71">
        <v>7</v>
      </c>
      <c r="D53" s="225" t="s">
        <v>153</v>
      </c>
    </row>
    <row r="54" spans="3:8" x14ac:dyDescent="0.25">
      <c r="C54" s="71">
        <v>8</v>
      </c>
      <c r="D54" s="225" t="s">
        <v>153</v>
      </c>
    </row>
  </sheetData>
  <protectedRanges>
    <protectedRange password="D554" sqref="I37:I3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14" workbookViewId="0">
      <selection activeCell="E24" sqref="E24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7.28515625" style="162" customWidth="1"/>
    <col min="6" max="8" width="11.42578125" style="162"/>
    <col min="9" max="9" width="9.140625" style="162" customWidth="1"/>
    <col min="10" max="10" width="9.7109375" style="162" customWidth="1"/>
    <col min="11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46"/>
      <c r="C4" s="246"/>
      <c r="D4" s="165">
        <f>D23</f>
        <v>9753.7970000000005</v>
      </c>
      <c r="F4" s="58" t="s">
        <v>51</v>
      </c>
      <c r="G4" s="59">
        <v>45880</v>
      </c>
      <c r="H4" s="58">
        <v>5085</v>
      </c>
      <c r="I4" s="141">
        <v>6685.55</v>
      </c>
      <c r="J4" s="60">
        <f t="shared" ref="J4:J11" si="0">+I4/H4</f>
        <v>1.3147590953785644</v>
      </c>
    </row>
    <row r="5" spans="1:10" ht="15" customHeight="1" x14ac:dyDescent="0.25">
      <c r="A5" s="164"/>
      <c r="B5" s="168" t="s">
        <v>6</v>
      </c>
      <c r="C5" s="176">
        <v>5323</v>
      </c>
      <c r="D5" s="172">
        <v>227.304</v>
      </c>
      <c r="E5" s="80">
        <f>+D5/$D$4</f>
        <v>2.3304155294599629E-2</v>
      </c>
      <c r="F5" s="58" t="s">
        <v>52</v>
      </c>
      <c r="G5" s="59">
        <v>45881</v>
      </c>
      <c r="H5" s="58">
        <v>7027</v>
      </c>
      <c r="I5" s="141">
        <v>8999.3209999999999</v>
      </c>
      <c r="J5" s="60">
        <f t="shared" si="0"/>
        <v>1.2806775295289596</v>
      </c>
    </row>
    <row r="6" spans="1:10" ht="15" customHeight="1" x14ac:dyDescent="0.25">
      <c r="A6" s="164"/>
      <c r="B6" s="169" t="s">
        <v>10</v>
      </c>
      <c r="C6" s="177">
        <v>22558</v>
      </c>
      <c r="D6" s="173">
        <v>960.99800000000005</v>
      </c>
      <c r="E6" s="80">
        <f t="shared" ref="E6:E21" si="1">+D6/$D$4</f>
        <v>9.8525528058457643E-2</v>
      </c>
      <c r="F6" s="58" t="s">
        <v>53</v>
      </c>
      <c r="G6" s="59">
        <v>45882</v>
      </c>
      <c r="H6" s="58">
        <v>7012</v>
      </c>
      <c r="I6" s="141">
        <v>9753.7970000000005</v>
      </c>
      <c r="J6" s="60">
        <f t="shared" si="0"/>
        <v>1.3910149743297207</v>
      </c>
    </row>
    <row r="7" spans="1:10" ht="15" customHeight="1" x14ac:dyDescent="0.25">
      <c r="A7" s="164"/>
      <c r="B7" s="169" t="s">
        <v>35</v>
      </c>
      <c r="C7" s="177">
        <v>20208</v>
      </c>
      <c r="D7" s="173">
        <v>860.18</v>
      </c>
      <c r="E7" s="80">
        <f t="shared" si="1"/>
        <v>8.818924568555199E-2</v>
      </c>
      <c r="F7" s="58" t="s">
        <v>54</v>
      </c>
      <c r="G7" s="59">
        <v>45883</v>
      </c>
      <c r="H7" s="58">
        <v>7546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6315</v>
      </c>
      <c r="D8" s="173">
        <v>269.39999999999998</v>
      </c>
      <c r="E8" s="80">
        <f t="shared" si="1"/>
        <v>2.762001300621696E-2</v>
      </c>
      <c r="F8" s="58" t="s">
        <v>55</v>
      </c>
      <c r="G8" s="59">
        <v>45884</v>
      </c>
      <c r="H8" s="58">
        <v>7992.6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49065</v>
      </c>
      <c r="D9" s="173">
        <v>2094.703</v>
      </c>
      <c r="E9" s="245">
        <f t="shared" si="1"/>
        <v>0.21475769897610128</v>
      </c>
      <c r="F9" s="58" t="s">
        <v>56</v>
      </c>
      <c r="G9" s="59">
        <v>45885</v>
      </c>
      <c r="H9" s="58">
        <v>8245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55411</v>
      </c>
      <c r="D10" s="173">
        <v>2363.7719999999999</v>
      </c>
      <c r="E10" s="245">
        <f t="shared" si="1"/>
        <v>0.2423437764800723</v>
      </c>
      <c r="F10" s="58" t="s">
        <v>57</v>
      </c>
      <c r="G10" s="59">
        <v>45886</v>
      </c>
      <c r="H10" s="58">
        <v>6382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12350</v>
      </c>
      <c r="D11" s="173">
        <v>527.54999999999995</v>
      </c>
      <c r="E11" s="80">
        <f t="shared" si="1"/>
        <v>5.408662903277564E-2</v>
      </c>
      <c r="H11" s="139">
        <f>+SUM(H4:H10)</f>
        <v>49289.599999999999</v>
      </c>
      <c r="I11" s="142">
        <f>+SUM(I4:I10)</f>
        <v>25438.667999999998</v>
      </c>
      <c r="J11" s="140">
        <f t="shared" si="0"/>
        <v>0.51610619684477044</v>
      </c>
    </row>
    <row r="12" spans="1:10" ht="15" customHeight="1" x14ac:dyDescent="0.25">
      <c r="A12" s="164"/>
      <c r="B12" s="169" t="s">
        <v>44</v>
      </c>
      <c r="C12" s="177">
        <v>66</v>
      </c>
      <c r="D12" s="173">
        <v>99.48</v>
      </c>
      <c r="E12" s="80">
        <f t="shared" si="1"/>
        <v>1.019910502545829E-2</v>
      </c>
    </row>
    <row r="13" spans="1:10" ht="15" customHeight="1" x14ac:dyDescent="0.25">
      <c r="A13" s="164"/>
      <c r="B13" s="169" t="s">
        <v>39</v>
      </c>
      <c r="C13" s="177">
        <v>377</v>
      </c>
      <c r="D13" s="173">
        <v>568.64</v>
      </c>
      <c r="E13" s="80">
        <f t="shared" si="1"/>
        <v>5.829934742336753E-2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296</v>
      </c>
      <c r="D14" s="173">
        <v>446.6</v>
      </c>
      <c r="E14" s="80">
        <f t="shared" si="1"/>
        <v>4.5787296988034507E-2</v>
      </c>
      <c r="F14" s="112" t="s">
        <v>108</v>
      </c>
      <c r="G14" s="190">
        <v>204007.80300000001</v>
      </c>
      <c r="H14" s="190">
        <v>190629.128</v>
      </c>
      <c r="I14" s="57">
        <f t="shared" ref="I14:I21" si="2">+H14/G14</f>
        <v>0.93442076820953746</v>
      </c>
    </row>
    <row r="15" spans="1:10" ht="15" customHeight="1" x14ac:dyDescent="0.25">
      <c r="A15" s="164"/>
      <c r="B15" s="169" t="s">
        <v>164</v>
      </c>
      <c r="C15" s="177">
        <v>130</v>
      </c>
      <c r="D15" s="173">
        <v>196.25</v>
      </c>
      <c r="E15" s="80">
        <f t="shared" si="1"/>
        <v>2.0120369534038895E-2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43</v>
      </c>
      <c r="D16" s="173">
        <v>64.75</v>
      </c>
      <c r="E16" s="80">
        <f t="shared" si="1"/>
        <v>6.6384403940332156E-3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269</v>
      </c>
      <c r="D17" s="173">
        <v>403.9</v>
      </c>
      <c r="E17" s="80">
        <f t="shared" si="1"/>
        <v>4.1409514674131516E-2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45</v>
      </c>
      <c r="C18" s="177">
        <v>23</v>
      </c>
      <c r="D18" s="173">
        <v>34.58</v>
      </c>
      <c r="E18" s="80">
        <f t="shared" si="1"/>
        <v>3.5452860050296307E-3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165</v>
      </c>
      <c r="C19" s="177">
        <v>24</v>
      </c>
      <c r="D19" s="173">
        <v>36.200000000000003</v>
      </c>
      <c r="E19" s="80">
        <f t="shared" si="1"/>
        <v>3.7113751701004236E-3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40</v>
      </c>
      <c r="C20" s="177"/>
      <c r="D20" s="173">
        <v>509.5</v>
      </c>
      <c r="E20" s="80">
        <f t="shared" si="1"/>
        <v>5.2236067656523916E-2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9</v>
      </c>
      <c r="C21" s="177"/>
      <c r="D21" s="173">
        <v>89.99</v>
      </c>
      <c r="E21" s="80">
        <f t="shared" si="1"/>
        <v>9.2261505955065493E-3</v>
      </c>
      <c r="F21" s="112" t="s">
        <v>135</v>
      </c>
      <c r="G21" s="190">
        <v>232937.965</v>
      </c>
      <c r="H21" s="190">
        <f>+D21</f>
        <v>89.99</v>
      </c>
      <c r="I21" s="98">
        <f t="shared" si="2"/>
        <v>3.8632603319944004E-4</v>
      </c>
      <c r="J21" s="108">
        <f>+D24-G21</f>
        <v>-133092.02100000001</v>
      </c>
    </row>
    <row r="22" spans="1:11" ht="15" customHeight="1" thickBot="1" x14ac:dyDescent="0.3">
      <c r="A22" s="164"/>
      <c r="B22" s="169" t="s">
        <v>46</v>
      </c>
      <c r="C22" s="177"/>
      <c r="D22" s="173"/>
      <c r="E22" s="179"/>
      <c r="F22" s="112" t="s">
        <v>160</v>
      </c>
      <c r="G22" s="112"/>
      <c r="H22" s="112"/>
    </row>
    <row r="23" spans="1:11" ht="15" customHeight="1" thickBot="1" x14ac:dyDescent="0.3">
      <c r="B23" s="178" t="s">
        <v>0</v>
      </c>
      <c r="C23" s="170"/>
      <c r="D23" s="171">
        <f>SUM(D5:D22)</f>
        <v>9753.7970000000005</v>
      </c>
      <c r="E23" s="179"/>
      <c r="F23" s="112" t="s">
        <v>161</v>
      </c>
      <c r="G23" s="112"/>
      <c r="H23" s="112"/>
    </row>
    <row r="24" spans="1:11" ht="15" customHeight="1" x14ac:dyDescent="0.25">
      <c r="B24" s="166" t="s">
        <v>1</v>
      </c>
      <c r="C24" s="167"/>
      <c r="D24" s="233">
        <v>99845.944000000003</v>
      </c>
      <c r="E24" s="57">
        <f>+D24/$E$2</f>
        <v>0.43488235268496861</v>
      </c>
      <c r="F24" s="179"/>
      <c r="G24" s="68">
        <f ca="1">+SUM(G17:G24)</f>
        <v>3191335.6980000003</v>
      </c>
      <c r="H24" s="68">
        <f ca="1">+SUM(H17:H24)</f>
        <v>2515467.8939999994</v>
      </c>
    </row>
    <row r="25" spans="1:11" x14ac:dyDescent="0.25">
      <c r="D25" s="193">
        <f>+(E2/31)*13</f>
        <v>96280.93548387097</v>
      </c>
      <c r="E25" s="57">
        <f>+D25/$E$2</f>
        <v>0.41935483870967744</v>
      </c>
    </row>
    <row r="26" spans="1:11" x14ac:dyDescent="0.25">
      <c r="D26" s="138">
        <f>+D24-D25</f>
        <v>3565.0085161290335</v>
      </c>
      <c r="E26" s="99">
        <f>+E24-E25</f>
        <v>1.5527513975291174E-2</v>
      </c>
    </row>
    <row r="27" spans="1:11" x14ac:dyDescent="0.25">
      <c r="D27" s="162"/>
    </row>
    <row r="28" spans="1:11" x14ac:dyDescent="0.25">
      <c r="D28" s="162"/>
    </row>
    <row r="29" spans="1:11" x14ac:dyDescent="0.25">
      <c r="D29" s="162"/>
    </row>
    <row r="31" spans="1:11" ht="15" customHeight="1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</row>
    <row r="32" spans="1:11" ht="15" customHeight="1" x14ac:dyDescent="0.25">
      <c r="B32" s="162" t="s">
        <v>61</v>
      </c>
      <c r="C32" s="162">
        <v>882</v>
      </c>
      <c r="D32" s="108">
        <v>2142</v>
      </c>
      <c r="E32" s="57">
        <f>+C32/D32</f>
        <v>0.41176470588235292</v>
      </c>
      <c r="G32" s="86" t="s">
        <v>86</v>
      </c>
      <c r="H32" s="87">
        <v>5840</v>
      </c>
      <c r="I32" s="88">
        <v>146</v>
      </c>
      <c r="J32" s="228"/>
      <c r="K32" s="229"/>
    </row>
    <row r="33" spans="1:11" x14ac:dyDescent="0.25">
      <c r="B33" s="162" t="s">
        <v>62</v>
      </c>
      <c r="C33" s="162">
        <v>1830</v>
      </c>
      <c r="D33" s="108">
        <v>1890</v>
      </c>
      <c r="E33" s="57">
        <f>+C33/D33</f>
        <v>0.96825396825396826</v>
      </c>
      <c r="G33" s="86" t="s">
        <v>104</v>
      </c>
      <c r="H33" s="87">
        <v>14</v>
      </c>
      <c r="I33" s="88">
        <v>0.35000000000000003</v>
      </c>
      <c r="J33" s="228"/>
      <c r="K33" s="229"/>
    </row>
    <row r="34" spans="1:11" x14ac:dyDescent="0.25">
      <c r="B34" s="162" t="s">
        <v>63</v>
      </c>
      <c r="C34" s="67">
        <v>871</v>
      </c>
      <c r="D34" s="108">
        <v>3006</v>
      </c>
      <c r="E34" s="57">
        <f>+C34/D34</f>
        <v>0.28975382568196939</v>
      </c>
      <c r="G34" s="89" t="s">
        <v>87</v>
      </c>
      <c r="H34" s="87">
        <v>102</v>
      </c>
      <c r="I34" s="88">
        <v>153</v>
      </c>
      <c r="J34" s="240">
        <v>45878</v>
      </c>
      <c r="K34" s="241">
        <v>61</v>
      </c>
    </row>
    <row r="35" spans="1:11" ht="45" x14ac:dyDescent="0.25">
      <c r="C35" s="162">
        <f>+SUM(C32:C34)</f>
        <v>3583</v>
      </c>
      <c r="D35" s="110">
        <f>+SUM(D32:D34)</f>
        <v>7038</v>
      </c>
      <c r="E35" s="57">
        <f>+C35/D35</f>
        <v>0.50909349246945157</v>
      </c>
      <c r="G35" s="89" t="s">
        <v>91</v>
      </c>
      <c r="H35" s="87">
        <v>3</v>
      </c>
      <c r="I35" s="88">
        <v>4.5</v>
      </c>
      <c r="J35" s="230" t="s">
        <v>162</v>
      </c>
    </row>
    <row r="36" spans="1:11" x14ac:dyDescent="0.25">
      <c r="G36" s="231" t="s">
        <v>123</v>
      </c>
      <c r="H36" s="138">
        <v>231</v>
      </c>
      <c r="I36" s="232">
        <v>346.5</v>
      </c>
      <c r="J36" s="218" t="s">
        <v>146</v>
      </c>
    </row>
    <row r="37" spans="1:11" x14ac:dyDescent="0.25">
      <c r="B37" s="162" t="s">
        <v>66</v>
      </c>
      <c r="D37" s="162"/>
      <c r="G37" s="89" t="s">
        <v>96</v>
      </c>
      <c r="H37" s="87">
        <v>22</v>
      </c>
      <c r="I37" s="88">
        <v>33</v>
      </c>
      <c r="J37" s="218" t="s">
        <v>146</v>
      </c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239</v>
      </c>
      <c r="I38" s="88">
        <f>+H38*1.5</f>
        <v>358.5</v>
      </c>
      <c r="J38" s="224" t="s">
        <v>152</v>
      </c>
    </row>
    <row r="39" spans="1:11" x14ac:dyDescent="0.25">
      <c r="B39" s="73">
        <v>20</v>
      </c>
      <c r="C39" s="74">
        <v>7</v>
      </c>
      <c r="D39" s="74">
        <v>14</v>
      </c>
      <c r="E39" s="75">
        <f>+SUM(B39:D39)</f>
        <v>41</v>
      </c>
      <c r="J39" s="218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</row>
    <row r="43" spans="1:11" x14ac:dyDescent="0.25">
      <c r="A43" s="207" t="s">
        <v>71</v>
      </c>
      <c r="B43" s="199">
        <v>7.52</v>
      </c>
      <c r="C43" s="199">
        <v>1446</v>
      </c>
      <c r="D43" s="200">
        <v>3600</v>
      </c>
      <c r="E43" s="201">
        <f t="shared" si="3"/>
        <v>0.40166666666666667</v>
      </c>
      <c r="F43" s="201">
        <f t="shared" si="4"/>
        <v>0.3133333333333333</v>
      </c>
      <c r="G43" s="202">
        <v>12</v>
      </c>
      <c r="H43" s="71"/>
    </row>
    <row r="44" spans="1:11" x14ac:dyDescent="0.25">
      <c r="A44" s="207" t="s">
        <v>72</v>
      </c>
      <c r="B44" s="199">
        <v>14.3</v>
      </c>
      <c r="C44" s="199">
        <v>1520</v>
      </c>
      <c r="D44" s="200">
        <v>3900</v>
      </c>
      <c r="E44" s="201">
        <f t="shared" si="3"/>
        <v>0.38974358974358975</v>
      </c>
      <c r="F44" s="201">
        <f t="shared" si="4"/>
        <v>0.59583333333333333</v>
      </c>
      <c r="G44" s="202">
        <v>12</v>
      </c>
      <c r="H44" s="71"/>
    </row>
    <row r="45" spans="1:11" x14ac:dyDescent="0.25">
      <c r="A45" s="207" t="s">
        <v>73</v>
      </c>
      <c r="B45" s="199">
        <v>13.2</v>
      </c>
      <c r="C45" s="199">
        <v>2589</v>
      </c>
      <c r="D45" s="200">
        <v>3900</v>
      </c>
      <c r="E45" s="201">
        <f t="shared" si="3"/>
        <v>0.66384615384615386</v>
      </c>
      <c r="F45" s="201">
        <f t="shared" si="4"/>
        <v>0.54999999999999993</v>
      </c>
      <c r="G45" s="202">
        <v>12</v>
      </c>
      <c r="H45" s="71"/>
    </row>
    <row r="46" spans="1:11" x14ac:dyDescent="0.25">
      <c r="A46" s="207" t="s">
        <v>74</v>
      </c>
      <c r="B46" s="199">
        <v>16.84</v>
      </c>
      <c r="C46" s="199">
        <v>2950</v>
      </c>
      <c r="D46" s="200">
        <v>3900</v>
      </c>
      <c r="E46" s="201">
        <f t="shared" si="3"/>
        <v>0.75641025641025639</v>
      </c>
      <c r="F46" s="201">
        <f t="shared" si="4"/>
        <v>0.70166666666666666</v>
      </c>
      <c r="G46" s="202">
        <v>12</v>
      </c>
      <c r="H46" s="71"/>
    </row>
    <row r="47" spans="1:11" x14ac:dyDescent="0.25">
      <c r="A47" s="207" t="s">
        <v>75</v>
      </c>
      <c r="B47" s="203">
        <v>4.74</v>
      </c>
      <c r="C47" s="204">
        <v>3202</v>
      </c>
      <c r="D47" s="205">
        <v>4300</v>
      </c>
      <c r="E47" s="206">
        <f t="shared" si="3"/>
        <v>0.74465116279069765</v>
      </c>
      <c r="F47" s="201">
        <f t="shared" si="4"/>
        <v>0.19750000000000001</v>
      </c>
      <c r="G47" s="202">
        <v>16</v>
      </c>
      <c r="H47" s="71"/>
    </row>
    <row r="48" spans="1:11" x14ac:dyDescent="0.25">
      <c r="C48" s="71" t="s">
        <v>83</v>
      </c>
      <c r="D48" s="72" t="s">
        <v>79</v>
      </c>
      <c r="H48" s="71"/>
    </row>
    <row r="49" spans="2:8" x14ac:dyDescent="0.25">
      <c r="B49" s="162" t="s">
        <v>78</v>
      </c>
      <c r="H49" s="71"/>
    </row>
    <row r="50" spans="2:8" x14ac:dyDescent="0.25">
      <c r="C50" s="71">
        <v>1</v>
      </c>
      <c r="D50" s="225" t="s">
        <v>153</v>
      </c>
      <c r="H50" s="71"/>
    </row>
    <row r="51" spans="2:8" x14ac:dyDescent="0.25">
      <c r="C51" s="71">
        <v>2</v>
      </c>
      <c r="D51" s="225" t="s">
        <v>153</v>
      </c>
      <c r="H51" s="71"/>
    </row>
    <row r="52" spans="2:8" x14ac:dyDescent="0.25">
      <c r="C52" s="71">
        <v>3</v>
      </c>
      <c r="D52" s="225" t="s">
        <v>154</v>
      </c>
      <c r="H52" s="71"/>
    </row>
    <row r="53" spans="2:8" x14ac:dyDescent="0.25">
      <c r="C53" s="71">
        <v>4</v>
      </c>
      <c r="D53" s="108">
        <v>1</v>
      </c>
      <c r="H53" s="71"/>
    </row>
    <row r="54" spans="2:8" x14ac:dyDescent="0.25">
      <c r="C54" s="71">
        <v>5</v>
      </c>
      <c r="D54" s="108">
        <v>2</v>
      </c>
    </row>
    <row r="55" spans="2:8" x14ac:dyDescent="0.25">
      <c r="C55" s="71">
        <v>6</v>
      </c>
      <c r="D55" s="108">
        <v>14</v>
      </c>
    </row>
    <row r="56" spans="2:8" x14ac:dyDescent="0.25">
      <c r="C56" s="71">
        <v>7</v>
      </c>
      <c r="D56" s="225" t="s">
        <v>153</v>
      </c>
    </row>
    <row r="57" spans="2:8" x14ac:dyDescent="0.25">
      <c r="C57" s="71">
        <v>8</v>
      </c>
      <c r="D57" s="225" t="s">
        <v>153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opLeftCell="A20" workbookViewId="0">
      <selection activeCell="B2" sqref="B2"/>
    </sheetView>
  </sheetViews>
  <sheetFormatPr baseColWidth="10" defaultColWidth="11.42578125" defaultRowHeight="15.75" x14ac:dyDescent="0.25"/>
  <cols>
    <col min="1" max="1" width="2.42578125" style="162" customWidth="1"/>
    <col min="2" max="2" width="36.5703125" style="162" customWidth="1"/>
    <col min="3" max="3" width="15.28515625" style="162" customWidth="1"/>
    <col min="4" max="4" width="15.28515625" style="163" customWidth="1"/>
    <col min="5" max="5" width="15.140625" style="162" customWidth="1"/>
    <col min="6" max="6" width="15.85546875" style="162" customWidth="1"/>
    <col min="7" max="7" width="16.5703125" style="162" customWidth="1"/>
    <col min="8" max="9" width="11.42578125" style="162"/>
    <col min="10" max="10" width="8" style="162" customWidth="1"/>
    <col min="11" max="11" width="3" style="162" bestFit="1" customWidth="1"/>
    <col min="12" max="16384" width="11.42578125" style="162"/>
  </cols>
  <sheetData>
    <row r="1" spans="1:10" ht="15" customHeight="1" x14ac:dyDescent="0.25">
      <c r="A1" s="161"/>
      <c r="B1" s="518">
        <v>45886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46"/>
      <c r="C4" s="246"/>
      <c r="D4" s="165">
        <f>D25</f>
        <v>5743.241</v>
      </c>
      <c r="F4" s="58" t="s">
        <v>51</v>
      </c>
      <c r="G4" s="59">
        <v>45880</v>
      </c>
      <c r="H4" s="58">
        <v>5085</v>
      </c>
      <c r="I4" s="141">
        <v>6685.55</v>
      </c>
      <c r="J4" s="60">
        <f t="shared" ref="J4:J11" si="0">+I4/H4</f>
        <v>1.3147590953785644</v>
      </c>
    </row>
    <row r="5" spans="1:10" ht="15" customHeight="1" x14ac:dyDescent="0.25">
      <c r="A5" s="164"/>
      <c r="B5" s="168" t="s">
        <v>6</v>
      </c>
      <c r="C5" s="176">
        <v>2370</v>
      </c>
      <c r="D5" s="172">
        <v>101.179</v>
      </c>
      <c r="E5" s="80">
        <f>+D5/$D$4</f>
        <v>1.7617056292779636E-2</v>
      </c>
      <c r="F5" s="58" t="s">
        <v>52</v>
      </c>
      <c r="G5" s="59">
        <v>45881</v>
      </c>
      <c r="H5" s="58">
        <v>7027</v>
      </c>
      <c r="I5" s="141">
        <v>8999.3209999999999</v>
      </c>
      <c r="J5" s="60">
        <f t="shared" si="0"/>
        <v>1.2806775295289596</v>
      </c>
    </row>
    <row r="6" spans="1:10" ht="15" customHeight="1" x14ac:dyDescent="0.25">
      <c r="A6" s="164"/>
      <c r="B6" s="169" t="s">
        <v>10</v>
      </c>
      <c r="C6" s="177">
        <v>16782</v>
      </c>
      <c r="D6" s="173">
        <v>716.48199999999997</v>
      </c>
      <c r="E6" s="80">
        <f t="shared" ref="E6:E24" si="1">+D6/$D$4</f>
        <v>0.12475220872674506</v>
      </c>
      <c r="F6" s="58" t="s">
        <v>53</v>
      </c>
      <c r="G6" s="59">
        <v>45882</v>
      </c>
      <c r="H6" s="58">
        <v>7012</v>
      </c>
      <c r="I6" s="141">
        <v>9753.7970000000005</v>
      </c>
      <c r="J6" s="60">
        <f t="shared" si="0"/>
        <v>1.3910149743297207</v>
      </c>
    </row>
    <row r="7" spans="1:10" ht="15" customHeight="1" x14ac:dyDescent="0.25">
      <c r="A7" s="164"/>
      <c r="B7" s="169" t="s">
        <v>35</v>
      </c>
      <c r="C7" s="177">
        <v>19600</v>
      </c>
      <c r="D7" s="173">
        <v>835.58399999999995</v>
      </c>
      <c r="E7" s="80">
        <f t="shared" si="1"/>
        <v>0.14548997682667331</v>
      </c>
      <c r="F7" s="58" t="s">
        <v>54</v>
      </c>
      <c r="G7" s="59">
        <v>45883</v>
      </c>
      <c r="H7" s="58">
        <v>7546</v>
      </c>
      <c r="I7" s="141">
        <v>8373.0300000000007</v>
      </c>
      <c r="J7" s="60">
        <f t="shared" si="0"/>
        <v>1.1095984627617281</v>
      </c>
    </row>
    <row r="8" spans="1:10" ht="15" customHeight="1" x14ac:dyDescent="0.25">
      <c r="A8" s="164"/>
      <c r="B8" s="169" t="s">
        <v>4</v>
      </c>
      <c r="C8" s="177">
        <v>6946</v>
      </c>
      <c r="D8" s="173">
        <v>296.38</v>
      </c>
      <c r="E8" s="80">
        <f t="shared" si="1"/>
        <v>5.1605008391603278E-2</v>
      </c>
      <c r="F8" s="58" t="s">
        <v>55</v>
      </c>
      <c r="G8" s="59">
        <v>45884</v>
      </c>
      <c r="H8" s="58">
        <v>7992.6</v>
      </c>
      <c r="I8" s="141">
        <v>6821.89</v>
      </c>
      <c r="J8" s="60">
        <f t="shared" si="0"/>
        <v>0.85352576132922953</v>
      </c>
    </row>
    <row r="9" spans="1:10" ht="15" customHeight="1" x14ac:dyDescent="0.25">
      <c r="A9" s="164"/>
      <c r="B9" s="169" t="s">
        <v>37</v>
      </c>
      <c r="C9" s="177">
        <v>18898</v>
      </c>
      <c r="D9" s="173">
        <v>806.02</v>
      </c>
      <c r="E9" s="245">
        <f t="shared" si="1"/>
        <v>0.14034236069842795</v>
      </c>
      <c r="F9" s="58" t="s">
        <v>56</v>
      </c>
      <c r="G9" s="59">
        <v>45885</v>
      </c>
      <c r="H9" s="58">
        <v>8245</v>
      </c>
      <c r="I9" s="141">
        <v>6942.68</v>
      </c>
      <c r="J9" s="60">
        <f t="shared" si="0"/>
        <v>0.84204730139478479</v>
      </c>
    </row>
    <row r="10" spans="1:10" ht="15" customHeight="1" x14ac:dyDescent="0.25">
      <c r="A10" s="164"/>
      <c r="B10" s="169" t="s">
        <v>38</v>
      </c>
      <c r="C10" s="177">
        <v>32048</v>
      </c>
      <c r="D10" s="173">
        <v>1366.9739999999999</v>
      </c>
      <c r="E10" s="245">
        <f t="shared" si="1"/>
        <v>0.23801438943620856</v>
      </c>
      <c r="F10" s="58" t="s">
        <v>57</v>
      </c>
      <c r="G10" s="59">
        <v>45886</v>
      </c>
      <c r="H10" s="58">
        <v>6382</v>
      </c>
      <c r="I10" s="141">
        <v>5743.241</v>
      </c>
      <c r="J10" s="60">
        <f t="shared" si="0"/>
        <v>0.89991240990285182</v>
      </c>
    </row>
    <row r="11" spans="1:10" ht="15" customHeight="1" x14ac:dyDescent="0.25">
      <c r="A11" s="164"/>
      <c r="B11" s="169" t="s">
        <v>42</v>
      </c>
      <c r="C11" s="177">
        <v>5560</v>
      </c>
      <c r="D11" s="173">
        <v>237.09200000000001</v>
      </c>
      <c r="E11" s="80">
        <f t="shared" si="1"/>
        <v>4.1281917300701819E-2</v>
      </c>
      <c r="H11" s="139">
        <f>+SUM(H4:H10)</f>
        <v>49289.599999999999</v>
      </c>
      <c r="I11" s="142">
        <f>+SUM(I4:I10)</f>
        <v>53319.508999999998</v>
      </c>
      <c r="J11" s="140">
        <f t="shared" si="0"/>
        <v>1.0817598235733299</v>
      </c>
    </row>
    <row r="12" spans="1:10" ht="15" customHeight="1" x14ac:dyDescent="0.25">
      <c r="A12" s="164"/>
      <c r="B12" s="169" t="s">
        <v>47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141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42</v>
      </c>
      <c r="D14" s="173">
        <v>63.34</v>
      </c>
      <c r="E14" s="80">
        <f t="shared" si="1"/>
        <v>1.1028616072353573E-2</v>
      </c>
      <c r="F14" s="112" t="s">
        <v>108</v>
      </c>
      <c r="G14" s="190">
        <v>204007.80300000001</v>
      </c>
      <c r="H14" s="190">
        <v>190629.128</v>
      </c>
      <c r="I14" s="57">
        <f t="shared" ref="I14:I21" si="2">+H14/G14</f>
        <v>0.93442076820953746</v>
      </c>
    </row>
    <row r="15" spans="1:10" ht="15" customHeight="1" x14ac:dyDescent="0.25">
      <c r="A15" s="164"/>
      <c r="B15" s="169" t="s">
        <v>43</v>
      </c>
      <c r="C15" s="177"/>
      <c r="D15" s="173"/>
      <c r="E15" s="80">
        <f t="shared" si="1"/>
        <v>0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164</v>
      </c>
      <c r="C16" s="177">
        <v>43</v>
      </c>
      <c r="D16" s="173">
        <v>64.89</v>
      </c>
      <c r="E16" s="80">
        <f t="shared" si="1"/>
        <v>1.1298498530707661E-2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43</v>
      </c>
      <c r="D17" s="173">
        <v>64.52</v>
      </c>
      <c r="E17" s="80">
        <f t="shared" si="1"/>
        <v>1.1234074976132814E-2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166</v>
      </c>
      <c r="C18" s="177">
        <v>52</v>
      </c>
      <c r="D18" s="173">
        <v>78.069999999999993</v>
      </c>
      <c r="E18" s="80">
        <f t="shared" si="1"/>
        <v>1.3593370015292757E-2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41</v>
      </c>
      <c r="C19" s="177">
        <v>102</v>
      </c>
      <c r="D19" s="173">
        <v>153.12</v>
      </c>
      <c r="E19" s="80">
        <f t="shared" si="1"/>
        <v>2.6660904531082712E-2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165</v>
      </c>
      <c r="C20" s="177">
        <v>357</v>
      </c>
      <c r="D20" s="173">
        <v>538.87</v>
      </c>
      <c r="E20" s="80">
        <f t="shared" si="1"/>
        <v>9.3826813118237595E-2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106</v>
      </c>
      <c r="C21" s="177"/>
      <c r="D21" s="173">
        <v>28.96</v>
      </c>
      <c r="E21" s="80">
        <f t="shared" si="1"/>
        <v>5.0424490283447971E-3</v>
      </c>
      <c r="F21" s="112" t="s">
        <v>135</v>
      </c>
      <c r="G21" s="190">
        <v>232937.965</v>
      </c>
      <c r="H21" s="190">
        <f>+D26</f>
        <v>127882.06600000001</v>
      </c>
      <c r="I21" s="98">
        <f t="shared" si="2"/>
        <v>0.54899623597209668</v>
      </c>
      <c r="J21" s="108">
        <f>+D24-G21</f>
        <v>-232910.17499999999</v>
      </c>
    </row>
    <row r="22" spans="1:10" ht="15" customHeight="1" x14ac:dyDescent="0.25">
      <c r="A22" s="164"/>
      <c r="B22" s="169" t="s">
        <v>40</v>
      </c>
      <c r="C22" s="177"/>
      <c r="D22" s="173">
        <v>272.26</v>
      </c>
      <c r="E22" s="80">
        <f t="shared" si="1"/>
        <v>4.7405289104183505E-2</v>
      </c>
      <c r="F22" s="112" t="s">
        <v>160</v>
      </c>
      <c r="G22" s="112"/>
      <c r="H22" s="112"/>
    </row>
    <row r="23" spans="1:10" ht="15" customHeight="1" x14ac:dyDescent="0.25">
      <c r="A23" s="164"/>
      <c r="B23" s="169" t="s">
        <v>9</v>
      </c>
      <c r="C23" s="177"/>
      <c r="D23" s="173">
        <v>91.71</v>
      </c>
      <c r="E23" s="80">
        <f t="shared" si="1"/>
        <v>1.5968335648808746E-2</v>
      </c>
      <c r="F23" s="112" t="s">
        <v>161</v>
      </c>
      <c r="G23" s="112"/>
      <c r="H23" s="112"/>
    </row>
    <row r="24" spans="1:10" ht="15" customHeight="1" thickBot="1" x14ac:dyDescent="0.3">
      <c r="A24" s="164"/>
      <c r="B24" s="169" t="s">
        <v>46</v>
      </c>
      <c r="C24" s="177"/>
      <c r="D24" s="173">
        <v>27.79</v>
      </c>
      <c r="E24" s="80">
        <f t="shared" si="1"/>
        <v>4.8387313017162255E-3</v>
      </c>
      <c r="F24" s="179"/>
      <c r="G24" s="68">
        <f ca="1">+SUM(G17:G24)</f>
        <v>3191335.6980000003</v>
      </c>
      <c r="H24" s="68">
        <f ca="1">+SUM(H17:H24)</f>
        <v>2771052.0459999996</v>
      </c>
    </row>
    <row r="25" spans="1:10" ht="15" customHeight="1" thickBot="1" x14ac:dyDescent="0.3">
      <c r="B25" s="178" t="s">
        <v>0</v>
      </c>
      <c r="C25" s="170"/>
      <c r="D25" s="171">
        <f>SUM(D5:D24)</f>
        <v>5743.241</v>
      </c>
      <c r="E25" s="179"/>
      <c r="F25" s="179"/>
      <c r="G25" s="179"/>
    </row>
    <row r="26" spans="1:10" ht="15" customHeight="1" x14ac:dyDescent="0.25">
      <c r="B26" s="166" t="s">
        <v>1</v>
      </c>
      <c r="C26" s="167"/>
      <c r="D26" s="233">
        <v>127882.06600000001</v>
      </c>
      <c r="E26" s="57">
        <f>+D26/$E$2</f>
        <v>0.55699462091614294</v>
      </c>
      <c r="F26" s="163"/>
      <c r="G26" s="179"/>
    </row>
    <row r="27" spans="1:10" x14ac:dyDescent="0.25">
      <c r="D27" s="193">
        <f>+(E2/31)*17</f>
        <v>125905.83870967741</v>
      </c>
      <c r="E27" s="57">
        <f>+D27/$E$2</f>
        <v>0.54838709677419351</v>
      </c>
    </row>
    <row r="28" spans="1:10" x14ac:dyDescent="0.25">
      <c r="D28" s="138">
        <f>+D26-D27</f>
        <v>1976.2272903225967</v>
      </c>
      <c r="E28" s="99">
        <f>+E26-E27</f>
        <v>8.6075241419494297E-3</v>
      </c>
    </row>
    <row r="29" spans="1:10" x14ac:dyDescent="0.25">
      <c r="D29" s="162"/>
    </row>
    <row r="30" spans="1:10" x14ac:dyDescent="0.25">
      <c r="D30" s="162"/>
    </row>
    <row r="31" spans="1:10" x14ac:dyDescent="0.25">
      <c r="D31" s="162"/>
    </row>
    <row r="32" spans="1:10" ht="15" customHeight="1" x14ac:dyDescent="0.25"/>
    <row r="33" spans="1:11" ht="15" customHeight="1" x14ac:dyDescent="0.25">
      <c r="B33" s="66" t="s">
        <v>60</v>
      </c>
      <c r="D33" s="109" t="s">
        <v>105</v>
      </c>
      <c r="E33" s="109" t="s">
        <v>80</v>
      </c>
      <c r="G33" s="163"/>
      <c r="H33" s="237" t="s">
        <v>157</v>
      </c>
      <c r="I33" s="237" t="s">
        <v>92</v>
      </c>
      <c r="J33" s="71"/>
    </row>
    <row r="34" spans="1:11" x14ac:dyDescent="0.25">
      <c r="B34" s="162" t="s">
        <v>61</v>
      </c>
      <c r="C34" s="162">
        <v>1306</v>
      </c>
      <c r="D34" s="108">
        <v>2142</v>
      </c>
      <c r="E34" s="57">
        <f>+C34/D34</f>
        <v>0.60971055088702153</v>
      </c>
      <c r="G34" s="86" t="s">
        <v>86</v>
      </c>
      <c r="H34" s="87">
        <v>7008</v>
      </c>
      <c r="I34" s="88">
        <v>175.20000000000002</v>
      </c>
      <c r="J34" s="228"/>
      <c r="K34" s="229"/>
    </row>
    <row r="35" spans="1:11" x14ac:dyDescent="0.25">
      <c r="B35" s="162" t="s">
        <v>62</v>
      </c>
      <c r="C35" s="162">
        <v>1335</v>
      </c>
      <c r="D35" s="108">
        <v>1890</v>
      </c>
      <c r="E35" s="57">
        <f>+C35/D35</f>
        <v>0.70634920634920639</v>
      </c>
      <c r="G35" s="86" t="s">
        <v>104</v>
      </c>
      <c r="H35" s="87">
        <v>14</v>
      </c>
      <c r="I35" s="88">
        <v>0.35000000000000003</v>
      </c>
      <c r="J35" s="228"/>
      <c r="K35" s="229"/>
    </row>
    <row r="36" spans="1:11" x14ac:dyDescent="0.25">
      <c r="B36" s="162" t="s">
        <v>63</v>
      </c>
      <c r="C36" s="67">
        <v>1006</v>
      </c>
      <c r="D36" s="108">
        <v>3006</v>
      </c>
      <c r="E36" s="57">
        <f>+C36/D36</f>
        <v>0.33466400532268797</v>
      </c>
      <c r="G36" s="89" t="s">
        <v>87</v>
      </c>
      <c r="H36" s="87">
        <v>133</v>
      </c>
      <c r="I36" s="88">
        <v>199.5</v>
      </c>
      <c r="J36" s="240">
        <v>45878</v>
      </c>
      <c r="K36" s="241">
        <v>61</v>
      </c>
    </row>
    <row r="37" spans="1:11" ht="67.5" x14ac:dyDescent="0.25">
      <c r="C37" s="162">
        <f>+SUM(C34:C36)</f>
        <v>3647</v>
      </c>
      <c r="D37" s="110">
        <f>+SUM(D34:D36)</f>
        <v>7038</v>
      </c>
      <c r="E37" s="57">
        <f>+C37/D37</f>
        <v>0.51818698493890314</v>
      </c>
      <c r="G37" s="89" t="s">
        <v>91</v>
      </c>
      <c r="H37" s="87">
        <v>70</v>
      </c>
      <c r="I37" s="88">
        <v>105</v>
      </c>
      <c r="J37" s="230" t="s">
        <v>162</v>
      </c>
    </row>
    <row r="38" spans="1:11" x14ac:dyDescent="0.25">
      <c r="D38" s="163">
        <f>+D37/1.8</f>
        <v>3910</v>
      </c>
      <c r="G38" s="231" t="s">
        <v>123</v>
      </c>
      <c r="H38" s="138">
        <v>231</v>
      </c>
      <c r="I38" s="232">
        <v>346.5</v>
      </c>
      <c r="J38" s="218" t="s">
        <v>146</v>
      </c>
    </row>
    <row r="39" spans="1:11" x14ac:dyDescent="0.25">
      <c r="B39" s="162" t="s">
        <v>66</v>
      </c>
      <c r="D39" s="162"/>
      <c r="G39" s="89" t="s">
        <v>96</v>
      </c>
      <c r="H39" s="87">
        <v>22</v>
      </c>
      <c r="I39" s="88">
        <v>33</v>
      </c>
      <c r="J39" s="218" t="s">
        <v>146</v>
      </c>
    </row>
    <row r="40" spans="1:11" x14ac:dyDescent="0.25">
      <c r="B40" s="76" t="s">
        <v>67</v>
      </c>
      <c r="C40" s="77" t="s">
        <v>68</v>
      </c>
      <c r="D40" s="78" t="s">
        <v>69</v>
      </c>
      <c r="E40" s="79" t="s">
        <v>33</v>
      </c>
      <c r="G40" s="89" t="s">
        <v>107</v>
      </c>
      <c r="H40" s="87">
        <v>239</v>
      </c>
      <c r="I40" s="88">
        <f>+H40*1.5</f>
        <v>358.5</v>
      </c>
      <c r="J40" s="224" t="s">
        <v>152</v>
      </c>
    </row>
    <row r="41" spans="1:11" x14ac:dyDescent="0.25">
      <c r="B41" s="73">
        <v>2</v>
      </c>
      <c r="C41" s="74">
        <v>2</v>
      </c>
      <c r="D41" s="74">
        <v>5</v>
      </c>
      <c r="E41" s="75">
        <f>+SUM(B41:D41)</f>
        <v>9</v>
      </c>
      <c r="J41" s="218"/>
    </row>
    <row r="42" spans="1:11" x14ac:dyDescent="0.25">
      <c r="E42" s="198" t="s">
        <v>76</v>
      </c>
      <c r="F42" s="198" t="s">
        <v>137</v>
      </c>
      <c r="H42" s="144" t="s">
        <v>124</v>
      </c>
      <c r="I42" s="220" t="s">
        <v>148</v>
      </c>
      <c r="J42" s="218" t="s">
        <v>146</v>
      </c>
    </row>
    <row r="43" spans="1:11" x14ac:dyDescent="0.25">
      <c r="D43" s="162"/>
      <c r="G43" s="71" t="s">
        <v>90</v>
      </c>
      <c r="H43" s="144" t="s">
        <v>120</v>
      </c>
      <c r="I43" s="145">
        <v>0</v>
      </c>
      <c r="J43" s="218"/>
    </row>
    <row r="44" spans="1:11" x14ac:dyDescent="0.25">
      <c r="A44" s="207" t="s">
        <v>70</v>
      </c>
      <c r="B44" s="199">
        <v>0</v>
      </c>
      <c r="C44" s="199">
        <v>0</v>
      </c>
      <c r="D44" s="200">
        <v>2400</v>
      </c>
      <c r="E44" s="201">
        <f t="shared" ref="E44:E49" si="3">+C44/D44</f>
        <v>0</v>
      </c>
      <c r="F44" s="201">
        <f t="shared" ref="F44:F49" si="4">+B44/24</f>
        <v>0</v>
      </c>
      <c r="G44" s="202">
        <v>7</v>
      </c>
      <c r="H44" s="144" t="s">
        <v>121</v>
      </c>
      <c r="I44" s="220" t="s">
        <v>149</v>
      </c>
      <c r="J44" s="218" t="s">
        <v>146</v>
      </c>
    </row>
    <row r="45" spans="1:11" x14ac:dyDescent="0.25">
      <c r="A45" s="207" t="s">
        <v>71</v>
      </c>
      <c r="B45" s="199">
        <v>9.3800000000000008</v>
      </c>
      <c r="C45" s="199">
        <v>1702</v>
      </c>
      <c r="D45" s="200">
        <v>3600</v>
      </c>
      <c r="E45" s="201">
        <f t="shared" si="3"/>
        <v>0.4727777777777778</v>
      </c>
      <c r="F45" s="201">
        <f t="shared" si="4"/>
        <v>0.39083333333333337</v>
      </c>
      <c r="G45" s="202">
        <v>12</v>
      </c>
      <c r="H45" s="71"/>
    </row>
    <row r="46" spans="1:11" x14ac:dyDescent="0.25">
      <c r="A46" s="207" t="s">
        <v>72</v>
      </c>
      <c r="B46" s="199">
        <v>11.65</v>
      </c>
      <c r="C46" s="199">
        <v>1455</v>
      </c>
      <c r="D46" s="200">
        <v>3900</v>
      </c>
      <c r="E46" s="201">
        <f t="shared" si="3"/>
        <v>0.37307692307692308</v>
      </c>
      <c r="F46" s="201">
        <f t="shared" si="4"/>
        <v>0.48541666666666666</v>
      </c>
      <c r="G46" s="202">
        <v>12</v>
      </c>
      <c r="H46" s="71" t="s">
        <v>167</v>
      </c>
    </row>
    <row r="47" spans="1:11" x14ac:dyDescent="0.25">
      <c r="A47" s="207" t="s">
        <v>73</v>
      </c>
      <c r="B47" s="199">
        <v>10.199999999999999</v>
      </c>
      <c r="C47" s="199">
        <v>2803</v>
      </c>
      <c r="D47" s="200">
        <v>3900</v>
      </c>
      <c r="E47" s="201">
        <f t="shared" si="3"/>
        <v>0.7187179487179487</v>
      </c>
      <c r="F47" s="201">
        <f t="shared" si="4"/>
        <v>0.42499999999999999</v>
      </c>
      <c r="G47" s="202">
        <v>12</v>
      </c>
      <c r="H47" s="144">
        <v>45885</v>
      </c>
      <c r="I47" s="220">
        <v>170</v>
      </c>
    </row>
    <row r="48" spans="1:11" x14ac:dyDescent="0.25">
      <c r="A48" s="207" t="s">
        <v>74</v>
      </c>
      <c r="B48" s="199">
        <v>0</v>
      </c>
      <c r="C48" s="199">
        <v>0</v>
      </c>
      <c r="D48" s="200">
        <v>3900</v>
      </c>
      <c r="E48" s="201">
        <f t="shared" si="3"/>
        <v>0</v>
      </c>
      <c r="F48" s="201">
        <f t="shared" si="4"/>
        <v>0</v>
      </c>
      <c r="G48" s="202">
        <v>12</v>
      </c>
      <c r="H48" s="144">
        <v>45886</v>
      </c>
      <c r="I48" s="145">
        <v>202</v>
      </c>
    </row>
    <row r="49" spans="1:10" x14ac:dyDescent="0.25">
      <c r="A49" s="207" t="s">
        <v>75</v>
      </c>
      <c r="B49" s="203">
        <v>12.97</v>
      </c>
      <c r="C49" s="204">
        <v>3081</v>
      </c>
      <c r="D49" s="205">
        <v>4300</v>
      </c>
      <c r="E49" s="206">
        <f t="shared" si="3"/>
        <v>0.71651162790697676</v>
      </c>
      <c r="F49" s="201">
        <f t="shared" si="4"/>
        <v>0.54041666666666666</v>
      </c>
      <c r="G49" s="202">
        <v>16</v>
      </c>
      <c r="H49" s="144">
        <v>45886</v>
      </c>
      <c r="I49" s="220">
        <v>221</v>
      </c>
    </row>
    <row r="50" spans="1:10" x14ac:dyDescent="0.25">
      <c r="C50" s="71" t="s">
        <v>83</v>
      </c>
      <c r="D50" s="72" t="s">
        <v>79</v>
      </c>
      <c r="H50" s="71"/>
      <c r="I50" s="162">
        <v>70</v>
      </c>
    </row>
    <row r="51" spans="1:10" x14ac:dyDescent="0.25">
      <c r="B51" s="162" t="s">
        <v>78</v>
      </c>
      <c r="H51" s="71"/>
      <c r="I51" s="68">
        <f>+SUM(I47:I50)</f>
        <v>663</v>
      </c>
      <c r="J51" s="162">
        <f>+I51*1.5</f>
        <v>994.5</v>
      </c>
    </row>
    <row r="52" spans="1:10" x14ac:dyDescent="0.25">
      <c r="C52" s="71">
        <v>1</v>
      </c>
      <c r="D52" s="225" t="s">
        <v>153</v>
      </c>
      <c r="H52" s="71"/>
    </row>
    <row r="53" spans="1:10" x14ac:dyDescent="0.25">
      <c r="C53" s="71">
        <v>2</v>
      </c>
      <c r="D53" s="225" t="s">
        <v>153</v>
      </c>
      <c r="H53" s="71"/>
    </row>
    <row r="54" spans="1:10" x14ac:dyDescent="0.25">
      <c r="C54" s="71">
        <v>3</v>
      </c>
      <c r="D54" s="225" t="s">
        <v>154</v>
      </c>
      <c r="H54" s="71"/>
    </row>
    <row r="55" spans="1:10" x14ac:dyDescent="0.25">
      <c r="C55" s="71">
        <v>4</v>
      </c>
      <c r="D55" s="108">
        <v>1</v>
      </c>
      <c r="H55" s="71"/>
    </row>
    <row r="56" spans="1:10" x14ac:dyDescent="0.25">
      <c r="C56" s="71">
        <v>5</v>
      </c>
      <c r="D56" s="108">
        <v>1</v>
      </c>
    </row>
    <row r="57" spans="1:10" x14ac:dyDescent="0.25">
      <c r="C57" s="71">
        <v>6</v>
      </c>
      <c r="D57" s="108">
        <v>1</v>
      </c>
    </row>
    <row r="58" spans="1:10" x14ac:dyDescent="0.25">
      <c r="C58" s="71">
        <v>7</v>
      </c>
      <c r="D58" s="225" t="s">
        <v>153</v>
      </c>
    </row>
    <row r="59" spans="1:10" x14ac:dyDescent="0.25">
      <c r="C59" s="71">
        <v>8</v>
      </c>
      <c r="D59" s="225" t="s">
        <v>153</v>
      </c>
    </row>
  </sheetData>
  <protectedRanges>
    <protectedRange password="D554" sqref="I42:I44 I47:I4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opLeftCell="A21" workbookViewId="0">
      <selection activeCell="E37" sqref="E37"/>
    </sheetView>
  </sheetViews>
  <sheetFormatPr baseColWidth="10" defaultColWidth="11.42578125" defaultRowHeight="15.75" x14ac:dyDescent="0.25"/>
  <cols>
    <col min="1" max="1" width="2.42578125" style="162" customWidth="1"/>
    <col min="2" max="2" width="41.140625" style="162" customWidth="1"/>
    <col min="3" max="3" width="15.28515625" style="162" customWidth="1"/>
    <col min="4" max="4" width="15.28515625" style="163" customWidth="1"/>
    <col min="5" max="5" width="15.140625" style="162" customWidth="1"/>
    <col min="6" max="6" width="11.5703125" style="162" bestFit="1" customWidth="1"/>
    <col min="7" max="7" width="15.5703125" style="162" bestFit="1" customWidth="1"/>
    <col min="8" max="8" width="10.85546875" style="162" bestFit="1" customWidth="1"/>
    <col min="9" max="9" width="11" style="162" bestFit="1" customWidth="1"/>
    <col min="10" max="10" width="12.7109375" style="162" bestFit="1" customWidth="1"/>
    <col min="11" max="16384" width="11.42578125" style="162"/>
  </cols>
  <sheetData>
    <row r="1" spans="1:10" ht="15" customHeight="1" x14ac:dyDescent="0.25">
      <c r="A1" s="161"/>
      <c r="B1" s="518">
        <v>45887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47"/>
      <c r="C4" s="247"/>
      <c r="D4" s="165">
        <f>D25</f>
        <v>6162.0940000000001</v>
      </c>
      <c r="F4" s="58" t="s">
        <v>51</v>
      </c>
      <c r="G4" s="59">
        <v>45887</v>
      </c>
      <c r="H4" s="190">
        <v>5085</v>
      </c>
      <c r="I4" s="141">
        <v>6162.0940000000001</v>
      </c>
      <c r="J4" s="60">
        <f t="shared" ref="J4:J11" si="0">+I4/H4</f>
        <v>1.2118178957718782</v>
      </c>
    </row>
    <row r="5" spans="1:10" ht="15" customHeight="1" x14ac:dyDescent="0.25">
      <c r="A5" s="164"/>
      <c r="B5" s="168" t="s">
        <v>6</v>
      </c>
      <c r="C5" s="176">
        <v>3110</v>
      </c>
      <c r="D5" s="172">
        <v>132.90199999999999</v>
      </c>
      <c r="E5" s="80">
        <f>+D5/$D$4</f>
        <v>2.1567668393244241E-2</v>
      </c>
      <c r="F5" s="58" t="s">
        <v>52</v>
      </c>
      <c r="G5" s="59">
        <v>45888</v>
      </c>
      <c r="H5" s="190">
        <v>7027</v>
      </c>
      <c r="I5" s="141"/>
      <c r="J5" s="60">
        <f t="shared" si="0"/>
        <v>0</v>
      </c>
    </row>
    <row r="6" spans="1:10" ht="15" customHeight="1" x14ac:dyDescent="0.25">
      <c r="A6" s="164"/>
      <c r="B6" s="169" t="s">
        <v>10</v>
      </c>
      <c r="C6" s="177">
        <v>15130</v>
      </c>
      <c r="D6" s="173">
        <v>645.49599999999998</v>
      </c>
      <c r="E6" s="80">
        <f t="shared" ref="E6:E25" si="1">+D6/$D$4</f>
        <v>0.1047527025715609</v>
      </c>
      <c r="F6" s="58" t="s">
        <v>53</v>
      </c>
      <c r="G6" s="59">
        <v>45889</v>
      </c>
      <c r="H6" s="190">
        <v>7012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11663</v>
      </c>
      <c r="D7" s="173">
        <v>497.40199999999999</v>
      </c>
      <c r="E7" s="80">
        <f t="shared" si="1"/>
        <v>8.0719638486527467E-2</v>
      </c>
      <c r="F7" s="58" t="s">
        <v>54</v>
      </c>
      <c r="G7" s="59">
        <v>45890</v>
      </c>
      <c r="H7" s="190">
        <v>7546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600</v>
      </c>
      <c r="D8" s="173">
        <v>25.6</v>
      </c>
      <c r="E8" s="80">
        <f t="shared" si="1"/>
        <v>4.1544319187600837E-3</v>
      </c>
      <c r="F8" s="58" t="s">
        <v>55</v>
      </c>
      <c r="G8" s="59">
        <v>45891</v>
      </c>
      <c r="H8" s="190">
        <v>7992.6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22704</v>
      </c>
      <c r="D9" s="173">
        <v>968.83399999999995</v>
      </c>
      <c r="E9" s="245">
        <f t="shared" si="1"/>
        <v>0.15722480053046903</v>
      </c>
      <c r="F9" s="58" t="s">
        <v>56</v>
      </c>
      <c r="G9" s="59">
        <v>45892</v>
      </c>
      <c r="H9" s="190">
        <v>8245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47009</v>
      </c>
      <c r="D10" s="173">
        <v>2003.7159999999999</v>
      </c>
      <c r="E10" s="245">
        <f t="shared" si="1"/>
        <v>0.32516803541133904</v>
      </c>
      <c r="F10" s="58" t="s">
        <v>57</v>
      </c>
      <c r="G10" s="59">
        <v>45893</v>
      </c>
      <c r="H10" s="190">
        <v>6382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6360</v>
      </c>
      <c r="D11" s="173">
        <v>271.64400000000001</v>
      </c>
      <c r="E11" s="80">
        <f t="shared" si="1"/>
        <v>4.4083066567955631E-2</v>
      </c>
      <c r="H11" s="139">
        <f>+SUM(H4:H10)</f>
        <v>49289.599999999999</v>
      </c>
      <c r="I11" s="142">
        <f>+SUM(I4:I10)</f>
        <v>6162.0940000000001</v>
      </c>
      <c r="J11" s="140">
        <f t="shared" si="0"/>
        <v>0.12501813770044798</v>
      </c>
    </row>
    <row r="12" spans="1:10" ht="15" customHeight="1" x14ac:dyDescent="0.25">
      <c r="A12" s="164"/>
      <c r="B12" s="169" t="s">
        <v>47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141</v>
      </c>
      <c r="C13" s="177">
        <v>68</v>
      </c>
      <c r="D13" s="173">
        <v>102.61</v>
      </c>
      <c r="E13" s="80">
        <f t="shared" si="1"/>
        <v>1.6651806999373915E-2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384</v>
      </c>
      <c r="D14" s="173">
        <v>578.44000000000005</v>
      </c>
      <c r="E14" s="80">
        <f t="shared" si="1"/>
        <v>9.3870687464358712E-2</v>
      </c>
      <c r="F14" s="112" t="s">
        <v>108</v>
      </c>
      <c r="G14" s="190">
        <v>204007.80300000001</v>
      </c>
      <c r="H14" s="190">
        <v>190629.128</v>
      </c>
      <c r="I14" s="57">
        <f t="shared" ref="I14:I21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46</v>
      </c>
      <c r="D15" s="173">
        <v>69.510000000000005</v>
      </c>
      <c r="E15" s="80">
        <f t="shared" si="1"/>
        <v>1.1280256354414587E-2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164</v>
      </c>
      <c r="C16" s="177"/>
      <c r="D16" s="173"/>
      <c r="E16" s="80">
        <f t="shared" si="1"/>
        <v>0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40</v>
      </c>
      <c r="D17" s="173">
        <v>60.02</v>
      </c>
      <c r="E17" s="80">
        <f t="shared" si="1"/>
        <v>9.740195459530478E-3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166</v>
      </c>
      <c r="C18" s="177">
        <v>43</v>
      </c>
      <c r="D18" s="173">
        <v>64.53</v>
      </c>
      <c r="E18" s="80">
        <f t="shared" si="1"/>
        <v>1.0472089520218289E-2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41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165</v>
      </c>
      <c r="C20" s="177">
        <v>110</v>
      </c>
      <c r="D20" s="173">
        <v>166.11</v>
      </c>
      <c r="E20" s="80">
        <f t="shared" si="1"/>
        <v>2.6956745547860844E-2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106</v>
      </c>
      <c r="C21" s="177">
        <v>20</v>
      </c>
      <c r="D21" s="173">
        <v>29.86</v>
      </c>
      <c r="E21" s="80">
        <f t="shared" si="1"/>
        <v>4.8457553552412541E-3</v>
      </c>
      <c r="F21" s="112" t="s">
        <v>135</v>
      </c>
      <c r="G21" s="190">
        <v>232937.965</v>
      </c>
      <c r="H21" s="190">
        <f>+D26</f>
        <v>134014.13</v>
      </c>
      <c r="I21" s="98">
        <f t="shared" si="2"/>
        <v>0.57532111607483138</v>
      </c>
      <c r="J21" s="108">
        <f>+D24-G21</f>
        <v>-232907.98499999999</v>
      </c>
    </row>
    <row r="22" spans="1:10" ht="15" customHeight="1" x14ac:dyDescent="0.25">
      <c r="A22" s="164"/>
      <c r="B22" s="169" t="s">
        <v>40</v>
      </c>
      <c r="C22" s="177"/>
      <c r="D22" s="173">
        <v>302.60000000000002</v>
      </c>
      <c r="E22" s="80">
        <f t="shared" si="1"/>
        <v>4.910668353971881E-2</v>
      </c>
      <c r="F22" s="112" t="s">
        <v>160</v>
      </c>
      <c r="G22" s="112"/>
      <c r="H22" s="112"/>
    </row>
    <row r="23" spans="1:10" ht="15" customHeight="1" x14ac:dyDescent="0.25">
      <c r="A23" s="164"/>
      <c r="B23" s="169" t="s">
        <v>9</v>
      </c>
      <c r="C23" s="177"/>
      <c r="D23" s="173">
        <v>212.84</v>
      </c>
      <c r="E23" s="80">
        <f t="shared" si="1"/>
        <v>3.4540206624566257E-2</v>
      </c>
      <c r="F23" s="112" t="s">
        <v>161</v>
      </c>
      <c r="G23" s="112"/>
      <c r="H23" s="112"/>
    </row>
    <row r="24" spans="1:10" ht="15" customHeight="1" thickBot="1" x14ac:dyDescent="0.3">
      <c r="A24" s="164"/>
      <c r="B24" s="169" t="s">
        <v>46</v>
      </c>
      <c r="C24" s="177"/>
      <c r="D24" s="173">
        <v>29.98</v>
      </c>
      <c r="E24" s="80">
        <f t="shared" si="1"/>
        <v>4.8652292548604422E-3</v>
      </c>
      <c r="F24" s="179"/>
      <c r="G24" s="68">
        <f ca="1">+SUM(G17:G24)</f>
        <v>3191335.6980000003</v>
      </c>
      <c r="H24" s="68">
        <f ca="1">+SUM(H17:H24)</f>
        <v>2783316.1739999996</v>
      </c>
    </row>
    <row r="25" spans="1:10" ht="15" customHeight="1" thickBot="1" x14ac:dyDescent="0.3">
      <c r="B25" s="178" t="s">
        <v>0</v>
      </c>
      <c r="C25" s="170"/>
      <c r="D25" s="171">
        <f>SUM(D5:D24)</f>
        <v>6162.0940000000001</v>
      </c>
      <c r="E25" s="80">
        <f t="shared" si="1"/>
        <v>1</v>
      </c>
      <c r="F25" s="179"/>
      <c r="G25" s="179"/>
    </row>
    <row r="26" spans="1:10" ht="15" customHeight="1" x14ac:dyDescent="0.25">
      <c r="B26" s="166" t="s">
        <v>1</v>
      </c>
      <c r="C26" s="167"/>
      <c r="D26" s="252">
        <v>134014.13</v>
      </c>
      <c r="E26" s="98">
        <f>+D26/$E$2</f>
        <v>0.58370303101575394</v>
      </c>
      <c r="F26" s="163"/>
      <c r="G26" s="179"/>
    </row>
    <row r="27" spans="1:10" x14ac:dyDescent="0.25">
      <c r="D27" s="193">
        <f>+(E2/31)*18</f>
        <v>133312.06451612903</v>
      </c>
      <c r="E27" s="98">
        <f>+D27/$E$2</f>
        <v>0.58064516129032262</v>
      </c>
    </row>
    <row r="28" spans="1:10" x14ac:dyDescent="0.25">
      <c r="D28" s="138">
        <f>+D26-D27</f>
        <v>702.06548387097428</v>
      </c>
      <c r="E28" s="251">
        <f>+E26-E27</f>
        <v>3.057869725431317E-3</v>
      </c>
    </row>
    <row r="29" spans="1:10" x14ac:dyDescent="0.25">
      <c r="D29" s="162"/>
    </row>
    <row r="30" spans="1:10" x14ac:dyDescent="0.25">
      <c r="D30" s="162"/>
    </row>
    <row r="31" spans="1:10" x14ac:dyDescent="0.25">
      <c r="D31" s="162"/>
    </row>
    <row r="32" spans="1:10" ht="15" customHeight="1" x14ac:dyDescent="0.25"/>
    <row r="33" spans="1:11" ht="15" customHeight="1" x14ac:dyDescent="0.25">
      <c r="B33" s="66" t="s">
        <v>60</v>
      </c>
      <c r="D33" s="109" t="s">
        <v>105</v>
      </c>
      <c r="E33" s="109" t="s">
        <v>80</v>
      </c>
      <c r="G33" s="163"/>
      <c r="H33" s="237" t="s">
        <v>157</v>
      </c>
      <c r="I33" s="237" t="s">
        <v>92</v>
      </c>
      <c r="J33" s="71"/>
    </row>
    <row r="34" spans="1:11" x14ac:dyDescent="0.25">
      <c r="B34" s="162" t="s">
        <v>61</v>
      </c>
      <c r="C34" s="162">
        <v>807</v>
      </c>
      <c r="D34" s="108">
        <v>2142</v>
      </c>
      <c r="E34" s="57">
        <f>+C34/D34</f>
        <v>0.37675070028011204</v>
      </c>
      <c r="G34" s="86" t="s">
        <v>86</v>
      </c>
      <c r="H34" s="87">
        <v>7008</v>
      </c>
      <c r="I34" s="88">
        <v>175.20000000000002</v>
      </c>
      <c r="J34" s="228"/>
      <c r="K34" s="229"/>
    </row>
    <row r="35" spans="1:11" x14ac:dyDescent="0.25">
      <c r="B35" s="162" t="s">
        <v>62</v>
      </c>
      <c r="C35" s="162">
        <v>956</v>
      </c>
      <c r="D35" s="108">
        <v>1890</v>
      </c>
      <c r="E35" s="57">
        <f>+C35/D35</f>
        <v>0.50582010582010584</v>
      </c>
      <c r="G35" s="86" t="s">
        <v>171</v>
      </c>
      <c r="H35" s="87">
        <v>14</v>
      </c>
      <c r="I35" s="88">
        <v>0.35000000000000003</v>
      </c>
      <c r="J35" s="228"/>
      <c r="K35" s="229"/>
    </row>
    <row r="36" spans="1:11" x14ac:dyDescent="0.25">
      <c r="B36" s="162" t="s">
        <v>63</v>
      </c>
      <c r="C36" s="67">
        <v>892</v>
      </c>
      <c r="D36" s="108">
        <v>3006</v>
      </c>
      <c r="E36" s="57">
        <f>+C36/D36</f>
        <v>0.29673985362608118</v>
      </c>
      <c r="G36" s="89" t="s">
        <v>169</v>
      </c>
      <c r="H36" s="87">
        <v>113</v>
      </c>
      <c r="I36" s="88">
        <v>169.5</v>
      </c>
      <c r="J36" s="228"/>
      <c r="K36" s="229"/>
    </row>
    <row r="37" spans="1:11" x14ac:dyDescent="0.25">
      <c r="C37" s="162">
        <f>+SUM(C34:C36)</f>
        <v>2655</v>
      </c>
      <c r="D37" s="110">
        <f>+SUM(D34:D36)</f>
        <v>7038</v>
      </c>
      <c r="E37" s="57">
        <f>+C37/D37</f>
        <v>0.37723785166240409</v>
      </c>
      <c r="G37" s="89" t="s">
        <v>168</v>
      </c>
      <c r="H37" s="87">
        <v>99</v>
      </c>
      <c r="I37" s="88">
        <f>+H37*1.5</f>
        <v>148.5</v>
      </c>
      <c r="J37" s="230"/>
    </row>
    <row r="38" spans="1:11" x14ac:dyDescent="0.25">
      <c r="G38" s="231" t="s">
        <v>123</v>
      </c>
      <c r="H38" s="138">
        <v>231</v>
      </c>
      <c r="I38" s="232">
        <v>346.5</v>
      </c>
      <c r="J38" s="218" t="s">
        <v>146</v>
      </c>
    </row>
    <row r="39" spans="1:11" x14ac:dyDescent="0.25">
      <c r="B39" s="162" t="s">
        <v>66</v>
      </c>
      <c r="D39" s="162"/>
      <c r="G39" s="89" t="s">
        <v>170</v>
      </c>
      <c r="H39" s="87">
        <v>22</v>
      </c>
      <c r="I39" s="88">
        <v>33</v>
      </c>
      <c r="J39" s="218" t="s">
        <v>146</v>
      </c>
    </row>
    <row r="40" spans="1:11" x14ac:dyDescent="0.25">
      <c r="B40" s="76" t="s">
        <v>67</v>
      </c>
      <c r="C40" s="77" t="s">
        <v>68</v>
      </c>
      <c r="D40" s="78" t="s">
        <v>69</v>
      </c>
      <c r="E40" s="79" t="s">
        <v>33</v>
      </c>
      <c r="G40" s="89" t="s">
        <v>107</v>
      </c>
      <c r="H40" s="87">
        <v>239</v>
      </c>
      <c r="I40" s="88">
        <f>+H40*1.5</f>
        <v>358.5</v>
      </c>
      <c r="J40" s="224" t="s">
        <v>152</v>
      </c>
    </row>
    <row r="41" spans="1:11" x14ac:dyDescent="0.25">
      <c r="B41" s="73">
        <v>34</v>
      </c>
      <c r="C41" s="74">
        <v>2</v>
      </c>
      <c r="D41" s="74">
        <v>7</v>
      </c>
      <c r="E41" s="75">
        <f>+SUM(B41:D41)</f>
        <v>43</v>
      </c>
      <c r="J41" s="218"/>
    </row>
    <row r="42" spans="1:11" x14ac:dyDescent="0.25">
      <c r="E42" s="198" t="s">
        <v>76</v>
      </c>
      <c r="F42" s="198" t="s">
        <v>137</v>
      </c>
      <c r="H42" s="144" t="s">
        <v>124</v>
      </c>
      <c r="I42" s="220" t="s">
        <v>148</v>
      </c>
      <c r="J42" s="218" t="s">
        <v>146</v>
      </c>
    </row>
    <row r="43" spans="1:11" x14ac:dyDescent="0.25">
      <c r="D43" s="162"/>
      <c r="G43" s="71" t="s">
        <v>90</v>
      </c>
      <c r="H43" s="144" t="s">
        <v>120</v>
      </c>
      <c r="I43" s="145">
        <v>0</v>
      </c>
      <c r="J43" s="218"/>
    </row>
    <row r="44" spans="1:11" x14ac:dyDescent="0.25">
      <c r="A44" s="207" t="s">
        <v>70</v>
      </c>
      <c r="B44" s="199">
        <v>0</v>
      </c>
      <c r="C44" s="199">
        <v>0</v>
      </c>
      <c r="D44" s="200">
        <v>2400</v>
      </c>
      <c r="E44" s="201">
        <f t="shared" ref="E44:E49" si="3">+C44/D44</f>
        <v>0</v>
      </c>
      <c r="F44" s="201">
        <f t="shared" ref="F44:F49" si="4">+B44/24</f>
        <v>0</v>
      </c>
      <c r="G44" s="202">
        <v>7</v>
      </c>
      <c r="H44" s="144" t="s">
        <v>121</v>
      </c>
      <c r="I44" s="220" t="s">
        <v>149</v>
      </c>
      <c r="J44" s="218" t="s">
        <v>146</v>
      </c>
    </row>
    <row r="45" spans="1:11" x14ac:dyDescent="0.25">
      <c r="A45" s="207" t="s">
        <v>71</v>
      </c>
      <c r="B45" s="199">
        <v>9</v>
      </c>
      <c r="C45" s="199">
        <v>1832</v>
      </c>
      <c r="D45" s="200">
        <v>3600</v>
      </c>
      <c r="E45" s="201">
        <f t="shared" si="3"/>
        <v>0.50888888888888884</v>
      </c>
      <c r="F45" s="201">
        <f t="shared" si="4"/>
        <v>0.375</v>
      </c>
      <c r="G45" s="202">
        <v>12</v>
      </c>
      <c r="H45" s="71"/>
    </row>
    <row r="46" spans="1:11" x14ac:dyDescent="0.25">
      <c r="A46" s="207" t="s">
        <v>72</v>
      </c>
      <c r="B46" s="199">
        <v>10.9</v>
      </c>
      <c r="C46" s="199">
        <v>1557</v>
      </c>
      <c r="D46" s="200">
        <v>3900</v>
      </c>
      <c r="E46" s="201">
        <f t="shared" si="3"/>
        <v>0.39923076923076922</v>
      </c>
      <c r="F46" s="201">
        <f t="shared" si="4"/>
        <v>0.45416666666666666</v>
      </c>
      <c r="G46" s="202">
        <v>12</v>
      </c>
      <c r="H46" s="237" t="s">
        <v>167</v>
      </c>
    </row>
    <row r="47" spans="1:11" x14ac:dyDescent="0.25">
      <c r="A47" s="207" t="s">
        <v>73</v>
      </c>
      <c r="B47" s="199">
        <v>5.79</v>
      </c>
      <c r="C47" s="199">
        <v>2665</v>
      </c>
      <c r="D47" s="200">
        <v>3900</v>
      </c>
      <c r="E47" s="201">
        <f t="shared" si="3"/>
        <v>0.68333333333333335</v>
      </c>
      <c r="F47" s="201">
        <f t="shared" si="4"/>
        <v>0.24124999999999999</v>
      </c>
      <c r="G47" s="202">
        <v>12</v>
      </c>
      <c r="H47" s="144">
        <v>45885</v>
      </c>
      <c r="I47" s="220">
        <v>170</v>
      </c>
    </row>
    <row r="48" spans="1:11" x14ac:dyDescent="0.25">
      <c r="A48" s="207" t="s">
        <v>74</v>
      </c>
      <c r="B48" s="199">
        <v>2.2599999999999998</v>
      </c>
      <c r="C48" s="199">
        <v>1850</v>
      </c>
      <c r="D48" s="200">
        <v>3900</v>
      </c>
      <c r="E48" s="201">
        <f t="shared" si="3"/>
        <v>0.47435897435897434</v>
      </c>
      <c r="F48" s="201">
        <f t="shared" si="4"/>
        <v>9.4166666666666662E-2</v>
      </c>
      <c r="G48" s="202">
        <v>12</v>
      </c>
      <c r="H48" s="144">
        <v>45886</v>
      </c>
      <c r="I48" s="220">
        <v>202</v>
      </c>
    </row>
    <row r="49" spans="1:10" x14ac:dyDescent="0.25">
      <c r="A49" s="207" t="s">
        <v>75</v>
      </c>
      <c r="B49" s="203">
        <v>13.74</v>
      </c>
      <c r="C49" s="204">
        <v>2647</v>
      </c>
      <c r="D49" s="205">
        <v>4300</v>
      </c>
      <c r="E49" s="206">
        <f t="shared" si="3"/>
        <v>0.61558139534883716</v>
      </c>
      <c r="F49" s="201">
        <f t="shared" si="4"/>
        <v>0.57250000000000001</v>
      </c>
      <c r="G49" s="202">
        <v>16</v>
      </c>
      <c r="H49" s="144">
        <v>45886</v>
      </c>
      <c r="I49" s="220">
        <v>221</v>
      </c>
    </row>
    <row r="50" spans="1:10" x14ac:dyDescent="0.25">
      <c r="C50" s="71" t="s">
        <v>83</v>
      </c>
      <c r="D50" s="72" t="s">
        <v>79</v>
      </c>
      <c r="H50" s="144">
        <v>45887</v>
      </c>
      <c r="I50" s="253">
        <v>74</v>
      </c>
    </row>
    <row r="51" spans="1:10" x14ac:dyDescent="0.25">
      <c r="B51" s="162" t="s">
        <v>78</v>
      </c>
      <c r="H51" s="71"/>
      <c r="I51" s="110">
        <f>+SUM(I47:I50)</f>
        <v>667</v>
      </c>
      <c r="J51" s="248">
        <f>+I51*1.5</f>
        <v>1000.5</v>
      </c>
    </row>
    <row r="52" spans="1:10" x14ac:dyDescent="0.25">
      <c r="C52" s="71">
        <v>1</v>
      </c>
      <c r="D52" s="225" t="s">
        <v>153</v>
      </c>
      <c r="H52" s="71"/>
    </row>
    <row r="53" spans="1:10" x14ac:dyDescent="0.25">
      <c r="C53" s="71">
        <v>2</v>
      </c>
      <c r="D53" s="225" t="s">
        <v>153</v>
      </c>
      <c r="H53" s="71"/>
    </row>
    <row r="54" spans="1:10" x14ac:dyDescent="0.25">
      <c r="C54" s="71">
        <v>3</v>
      </c>
      <c r="D54" s="225" t="s">
        <v>154</v>
      </c>
      <c r="H54" s="71"/>
    </row>
    <row r="55" spans="1:10" x14ac:dyDescent="0.25">
      <c r="C55" s="71">
        <v>4</v>
      </c>
      <c r="D55" s="108">
        <v>0</v>
      </c>
      <c r="H55" s="71"/>
    </row>
    <row r="56" spans="1:10" x14ac:dyDescent="0.25">
      <c r="C56" s="71">
        <v>5</v>
      </c>
      <c r="D56" s="108">
        <v>5</v>
      </c>
    </row>
    <row r="57" spans="1:10" x14ac:dyDescent="0.25">
      <c r="C57" s="71">
        <v>6</v>
      </c>
      <c r="D57" s="108">
        <v>1</v>
      </c>
    </row>
    <row r="58" spans="1:10" x14ac:dyDescent="0.25">
      <c r="C58" s="71">
        <v>7</v>
      </c>
      <c r="D58" s="225" t="s">
        <v>153</v>
      </c>
    </row>
    <row r="59" spans="1:10" x14ac:dyDescent="0.25">
      <c r="C59" s="71">
        <v>8</v>
      </c>
      <c r="D59" s="225" t="s">
        <v>153</v>
      </c>
    </row>
  </sheetData>
  <protectedRanges>
    <protectedRange password="D554" sqref="I42:I44 I47:I5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>
      <selection activeCell="G24" sqref="G24:H24"/>
    </sheetView>
  </sheetViews>
  <sheetFormatPr baseColWidth="10" defaultColWidth="11.42578125" defaultRowHeight="15.75" x14ac:dyDescent="0.25"/>
  <cols>
    <col min="1" max="1" width="2.42578125" style="162" customWidth="1"/>
    <col min="2" max="2" width="46" style="162" customWidth="1"/>
    <col min="3" max="3" width="15.28515625" style="162" customWidth="1"/>
    <col min="4" max="4" width="15.28515625" style="163" customWidth="1"/>
    <col min="5" max="5" width="15.140625" style="162" customWidth="1"/>
    <col min="6" max="6" width="15.85546875" style="162" customWidth="1"/>
    <col min="7" max="7" width="16.5703125" style="162" customWidth="1"/>
    <col min="8" max="8" width="15.140625" style="162" customWidth="1"/>
    <col min="9" max="16384" width="11.42578125" style="162"/>
  </cols>
  <sheetData>
    <row r="1" spans="1:10" ht="15" customHeight="1" x14ac:dyDescent="0.25">
      <c r="A1" s="161"/>
      <c r="B1" s="518">
        <v>45888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49"/>
      <c r="C4" s="249"/>
      <c r="D4" s="165">
        <f>D25</f>
        <v>8128.5640000000012</v>
      </c>
      <c r="F4" s="58" t="s">
        <v>51</v>
      </c>
      <c r="G4" s="59">
        <v>45887</v>
      </c>
      <c r="H4" s="190">
        <v>6186</v>
      </c>
      <c r="I4" s="141">
        <v>6162.0940000000001</v>
      </c>
      <c r="J4" s="60">
        <f t="shared" ref="J4:J11" si="0">+I4/H4</f>
        <v>0.99613546718396384</v>
      </c>
    </row>
    <row r="5" spans="1:10" ht="15" customHeight="1" x14ac:dyDescent="0.25">
      <c r="A5" s="164"/>
      <c r="B5" s="168" t="s">
        <v>6</v>
      </c>
      <c r="C5" s="176">
        <v>2970</v>
      </c>
      <c r="D5" s="172">
        <v>126.824</v>
      </c>
      <c r="E5" s="80">
        <f>+D5/$D$4</f>
        <v>1.5602263819292065E-2</v>
      </c>
      <c r="F5" s="58" t="s">
        <v>52</v>
      </c>
      <c r="G5" s="59">
        <v>45888</v>
      </c>
      <c r="H5" s="190">
        <v>7809</v>
      </c>
      <c r="I5" s="141">
        <v>8128.5640000000012</v>
      </c>
      <c r="J5" s="60">
        <f t="shared" si="0"/>
        <v>1.0409225252913308</v>
      </c>
    </row>
    <row r="6" spans="1:10" ht="15" customHeight="1" x14ac:dyDescent="0.25">
      <c r="A6" s="164"/>
      <c r="B6" s="169" t="s">
        <v>10</v>
      </c>
      <c r="C6" s="177">
        <v>16510</v>
      </c>
      <c r="D6" s="173">
        <v>704.76599999999996</v>
      </c>
      <c r="E6" s="80">
        <f t="shared" ref="E6:E25" si="1">+D6/$D$4</f>
        <v>8.6702399095338348E-2</v>
      </c>
      <c r="F6" s="58" t="s">
        <v>53</v>
      </c>
      <c r="G6" s="59">
        <v>45889</v>
      </c>
      <c r="H6" s="190">
        <v>8158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23189</v>
      </c>
      <c r="D7" s="173">
        <v>988.62400000000002</v>
      </c>
      <c r="E7" s="80">
        <f t="shared" si="1"/>
        <v>0.12162345034129028</v>
      </c>
      <c r="F7" s="58" t="s">
        <v>54</v>
      </c>
      <c r="G7" s="59">
        <v>45890</v>
      </c>
      <c r="H7" s="190">
        <v>7874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3120</v>
      </c>
      <c r="D8" s="173">
        <v>133.16</v>
      </c>
      <c r="E8" s="80">
        <f t="shared" si="1"/>
        <v>1.6381737290867115E-2</v>
      </c>
      <c r="F8" s="58" t="s">
        <v>55</v>
      </c>
      <c r="G8" s="59">
        <v>45891</v>
      </c>
      <c r="H8" s="190">
        <v>7411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35389</v>
      </c>
      <c r="D9" s="173">
        <v>1509.626</v>
      </c>
      <c r="E9" s="245">
        <f t="shared" si="1"/>
        <v>0.18571865830176151</v>
      </c>
      <c r="F9" s="58" t="s">
        <v>56</v>
      </c>
      <c r="G9" s="59">
        <v>45892</v>
      </c>
      <c r="H9" s="190">
        <v>7169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48622</v>
      </c>
      <c r="D10" s="173">
        <v>2073.6120000000001</v>
      </c>
      <c r="E10" s="245">
        <f t="shared" si="1"/>
        <v>0.25510188515462262</v>
      </c>
      <c r="F10" s="58" t="s">
        <v>57</v>
      </c>
      <c r="G10" s="59">
        <v>45893</v>
      </c>
      <c r="H10" s="190">
        <v>5800.0000000000009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12373</v>
      </c>
      <c r="D11" s="173">
        <v>528.322</v>
      </c>
      <c r="E11" s="80">
        <f t="shared" si="1"/>
        <v>6.4995736024222719E-2</v>
      </c>
      <c r="H11" s="139">
        <f>+SUM(H4:H10)</f>
        <v>50407</v>
      </c>
      <c r="I11" s="142">
        <f>+SUM(I4:I10)</f>
        <v>14290.658000000001</v>
      </c>
      <c r="J11" s="140">
        <f t="shared" si="0"/>
        <v>0.28350542583371358</v>
      </c>
    </row>
    <row r="12" spans="1:10" ht="15" customHeight="1" x14ac:dyDescent="0.25">
      <c r="A12" s="164"/>
      <c r="B12" s="169" t="s">
        <v>47</v>
      </c>
      <c r="C12" s="177"/>
      <c r="D12" s="173"/>
      <c r="E12" s="80">
        <f t="shared" si="1"/>
        <v>0</v>
      </c>
    </row>
    <row r="13" spans="1:10" ht="15" customHeight="1" x14ac:dyDescent="0.25">
      <c r="A13" s="164"/>
      <c r="B13" s="169" t="s">
        <v>141</v>
      </c>
      <c r="C13" s="177">
        <v>66</v>
      </c>
      <c r="D13" s="173">
        <v>99.54</v>
      </c>
      <c r="E13" s="80">
        <f t="shared" si="1"/>
        <v>1.2245705391505804E-2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411</v>
      </c>
      <c r="D14" s="173">
        <v>619.71</v>
      </c>
      <c r="E14" s="80">
        <f t="shared" si="1"/>
        <v>7.6238558249649008E-2</v>
      </c>
      <c r="F14" s="112" t="s">
        <v>108</v>
      </c>
      <c r="G14" s="190">
        <v>204007.80300000001</v>
      </c>
      <c r="H14" s="190">
        <v>190629.128</v>
      </c>
      <c r="I14" s="57">
        <f t="shared" ref="I14:I21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285</v>
      </c>
      <c r="D15" s="173">
        <v>429.74</v>
      </c>
      <c r="E15" s="80">
        <f t="shared" si="1"/>
        <v>5.2867886627945594E-2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164</v>
      </c>
      <c r="C16" s="177"/>
      <c r="D16" s="173"/>
      <c r="E16" s="80">
        <f t="shared" si="1"/>
        <v>0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/>
      <c r="D17" s="173"/>
      <c r="E17" s="80">
        <f t="shared" si="1"/>
        <v>0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166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41</v>
      </c>
      <c r="C19" s="177">
        <v>87</v>
      </c>
      <c r="D19" s="173">
        <v>130.77000000000001</v>
      </c>
      <c r="E19" s="80">
        <f t="shared" si="1"/>
        <v>1.6087712417593068E-2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165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106</v>
      </c>
      <c r="C21" s="177"/>
      <c r="D21" s="173"/>
      <c r="E21" s="80">
        <f t="shared" si="1"/>
        <v>0</v>
      </c>
      <c r="F21" s="112" t="s">
        <v>135</v>
      </c>
      <c r="G21" s="190">
        <v>232937.965</v>
      </c>
      <c r="H21" s="190">
        <f>+D26</f>
        <v>142142.69399999999</v>
      </c>
      <c r="I21" s="98">
        <f t="shared" si="2"/>
        <v>0.61021694767531776</v>
      </c>
      <c r="J21" s="108">
        <f>+D24-G21</f>
        <v>-232847.32499999998</v>
      </c>
    </row>
    <row r="22" spans="1:10" ht="15" customHeight="1" x14ac:dyDescent="0.25">
      <c r="A22" s="164"/>
      <c r="B22" s="169" t="s">
        <v>40</v>
      </c>
      <c r="C22" s="177"/>
      <c r="D22" s="173">
        <v>514.26</v>
      </c>
      <c r="E22" s="80">
        <f t="shared" si="1"/>
        <v>6.3265787167327447E-2</v>
      </c>
      <c r="F22" s="112" t="s">
        <v>160</v>
      </c>
      <c r="G22" s="112"/>
      <c r="H22" s="112"/>
    </row>
    <row r="23" spans="1:10" ht="15" customHeight="1" x14ac:dyDescent="0.25">
      <c r="A23" s="164"/>
      <c r="B23" s="169" t="s">
        <v>9</v>
      </c>
      <c r="C23" s="177"/>
      <c r="D23" s="173">
        <v>178.97</v>
      </c>
      <c r="E23" s="80">
        <f t="shared" si="1"/>
        <v>2.2017419066885612E-2</v>
      </c>
      <c r="F23" s="112" t="s">
        <v>161</v>
      </c>
      <c r="G23" s="112"/>
      <c r="H23" s="112"/>
    </row>
    <row r="24" spans="1:10" ht="15" customHeight="1" thickBot="1" x14ac:dyDescent="0.3">
      <c r="A24" s="164"/>
      <c r="B24" s="169" t="s">
        <v>46</v>
      </c>
      <c r="C24" s="177"/>
      <c r="D24" s="173">
        <v>90.64</v>
      </c>
      <c r="E24" s="80">
        <f t="shared" si="1"/>
        <v>1.1150801051698675E-2</v>
      </c>
      <c r="F24" s="179"/>
      <c r="G24" s="68">
        <f ca="1">+SUM(G17:G24)</f>
        <v>3191335.6980000003</v>
      </c>
      <c r="H24" s="68">
        <f ca="1">+SUM(H17:H24)</f>
        <v>2799573.3019999997</v>
      </c>
    </row>
    <row r="25" spans="1:10" ht="15" customHeight="1" thickBot="1" x14ac:dyDescent="0.3">
      <c r="B25" s="178" t="s">
        <v>0</v>
      </c>
      <c r="C25" s="170"/>
      <c r="D25" s="171">
        <f>SUM(D5:D24)</f>
        <v>8128.5640000000012</v>
      </c>
      <c r="E25" s="80">
        <f t="shared" si="1"/>
        <v>1</v>
      </c>
      <c r="F25" s="179"/>
      <c r="G25" s="179"/>
    </row>
    <row r="26" spans="1:10" ht="15" customHeight="1" x14ac:dyDescent="0.25">
      <c r="B26" s="166" t="s">
        <v>1</v>
      </c>
      <c r="C26" s="167"/>
      <c r="D26" s="233">
        <v>142142.69399999999</v>
      </c>
      <c r="E26" s="98">
        <f>+D26/$E$2</f>
        <v>0.61910726372319713</v>
      </c>
      <c r="F26" s="163"/>
      <c r="G26" s="179"/>
    </row>
    <row r="27" spans="1:10" ht="15" customHeight="1" x14ac:dyDescent="0.25">
      <c r="D27" s="193">
        <f>+(E2/31)*19</f>
        <v>140718.29032258064</v>
      </c>
      <c r="E27" s="98">
        <f>+D27/$E$2</f>
        <v>0.61290322580645162</v>
      </c>
    </row>
    <row r="28" spans="1:10" ht="15" customHeight="1" x14ac:dyDescent="0.25">
      <c r="D28" s="138">
        <f>+D26-D27</f>
        <v>1424.4036774193519</v>
      </c>
      <c r="E28" s="251">
        <f>+E26-E27</f>
        <v>6.2040379167455084E-3</v>
      </c>
    </row>
    <row r="29" spans="1:10" x14ac:dyDescent="0.25">
      <c r="D29" s="162"/>
    </row>
    <row r="30" spans="1:10" x14ac:dyDescent="0.25">
      <c r="D30" s="162"/>
    </row>
    <row r="31" spans="1:10" x14ac:dyDescent="0.25">
      <c r="D31" s="162"/>
    </row>
    <row r="33" spans="1:11" x14ac:dyDescent="0.25">
      <c r="B33" s="66" t="s">
        <v>60</v>
      </c>
      <c r="D33" s="109" t="s">
        <v>105</v>
      </c>
      <c r="E33" s="109" t="s">
        <v>80</v>
      </c>
      <c r="G33" s="163"/>
      <c r="H33" s="237" t="s">
        <v>157</v>
      </c>
      <c r="I33" s="237" t="s">
        <v>92</v>
      </c>
      <c r="J33" s="71"/>
    </row>
    <row r="34" spans="1:11" ht="15" customHeight="1" x14ac:dyDescent="0.25">
      <c r="B34" s="162" t="s">
        <v>61</v>
      </c>
      <c r="C34" s="162">
        <v>406</v>
      </c>
      <c r="D34" s="108">
        <v>2142</v>
      </c>
      <c r="E34" s="57">
        <f>+C34/D34</f>
        <v>0.18954248366013071</v>
      </c>
      <c r="G34" s="86" t="s">
        <v>86</v>
      </c>
      <c r="H34" s="87">
        <v>7008</v>
      </c>
      <c r="I34" s="88">
        <v>175.20000000000002</v>
      </c>
      <c r="J34" s="228"/>
      <c r="K34" s="229"/>
    </row>
    <row r="35" spans="1:11" ht="15" customHeight="1" x14ac:dyDescent="0.25">
      <c r="B35" s="162" t="s">
        <v>62</v>
      </c>
      <c r="C35" s="162">
        <v>1375</v>
      </c>
      <c r="D35" s="108">
        <v>1890</v>
      </c>
      <c r="E35" s="57">
        <f>+C35/D35</f>
        <v>0.72751322751322756</v>
      </c>
      <c r="G35" s="86" t="s">
        <v>171</v>
      </c>
      <c r="H35" s="87">
        <v>14</v>
      </c>
      <c r="I35" s="88">
        <v>0.35000000000000003</v>
      </c>
      <c r="J35" s="228"/>
      <c r="K35" s="229"/>
    </row>
    <row r="36" spans="1:11" x14ac:dyDescent="0.25">
      <c r="B36" s="162" t="s">
        <v>63</v>
      </c>
      <c r="C36" s="67">
        <v>1566</v>
      </c>
      <c r="D36" s="108">
        <v>3006</v>
      </c>
      <c r="E36" s="57">
        <f>+C36/D36</f>
        <v>0.52095808383233533</v>
      </c>
      <c r="G36" s="89" t="s">
        <v>169</v>
      </c>
      <c r="H36" s="87">
        <v>113</v>
      </c>
      <c r="I36" s="88">
        <v>169.5</v>
      </c>
      <c r="J36" s="228"/>
      <c r="K36" s="229"/>
    </row>
    <row r="37" spans="1:11" x14ac:dyDescent="0.25">
      <c r="C37" s="162">
        <f>+SUM(C34:C36)</f>
        <v>3347</v>
      </c>
      <c r="D37" s="110">
        <f>+SUM(D34:D36)</f>
        <v>7038</v>
      </c>
      <c r="E37" s="57">
        <f>+C37/D37</f>
        <v>0.47556123898834896</v>
      </c>
      <c r="G37" s="89" t="s">
        <v>168</v>
      </c>
      <c r="H37" s="87">
        <v>99</v>
      </c>
      <c r="I37" s="88">
        <f>+H37*1.5</f>
        <v>148.5</v>
      </c>
      <c r="J37" s="230"/>
    </row>
    <row r="38" spans="1:11" x14ac:dyDescent="0.25">
      <c r="G38" s="231" t="s">
        <v>123</v>
      </c>
      <c r="H38" s="138">
        <v>231</v>
      </c>
      <c r="I38" s="232">
        <v>346.5</v>
      </c>
      <c r="J38" s="218" t="s">
        <v>146</v>
      </c>
    </row>
    <row r="39" spans="1:11" x14ac:dyDescent="0.25">
      <c r="B39" s="162" t="s">
        <v>66</v>
      </c>
      <c r="D39" s="162"/>
      <c r="G39" s="89" t="s">
        <v>170</v>
      </c>
      <c r="H39" s="87">
        <v>22</v>
      </c>
      <c r="I39" s="88">
        <v>33</v>
      </c>
      <c r="J39" s="218" t="s">
        <v>146</v>
      </c>
    </row>
    <row r="40" spans="1:11" x14ac:dyDescent="0.25">
      <c r="B40" s="76" t="s">
        <v>67</v>
      </c>
      <c r="C40" s="77" t="s">
        <v>68</v>
      </c>
      <c r="D40" s="78" t="s">
        <v>69</v>
      </c>
      <c r="E40" s="79" t="s">
        <v>33</v>
      </c>
      <c r="G40" s="89" t="s">
        <v>107</v>
      </c>
      <c r="H40" s="87">
        <v>239</v>
      </c>
      <c r="I40" s="88">
        <f>+H40*1.5</f>
        <v>358.5</v>
      </c>
      <c r="J40" s="224" t="s">
        <v>152</v>
      </c>
    </row>
    <row r="41" spans="1:11" x14ac:dyDescent="0.25">
      <c r="B41" s="73">
        <v>28</v>
      </c>
      <c r="C41" s="74">
        <v>3</v>
      </c>
      <c r="D41" s="74">
        <v>14</v>
      </c>
      <c r="E41" s="75">
        <f>+SUM(B41:D41)</f>
        <v>45</v>
      </c>
      <c r="J41" s="218"/>
    </row>
    <row r="42" spans="1:11" x14ac:dyDescent="0.25">
      <c r="E42" s="198" t="s">
        <v>76</v>
      </c>
      <c r="F42" s="198" t="s">
        <v>137</v>
      </c>
      <c r="H42" s="144" t="s">
        <v>124</v>
      </c>
      <c r="I42" s="220" t="s">
        <v>148</v>
      </c>
      <c r="J42" s="218" t="s">
        <v>146</v>
      </c>
    </row>
    <row r="43" spans="1:11" x14ac:dyDescent="0.25">
      <c r="D43" s="162"/>
      <c r="G43" s="71" t="s">
        <v>90</v>
      </c>
      <c r="H43" s="144" t="s">
        <v>120</v>
      </c>
      <c r="I43" s="145">
        <v>0</v>
      </c>
      <c r="J43" s="218"/>
    </row>
    <row r="44" spans="1:11" x14ac:dyDescent="0.25">
      <c r="A44" s="207" t="s">
        <v>70</v>
      </c>
      <c r="B44" s="199">
        <v>0</v>
      </c>
      <c r="C44" s="199">
        <v>0</v>
      </c>
      <c r="D44" s="200">
        <v>2400</v>
      </c>
      <c r="E44" s="201">
        <f t="shared" ref="E44:E49" si="3">+C44/D44</f>
        <v>0</v>
      </c>
      <c r="F44" s="201">
        <f t="shared" ref="F44:F49" si="4">+B44/24</f>
        <v>0</v>
      </c>
      <c r="G44" s="202">
        <v>7</v>
      </c>
      <c r="H44" s="144" t="s">
        <v>121</v>
      </c>
      <c r="I44" s="220" t="s">
        <v>149</v>
      </c>
      <c r="J44" s="218" t="s">
        <v>146</v>
      </c>
    </row>
    <row r="45" spans="1:11" x14ac:dyDescent="0.25">
      <c r="A45" s="207" t="s">
        <v>71</v>
      </c>
      <c r="B45" s="199">
        <v>5.0199999999999996</v>
      </c>
      <c r="C45" s="199">
        <v>1524</v>
      </c>
      <c r="D45" s="200">
        <v>3600</v>
      </c>
      <c r="E45" s="201">
        <f t="shared" si="3"/>
        <v>0.42333333333333334</v>
      </c>
      <c r="F45" s="201">
        <f t="shared" si="4"/>
        <v>0.20916666666666664</v>
      </c>
      <c r="G45" s="202">
        <v>12</v>
      </c>
      <c r="H45" s="71"/>
    </row>
    <row r="46" spans="1:11" x14ac:dyDescent="0.25">
      <c r="A46" s="207" t="s">
        <v>72</v>
      </c>
      <c r="B46" s="199">
        <v>13.95</v>
      </c>
      <c r="C46" s="199">
        <v>1619</v>
      </c>
      <c r="D46" s="200">
        <v>3900</v>
      </c>
      <c r="E46" s="201">
        <f t="shared" si="3"/>
        <v>0.41512820512820514</v>
      </c>
      <c r="F46" s="201">
        <f t="shared" si="4"/>
        <v>0.58124999999999993</v>
      </c>
      <c r="G46" s="202">
        <v>12</v>
      </c>
      <c r="H46" s="237" t="s">
        <v>167</v>
      </c>
    </row>
    <row r="47" spans="1:11" x14ac:dyDescent="0.25">
      <c r="A47" s="207" t="s">
        <v>73</v>
      </c>
      <c r="B47" s="199">
        <v>9.1300000000000008</v>
      </c>
      <c r="C47" s="199">
        <v>2751</v>
      </c>
      <c r="D47" s="200">
        <v>3900</v>
      </c>
      <c r="E47" s="201">
        <f t="shared" si="3"/>
        <v>0.70538461538461539</v>
      </c>
      <c r="F47" s="201">
        <f t="shared" si="4"/>
        <v>0.38041666666666668</v>
      </c>
      <c r="G47" s="202">
        <v>12</v>
      </c>
      <c r="H47" s="144">
        <v>45885</v>
      </c>
      <c r="I47" s="220">
        <v>170</v>
      </c>
    </row>
    <row r="48" spans="1:11" x14ac:dyDescent="0.25">
      <c r="A48" s="207" t="s">
        <v>74</v>
      </c>
      <c r="B48" s="199">
        <v>15.25</v>
      </c>
      <c r="C48" s="199">
        <v>2061</v>
      </c>
      <c r="D48" s="200">
        <v>3900</v>
      </c>
      <c r="E48" s="201">
        <f t="shared" si="3"/>
        <v>0.52846153846153843</v>
      </c>
      <c r="F48" s="201">
        <f t="shared" si="4"/>
        <v>0.63541666666666663</v>
      </c>
      <c r="G48" s="202">
        <v>12</v>
      </c>
      <c r="H48" s="144">
        <v>45886</v>
      </c>
      <c r="I48" s="220">
        <v>202</v>
      </c>
    </row>
    <row r="49" spans="1:10" x14ac:dyDescent="0.25">
      <c r="A49" s="207" t="s">
        <v>75</v>
      </c>
      <c r="B49" s="203">
        <v>16.690000000000001</v>
      </c>
      <c r="C49" s="204">
        <v>3112</v>
      </c>
      <c r="D49" s="205">
        <v>4300</v>
      </c>
      <c r="E49" s="206">
        <f t="shared" si="3"/>
        <v>0.72372093023255812</v>
      </c>
      <c r="F49" s="201">
        <f t="shared" si="4"/>
        <v>0.69541666666666668</v>
      </c>
      <c r="G49" s="202">
        <v>16</v>
      </c>
      <c r="H49" s="144">
        <v>45886</v>
      </c>
      <c r="I49" s="220">
        <v>221</v>
      </c>
    </row>
    <row r="50" spans="1:10" x14ac:dyDescent="0.25">
      <c r="C50" s="71" t="s">
        <v>83</v>
      </c>
      <c r="D50" s="72" t="s">
        <v>79</v>
      </c>
      <c r="H50" s="144">
        <v>45887</v>
      </c>
      <c r="I50" s="253">
        <v>74</v>
      </c>
    </row>
    <row r="51" spans="1:10" x14ac:dyDescent="0.25">
      <c r="B51" s="162" t="s">
        <v>78</v>
      </c>
      <c r="H51" s="71"/>
      <c r="I51" s="110">
        <f>+SUM(I47:I50)</f>
        <v>667</v>
      </c>
      <c r="J51" s="250">
        <f>+I51*1.5</f>
        <v>1000.5</v>
      </c>
    </row>
    <row r="52" spans="1:10" x14ac:dyDescent="0.25">
      <c r="C52" s="71">
        <v>1</v>
      </c>
      <c r="D52" s="225" t="s">
        <v>153</v>
      </c>
      <c r="H52" s="71"/>
    </row>
    <row r="53" spans="1:10" x14ac:dyDescent="0.25">
      <c r="C53" s="71">
        <v>2</v>
      </c>
      <c r="D53" s="225" t="s">
        <v>153</v>
      </c>
      <c r="H53" s="71"/>
    </row>
    <row r="54" spans="1:10" x14ac:dyDescent="0.25">
      <c r="C54" s="71">
        <v>3</v>
      </c>
      <c r="D54" s="225" t="s">
        <v>154</v>
      </c>
      <c r="H54" s="71"/>
    </row>
    <row r="55" spans="1:10" x14ac:dyDescent="0.25">
      <c r="C55" s="71">
        <v>4</v>
      </c>
      <c r="D55" s="108">
        <v>0</v>
      </c>
      <c r="H55" s="71"/>
    </row>
    <row r="56" spans="1:10" x14ac:dyDescent="0.25">
      <c r="C56" s="71">
        <v>5</v>
      </c>
      <c r="D56" s="108">
        <v>7</v>
      </c>
    </row>
    <row r="57" spans="1:10" x14ac:dyDescent="0.25">
      <c r="C57" s="71">
        <v>6</v>
      </c>
      <c r="D57" s="108">
        <v>6</v>
      </c>
    </row>
    <row r="58" spans="1:10" x14ac:dyDescent="0.25">
      <c r="C58" s="71">
        <v>7</v>
      </c>
      <c r="D58" s="225" t="s">
        <v>153</v>
      </c>
    </row>
    <row r="59" spans="1:10" x14ac:dyDescent="0.25">
      <c r="C59" s="71">
        <v>8</v>
      </c>
      <c r="D59" s="225" t="s">
        <v>153</v>
      </c>
    </row>
  </sheetData>
  <protectedRanges>
    <protectedRange password="D554" sqref="I42:I44 I47:I5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zoomScale="85" zoomScaleNormal="85" workbookViewId="0">
      <selection activeCell="A29" sqref="A29:K58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16384" width="11.42578125" style="162"/>
  </cols>
  <sheetData>
    <row r="1" spans="1:10" ht="15" customHeight="1" x14ac:dyDescent="0.25">
      <c r="A1" s="161"/>
      <c r="B1" s="518">
        <v>45890</v>
      </c>
      <c r="C1" s="518"/>
      <c r="D1" s="518"/>
      <c r="E1" s="61" t="s">
        <v>155</v>
      </c>
      <c r="F1" s="61"/>
    </row>
    <row r="2" spans="1:10" x14ac:dyDescent="0.25">
      <c r="E2" s="62">
        <v>229593</v>
      </c>
      <c r="F2" s="62"/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7406.2258064516127</v>
      </c>
      <c r="F3" s="108"/>
      <c r="H3" s="69" t="s">
        <v>58</v>
      </c>
      <c r="I3" s="69" t="s">
        <v>59</v>
      </c>
      <c r="J3" s="69" t="s">
        <v>80</v>
      </c>
    </row>
    <row r="4" spans="1:10" ht="19.5" customHeight="1" thickBot="1" x14ac:dyDescent="0.4">
      <c r="A4" s="164"/>
      <c r="B4" s="254"/>
      <c r="C4" s="254"/>
      <c r="D4" s="165">
        <f>D27</f>
        <v>9557.384</v>
      </c>
      <c r="F4" s="58" t="s">
        <v>51</v>
      </c>
      <c r="G4" s="59">
        <v>45887</v>
      </c>
      <c r="H4" s="190">
        <v>6186</v>
      </c>
      <c r="I4" s="141">
        <v>6162.0940000000001</v>
      </c>
      <c r="J4" s="60">
        <f t="shared" ref="J4:J11" si="0">+I4/H4</f>
        <v>0.99613546718396384</v>
      </c>
    </row>
    <row r="5" spans="1:10" ht="15" customHeight="1" x14ac:dyDescent="0.25">
      <c r="A5" s="164"/>
      <c r="B5" s="168" t="s">
        <v>6</v>
      </c>
      <c r="C5" s="176">
        <v>3780</v>
      </c>
      <c r="D5" s="172">
        <v>161.19399999999996</v>
      </c>
      <c r="E5" s="80">
        <f>+D5/$D$4</f>
        <v>1.6865912262183872E-2</v>
      </c>
      <c r="F5" s="58" t="s">
        <v>52</v>
      </c>
      <c r="G5" s="59">
        <v>45888</v>
      </c>
      <c r="H5" s="190">
        <v>7809</v>
      </c>
      <c r="I5" s="141">
        <v>8128.5640000000012</v>
      </c>
      <c r="J5" s="60">
        <f t="shared" si="0"/>
        <v>1.0409225252913308</v>
      </c>
    </row>
    <row r="6" spans="1:10" ht="15" customHeight="1" x14ac:dyDescent="0.25">
      <c r="A6" s="164"/>
      <c r="B6" s="169" t="s">
        <v>10</v>
      </c>
      <c r="C6" s="177">
        <v>32514</v>
      </c>
      <c r="D6" s="173">
        <v>1388.1849999999999</v>
      </c>
      <c r="E6" s="80">
        <f t="shared" ref="E6:E26" si="1">+D6/$D$4</f>
        <v>0.14524738150104671</v>
      </c>
      <c r="F6" s="58" t="s">
        <v>53</v>
      </c>
      <c r="G6" s="59">
        <v>45889</v>
      </c>
      <c r="H6" s="190">
        <v>8158</v>
      </c>
      <c r="I6" s="141">
        <v>9057.8700000000008</v>
      </c>
      <c r="J6" s="60">
        <f t="shared" si="0"/>
        <v>1.1103052218681051</v>
      </c>
    </row>
    <row r="7" spans="1:10" ht="15" customHeight="1" x14ac:dyDescent="0.25">
      <c r="A7" s="164"/>
      <c r="B7" s="169" t="s">
        <v>35</v>
      </c>
      <c r="C7" s="177">
        <v>21547</v>
      </c>
      <c r="D7" s="173">
        <v>919.42200000000003</v>
      </c>
      <c r="E7" s="80">
        <f t="shared" si="1"/>
        <v>9.6200173603990385E-2</v>
      </c>
      <c r="F7" s="58" t="s">
        <v>54</v>
      </c>
      <c r="G7" s="59">
        <v>45890</v>
      </c>
      <c r="H7" s="190">
        <v>7874</v>
      </c>
      <c r="I7" s="141">
        <v>9557.384</v>
      </c>
      <c r="J7" s="60">
        <f t="shared" si="0"/>
        <v>1.2137901955803911</v>
      </c>
    </row>
    <row r="8" spans="1:10" ht="15" customHeight="1" x14ac:dyDescent="0.25">
      <c r="A8" s="164"/>
      <c r="B8" s="169" t="s">
        <v>37</v>
      </c>
      <c r="C8" s="177">
        <v>42315</v>
      </c>
      <c r="D8" s="173">
        <v>1804.7339999999997</v>
      </c>
      <c r="E8" s="245">
        <f t="shared" si="1"/>
        <v>0.18883137896311372</v>
      </c>
      <c r="F8" s="58" t="s">
        <v>55</v>
      </c>
      <c r="G8" s="59">
        <v>45891</v>
      </c>
      <c r="H8" s="190">
        <v>7411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38</v>
      </c>
      <c r="C9" s="177">
        <v>55335</v>
      </c>
      <c r="D9" s="173">
        <v>2360.1349999999998</v>
      </c>
      <c r="E9" s="245">
        <f t="shared" si="1"/>
        <v>0.24694361971853385</v>
      </c>
      <c r="F9" s="58" t="s">
        <v>56</v>
      </c>
      <c r="G9" s="59">
        <v>45892</v>
      </c>
      <c r="H9" s="190">
        <v>7169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17530</v>
      </c>
      <c r="D10" s="173">
        <v>748.71399999999994</v>
      </c>
      <c r="E10" s="80">
        <f t="shared" si="1"/>
        <v>7.8338800659259897E-2</v>
      </c>
      <c r="F10" s="58" t="s">
        <v>57</v>
      </c>
      <c r="G10" s="59">
        <v>45893</v>
      </c>
      <c r="H10" s="190">
        <v>5800.0000000000009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/>
      <c r="D11" s="173"/>
      <c r="E11" s="80">
        <f t="shared" si="1"/>
        <v>0</v>
      </c>
      <c r="H11" s="139">
        <f>+SUM(H4:H10)</f>
        <v>50407</v>
      </c>
      <c r="I11" s="142">
        <f>+SUM(I4:I10)</f>
        <v>32905.912000000004</v>
      </c>
      <c r="J11" s="140">
        <f t="shared" si="0"/>
        <v>0.65280441208562312</v>
      </c>
    </row>
    <row r="12" spans="1:10" ht="15" customHeight="1" x14ac:dyDescent="0.25">
      <c r="A12" s="164"/>
      <c r="B12" s="169" t="s">
        <v>172</v>
      </c>
      <c r="C12" s="177">
        <v>1080</v>
      </c>
      <c r="D12" s="173">
        <v>27.292000000000002</v>
      </c>
      <c r="E12" s="80"/>
    </row>
    <row r="13" spans="1:10" ht="15" customHeight="1" x14ac:dyDescent="0.25">
      <c r="A13" s="164"/>
      <c r="B13" s="169" t="s">
        <v>95</v>
      </c>
      <c r="C13" s="177">
        <v>10</v>
      </c>
      <c r="D13" s="173">
        <v>0.25</v>
      </c>
      <c r="E13" s="80">
        <f t="shared" si="1"/>
        <v>2.6157785435847299E-5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/>
      <c r="D14" s="173"/>
      <c r="E14" s="80">
        <f t="shared" si="1"/>
        <v>0</v>
      </c>
      <c r="F14" s="112" t="s">
        <v>108</v>
      </c>
      <c r="G14" s="190">
        <v>204007.80300000001</v>
      </c>
      <c r="H14" s="190">
        <v>190629.128</v>
      </c>
      <c r="I14" s="57">
        <f t="shared" ref="I14:I21" si="2">+H14/G14</f>
        <v>0.93442076820953746</v>
      </c>
    </row>
    <row r="15" spans="1:10" ht="15" customHeight="1" x14ac:dyDescent="0.25">
      <c r="A15" s="164"/>
      <c r="B15" s="169" t="s">
        <v>41</v>
      </c>
      <c r="C15" s="177">
        <v>166</v>
      </c>
      <c r="D15" s="173">
        <v>249.76999999999998</v>
      </c>
      <c r="E15" s="80">
        <f t="shared" si="1"/>
        <v>2.6133720273246317E-2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173</v>
      </c>
      <c r="C16" s="177">
        <v>3</v>
      </c>
      <c r="D16" s="173">
        <v>4.5280000000000005</v>
      </c>
      <c r="E16" s="80">
        <f t="shared" si="1"/>
        <v>4.7376980981406631E-4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43</v>
      </c>
      <c r="C17" s="177">
        <v>120</v>
      </c>
      <c r="D17" s="173">
        <v>180.99</v>
      </c>
      <c r="E17" s="80">
        <f t="shared" si="1"/>
        <v>1.8937190344136011E-2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44</v>
      </c>
      <c r="C18" s="177">
        <v>42</v>
      </c>
      <c r="D18" s="173">
        <v>63.39</v>
      </c>
      <c r="E18" s="80">
        <f t="shared" si="1"/>
        <v>6.6325680751134408E-3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49</v>
      </c>
      <c r="C19" s="177">
        <v>22</v>
      </c>
      <c r="D19" s="173">
        <v>33.1</v>
      </c>
      <c r="E19" s="80">
        <f t="shared" si="1"/>
        <v>3.4632907917061823E-3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84</v>
      </c>
      <c r="C20" s="177">
        <v>145</v>
      </c>
      <c r="D20" s="173">
        <v>218.61</v>
      </c>
      <c r="E20" s="80">
        <f t="shared" si="1"/>
        <v>2.2873413896522313E-2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45</v>
      </c>
      <c r="C21" s="177">
        <v>115</v>
      </c>
      <c r="D21" s="173">
        <v>173.13000000000002</v>
      </c>
      <c r="E21" s="80">
        <f t="shared" si="1"/>
        <v>1.8114789570032975E-2</v>
      </c>
      <c r="F21" s="112" t="s">
        <v>135</v>
      </c>
      <c r="G21" s="190">
        <v>232937.965</v>
      </c>
      <c r="H21" s="190">
        <f>+D28</f>
        <v>160787.88200000001</v>
      </c>
      <c r="I21" s="98">
        <f t="shared" si="2"/>
        <v>0.69026052494276757</v>
      </c>
      <c r="J21" s="108">
        <f>+H21-G21</f>
        <v>-72150.082999999984</v>
      </c>
    </row>
    <row r="22" spans="1:10" ht="15" customHeight="1" x14ac:dyDescent="0.25">
      <c r="A22" s="164"/>
      <c r="B22" s="169" t="s">
        <v>39</v>
      </c>
      <c r="C22" s="177">
        <v>413</v>
      </c>
      <c r="D22" s="173">
        <v>622.21999999999991</v>
      </c>
      <c r="E22" s="80">
        <f t="shared" si="1"/>
        <v>6.5103589015571617E-2</v>
      </c>
      <c r="F22" s="112" t="s">
        <v>160</v>
      </c>
      <c r="G22" s="112"/>
      <c r="H22" s="112"/>
      <c r="J22" s="71"/>
    </row>
    <row r="23" spans="1:10" ht="15" customHeight="1" x14ac:dyDescent="0.25">
      <c r="A23" s="164"/>
      <c r="B23" s="169" t="s">
        <v>88</v>
      </c>
      <c r="C23" s="177">
        <v>20</v>
      </c>
      <c r="D23" s="173">
        <v>29.52</v>
      </c>
      <c r="E23" s="80">
        <f t="shared" si="1"/>
        <v>3.0887113042648491E-3</v>
      </c>
      <c r="F23" s="112" t="s">
        <v>161</v>
      </c>
      <c r="G23" s="112"/>
      <c r="H23" s="112"/>
      <c r="J23" s="71"/>
    </row>
    <row r="24" spans="1:10" ht="15" customHeight="1" x14ac:dyDescent="0.25">
      <c r="A24" s="164"/>
      <c r="B24" s="169" t="s">
        <v>9</v>
      </c>
      <c r="C24" s="177"/>
      <c r="D24" s="173">
        <v>93.93</v>
      </c>
      <c r="E24" s="80">
        <f t="shared" si="1"/>
        <v>9.8280031439565482E-3</v>
      </c>
      <c r="F24" s="179"/>
      <c r="G24" s="68">
        <f>+SUM(G14:G23)</f>
        <v>1653662.5050000001</v>
      </c>
      <c r="H24" s="68">
        <f>+SUM(H14:H23)</f>
        <v>1569914.8239999998</v>
      </c>
      <c r="J24" s="108">
        <f>+H24-G24</f>
        <v>-83747.681000000332</v>
      </c>
    </row>
    <row r="25" spans="1:10" ht="15" customHeight="1" x14ac:dyDescent="0.25">
      <c r="A25" s="164"/>
      <c r="B25" s="169" t="s">
        <v>46</v>
      </c>
      <c r="C25" s="177"/>
      <c r="D25" s="173">
        <v>28.11</v>
      </c>
      <c r="E25" s="80">
        <f t="shared" si="1"/>
        <v>2.9411813944066703E-3</v>
      </c>
      <c r="F25" s="179"/>
      <c r="G25" s="179"/>
    </row>
    <row r="26" spans="1:10" ht="15" customHeight="1" thickBot="1" x14ac:dyDescent="0.3">
      <c r="A26" s="164"/>
      <c r="B26" s="169" t="s">
        <v>40</v>
      </c>
      <c r="C26" s="177"/>
      <c r="D26" s="173">
        <v>450.16</v>
      </c>
      <c r="E26" s="80">
        <f t="shared" si="1"/>
        <v>4.710075476720408E-2</v>
      </c>
      <c r="F26" s="163"/>
      <c r="G26" s="179"/>
    </row>
    <row r="27" spans="1:10" ht="15" customHeight="1" thickBot="1" x14ac:dyDescent="0.3">
      <c r="B27" s="178" t="s">
        <v>0</v>
      </c>
      <c r="C27" s="170"/>
      <c r="D27" s="171">
        <f>SUM(D5:D26)</f>
        <v>9557.384</v>
      </c>
      <c r="E27" s="80">
        <f>+D27/$D$4</f>
        <v>1</v>
      </c>
    </row>
    <row r="28" spans="1:10" ht="15" customHeight="1" x14ac:dyDescent="0.25">
      <c r="B28" s="166" t="s">
        <v>1</v>
      </c>
      <c r="C28" s="167"/>
      <c r="D28" s="258">
        <v>160787.88200000001</v>
      </c>
      <c r="E28" s="98">
        <f>+D28/$E$2</f>
        <v>0.7003170044382887</v>
      </c>
    </row>
    <row r="29" spans="1:10" x14ac:dyDescent="0.25">
      <c r="D29" s="108">
        <f>+(E2/31)*21</f>
        <v>155530.74193548388</v>
      </c>
      <c r="E29" s="98">
        <f>+D29/$E$2</f>
        <v>0.67741935483870974</v>
      </c>
    </row>
    <row r="30" spans="1:10" x14ac:dyDescent="0.25">
      <c r="D30" s="138">
        <f>+D28-D29</f>
        <v>5257.1400645161339</v>
      </c>
      <c r="E30" s="251">
        <f>+E28-E29</f>
        <v>2.2897649599578962E-2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0" x14ac:dyDescent="0.25">
      <c r="B33" s="162" t="s">
        <v>61</v>
      </c>
      <c r="C33" s="162">
        <v>783</v>
      </c>
      <c r="D33" s="108">
        <v>2142</v>
      </c>
      <c r="E33" s="57">
        <f>+C33/D33</f>
        <v>0.36554621848739494</v>
      </c>
      <c r="G33" s="86" t="s">
        <v>86</v>
      </c>
      <c r="H33" s="87">
        <v>5928</v>
      </c>
      <c r="I33" s="88">
        <v>148.20000000000002</v>
      </c>
      <c r="J33" s="228"/>
    </row>
    <row r="34" spans="1:10" x14ac:dyDescent="0.25">
      <c r="B34" s="162" t="s">
        <v>62</v>
      </c>
      <c r="C34" s="162">
        <v>1225</v>
      </c>
      <c r="D34" s="108">
        <v>1890</v>
      </c>
      <c r="E34" s="57">
        <f>+C34/D34</f>
        <v>0.64814814814814814</v>
      </c>
      <c r="G34" s="86" t="s">
        <v>171</v>
      </c>
      <c r="H34" s="87">
        <v>14</v>
      </c>
      <c r="I34" s="88">
        <v>0.35000000000000003</v>
      </c>
      <c r="J34" s="228"/>
    </row>
    <row r="35" spans="1:10" x14ac:dyDescent="0.25">
      <c r="B35" s="162" t="s">
        <v>63</v>
      </c>
      <c r="C35" s="67">
        <v>1912</v>
      </c>
      <c r="D35" s="108">
        <v>3006</v>
      </c>
      <c r="E35" s="57">
        <f>+C35/D35</f>
        <v>0.63606121091151036</v>
      </c>
      <c r="G35" s="89" t="s">
        <v>169</v>
      </c>
      <c r="H35" s="87">
        <v>133</v>
      </c>
      <c r="I35" s="88">
        <v>199.5</v>
      </c>
      <c r="J35" s="228"/>
    </row>
    <row r="36" spans="1:10" x14ac:dyDescent="0.25">
      <c r="C36" s="162">
        <f>+SUM(C33:C35)</f>
        <v>3920</v>
      </c>
      <c r="D36" s="110">
        <f>+SUM(D33:D35)</f>
        <v>7038</v>
      </c>
      <c r="E36" s="57">
        <f>+C36/D36</f>
        <v>0.55697641375390738</v>
      </c>
      <c r="G36" s="89" t="s">
        <v>168</v>
      </c>
      <c r="H36" s="87">
        <v>99</v>
      </c>
      <c r="I36" s="88">
        <f>+H36*1.5</f>
        <v>148.5</v>
      </c>
      <c r="J36" s="230"/>
    </row>
    <row r="37" spans="1:10" x14ac:dyDescent="0.25">
      <c r="G37" s="231" t="s">
        <v>123</v>
      </c>
      <c r="H37" s="138">
        <v>231</v>
      </c>
      <c r="I37" s="232">
        <v>346.5</v>
      </c>
      <c r="J37" s="218" t="s">
        <v>146</v>
      </c>
    </row>
    <row r="38" spans="1:10" x14ac:dyDescent="0.25">
      <c r="B38" s="162" t="s">
        <v>66</v>
      </c>
      <c r="D38" s="162"/>
      <c r="G38" s="89" t="s">
        <v>170</v>
      </c>
      <c r="H38" s="87">
        <v>22</v>
      </c>
      <c r="I38" s="88">
        <v>33</v>
      </c>
      <c r="J38" s="218" t="s">
        <v>146</v>
      </c>
    </row>
    <row r="39" spans="1:10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239</v>
      </c>
      <c r="I39" s="88">
        <f>+H39*1.5</f>
        <v>358.5</v>
      </c>
      <c r="J39" s="224" t="s">
        <v>152</v>
      </c>
    </row>
    <row r="40" spans="1:10" x14ac:dyDescent="0.25">
      <c r="B40" s="73">
        <v>11</v>
      </c>
      <c r="C40" s="74">
        <v>1</v>
      </c>
      <c r="D40" s="74">
        <v>10</v>
      </c>
      <c r="E40" s="75">
        <f>+SUM(B40:D40)</f>
        <v>22</v>
      </c>
      <c r="J40" s="218"/>
    </row>
    <row r="41" spans="1:10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</row>
    <row r="42" spans="1:10" x14ac:dyDescent="0.25">
      <c r="D42" s="162"/>
      <c r="G42" s="71" t="s">
        <v>90</v>
      </c>
      <c r="H42" s="144" t="s">
        <v>120</v>
      </c>
      <c r="I42" s="145">
        <v>0</v>
      </c>
      <c r="J42" s="218"/>
    </row>
    <row r="43" spans="1:10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0" x14ac:dyDescent="0.25">
      <c r="A44" s="207" t="s">
        <v>71</v>
      </c>
      <c r="B44" s="199">
        <v>10.59</v>
      </c>
      <c r="C44" s="199">
        <v>1674</v>
      </c>
      <c r="D44" s="200">
        <v>3600</v>
      </c>
      <c r="E44" s="201">
        <f t="shared" si="3"/>
        <v>0.46500000000000002</v>
      </c>
      <c r="F44" s="201">
        <f t="shared" si="4"/>
        <v>0.44124999999999998</v>
      </c>
      <c r="G44" s="202">
        <v>12</v>
      </c>
      <c r="H44" s="71"/>
    </row>
    <row r="45" spans="1:10" x14ac:dyDescent="0.25">
      <c r="A45" s="207" t="s">
        <v>72</v>
      </c>
      <c r="B45" s="199">
        <v>14.81</v>
      </c>
      <c r="C45" s="199">
        <v>1296</v>
      </c>
      <c r="D45" s="200">
        <v>3900</v>
      </c>
      <c r="E45" s="201">
        <f t="shared" si="3"/>
        <v>0.3323076923076923</v>
      </c>
      <c r="F45" s="201">
        <f t="shared" si="4"/>
        <v>0.61708333333333332</v>
      </c>
      <c r="G45" s="202">
        <v>12</v>
      </c>
      <c r="H45" s="237" t="s">
        <v>167</v>
      </c>
    </row>
    <row r="46" spans="1:10" x14ac:dyDescent="0.25">
      <c r="A46" s="207" t="s">
        <v>73</v>
      </c>
      <c r="B46" s="199">
        <v>14.74</v>
      </c>
      <c r="C46" s="199">
        <v>2671</v>
      </c>
      <c r="D46" s="200">
        <v>3900</v>
      </c>
      <c r="E46" s="201">
        <f t="shared" si="3"/>
        <v>0.68487179487179484</v>
      </c>
      <c r="F46" s="201">
        <f t="shared" si="4"/>
        <v>0.61416666666666664</v>
      </c>
      <c r="G46" s="202">
        <v>12</v>
      </c>
      <c r="H46" s="144">
        <v>45885</v>
      </c>
      <c r="I46" s="220">
        <v>170</v>
      </c>
    </row>
    <row r="47" spans="1:10" x14ac:dyDescent="0.25">
      <c r="A47" s="207" t="s">
        <v>74</v>
      </c>
      <c r="B47" s="199">
        <v>13.76</v>
      </c>
      <c r="C47" s="199">
        <v>2656</v>
      </c>
      <c r="D47" s="200">
        <v>3900</v>
      </c>
      <c r="E47" s="201">
        <f t="shared" si="3"/>
        <v>0.681025641025641</v>
      </c>
      <c r="F47" s="201">
        <f t="shared" si="4"/>
        <v>0.57333333333333336</v>
      </c>
      <c r="G47" s="202">
        <v>12</v>
      </c>
      <c r="H47" s="144">
        <v>45886</v>
      </c>
      <c r="I47" s="220">
        <v>202</v>
      </c>
    </row>
    <row r="48" spans="1:10" x14ac:dyDescent="0.25">
      <c r="A48" s="259" t="s">
        <v>75</v>
      </c>
      <c r="B48" s="260">
        <v>17.21</v>
      </c>
      <c r="C48" s="261">
        <v>3344</v>
      </c>
      <c r="D48" s="262">
        <v>4300</v>
      </c>
      <c r="E48" s="263">
        <f t="shared" si="3"/>
        <v>0.77767441860465114</v>
      </c>
      <c r="F48" s="201">
        <f t="shared" si="4"/>
        <v>0.71708333333333341</v>
      </c>
      <c r="G48" s="202">
        <v>16</v>
      </c>
      <c r="H48" s="144">
        <v>45886</v>
      </c>
      <c r="I48" s="220">
        <v>221</v>
      </c>
    </row>
    <row r="49" spans="2:10" x14ac:dyDescent="0.25">
      <c r="C49" s="71" t="s">
        <v>83</v>
      </c>
      <c r="D49" s="72" t="s">
        <v>79</v>
      </c>
      <c r="H49" s="144">
        <v>45887</v>
      </c>
      <c r="I49" s="253">
        <v>74</v>
      </c>
    </row>
    <row r="50" spans="2:10" x14ac:dyDescent="0.25">
      <c r="B50" s="162" t="s">
        <v>78</v>
      </c>
      <c r="H50" s="71"/>
      <c r="I50" s="110">
        <f>+SUM(I46:I49)</f>
        <v>667</v>
      </c>
      <c r="J50" s="255">
        <f>+I50*1.5</f>
        <v>1000.5</v>
      </c>
    </row>
    <row r="51" spans="2:10" x14ac:dyDescent="0.25">
      <c r="C51" s="71">
        <v>1</v>
      </c>
      <c r="D51" s="225" t="s">
        <v>153</v>
      </c>
      <c r="H51" s="71"/>
    </row>
    <row r="52" spans="2:10" x14ac:dyDescent="0.25">
      <c r="C52" s="71">
        <v>2</v>
      </c>
      <c r="D52" s="225" t="s">
        <v>153</v>
      </c>
      <c r="H52" s="71"/>
    </row>
    <row r="53" spans="2:10" x14ac:dyDescent="0.25">
      <c r="C53" s="71">
        <v>3</v>
      </c>
      <c r="D53" s="225" t="s">
        <v>154</v>
      </c>
      <c r="H53" s="71"/>
    </row>
    <row r="54" spans="2:10" x14ac:dyDescent="0.25">
      <c r="C54" s="71">
        <v>4</v>
      </c>
      <c r="D54" s="108">
        <v>1</v>
      </c>
      <c r="H54" s="71"/>
    </row>
    <row r="55" spans="2:10" x14ac:dyDescent="0.25">
      <c r="C55" s="71">
        <v>5</v>
      </c>
      <c r="D55" s="108">
        <v>8</v>
      </c>
    </row>
    <row r="56" spans="2:10" x14ac:dyDescent="0.25">
      <c r="C56" s="71">
        <v>6</v>
      </c>
      <c r="D56" s="108">
        <v>7</v>
      </c>
    </row>
    <row r="57" spans="2:10" x14ac:dyDescent="0.25">
      <c r="C57" s="71">
        <v>7</v>
      </c>
      <c r="D57" s="225" t="s">
        <v>153</v>
      </c>
    </row>
    <row r="58" spans="2:10" x14ac:dyDescent="0.25">
      <c r="C58" s="71">
        <v>8</v>
      </c>
      <c r="D58" s="225" t="s">
        <v>153</v>
      </c>
    </row>
  </sheetData>
  <protectedRanges>
    <protectedRange password="D554" sqref="I41:I43 I46:I4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E25" sqref="E25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21.85546875" style="162" bestFit="1" customWidth="1"/>
    <col min="6" max="16384" width="11.42578125" style="162"/>
  </cols>
  <sheetData>
    <row r="1" spans="1:10" ht="15" customHeight="1" x14ac:dyDescent="0.25">
      <c r="A1" s="161"/>
      <c r="B1" s="518">
        <v>45893</v>
      </c>
      <c r="C1" s="518"/>
      <c r="D1" s="518"/>
      <c r="E1" s="61" t="s">
        <v>155</v>
      </c>
      <c r="F1" s="61"/>
    </row>
    <row r="2" spans="1:10" x14ac:dyDescent="0.25">
      <c r="E2" s="61"/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229593</v>
      </c>
      <c r="F3" s="62"/>
    </row>
    <row r="4" spans="1:10" ht="19.5" customHeight="1" thickBot="1" x14ac:dyDescent="0.4">
      <c r="A4" s="164"/>
      <c r="B4" s="256"/>
      <c r="C4" s="256"/>
      <c r="D4" s="165">
        <f>D22</f>
        <v>5202.4029999999993</v>
      </c>
      <c r="E4" s="108">
        <f>+E3/31</f>
        <v>7406.2258064516127</v>
      </c>
      <c r="F4" s="108"/>
      <c r="H4" s="69" t="s">
        <v>58</v>
      </c>
      <c r="I4" s="69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760</v>
      </c>
      <c r="D5" s="172">
        <v>32.456000000000003</v>
      </c>
      <c r="E5" s="80">
        <f>+D5/$D$4</f>
        <v>6.2386554828605181E-3</v>
      </c>
      <c r="F5" s="58" t="s">
        <v>51</v>
      </c>
      <c r="G5" s="59">
        <v>45887</v>
      </c>
      <c r="H5" s="190">
        <v>6186</v>
      </c>
      <c r="I5" s="141">
        <v>6162.0940000000001</v>
      </c>
      <c r="J5" s="60">
        <f t="shared" ref="J5:J12" si="0">+I5/H5</f>
        <v>0.99613546718396384</v>
      </c>
    </row>
    <row r="6" spans="1:10" ht="15" customHeight="1" x14ac:dyDescent="0.25">
      <c r="A6" s="164"/>
      <c r="B6" s="169" t="s">
        <v>10</v>
      </c>
      <c r="C6" s="177">
        <v>19969</v>
      </c>
      <c r="D6" s="173">
        <v>852.96900000000016</v>
      </c>
      <c r="E6" s="80">
        <f>+D6/$D$4</f>
        <v>0.16395673307123657</v>
      </c>
      <c r="F6" s="58" t="s">
        <v>52</v>
      </c>
      <c r="G6" s="59">
        <v>45888</v>
      </c>
      <c r="H6" s="190">
        <v>7809</v>
      </c>
      <c r="I6" s="141">
        <v>8128.5640000000012</v>
      </c>
      <c r="J6" s="60">
        <f t="shared" si="0"/>
        <v>1.0409225252913308</v>
      </c>
    </row>
    <row r="7" spans="1:10" ht="15" customHeight="1" x14ac:dyDescent="0.25">
      <c r="A7" s="164"/>
      <c r="B7" s="169" t="s">
        <v>35</v>
      </c>
      <c r="C7" s="177">
        <v>10220</v>
      </c>
      <c r="D7" s="173">
        <v>435.34999999999997</v>
      </c>
      <c r="E7" s="80">
        <f t="shared" ref="E7:E22" si="1">+D7/$D$4</f>
        <v>8.3682482883390627E-2</v>
      </c>
      <c r="F7" s="58" t="s">
        <v>53</v>
      </c>
      <c r="G7" s="59">
        <v>45889</v>
      </c>
      <c r="H7" s="190">
        <v>8158</v>
      </c>
      <c r="I7" s="141">
        <v>9057.8700000000008</v>
      </c>
      <c r="J7" s="60">
        <f t="shared" si="0"/>
        <v>1.1103052218681051</v>
      </c>
    </row>
    <row r="8" spans="1:10" ht="15" customHeight="1" x14ac:dyDescent="0.25">
      <c r="A8" s="164"/>
      <c r="B8" s="169" t="s">
        <v>4</v>
      </c>
      <c r="C8" s="177">
        <v>790</v>
      </c>
      <c r="D8" s="173">
        <v>33.75</v>
      </c>
      <c r="E8" s="80">
        <f t="shared" si="1"/>
        <v>6.4873866941872835E-3</v>
      </c>
      <c r="F8" s="58" t="s">
        <v>54</v>
      </c>
      <c r="G8" s="59">
        <v>45890</v>
      </c>
      <c r="H8" s="190">
        <v>7874</v>
      </c>
      <c r="I8" s="141">
        <v>9557.384</v>
      </c>
      <c r="J8" s="60">
        <f t="shared" si="0"/>
        <v>1.2137901955803911</v>
      </c>
    </row>
    <row r="9" spans="1:10" ht="15" customHeight="1" x14ac:dyDescent="0.25">
      <c r="A9" s="164"/>
      <c r="B9" s="169" t="s">
        <v>37</v>
      </c>
      <c r="C9" s="177">
        <v>21792</v>
      </c>
      <c r="D9" s="173">
        <v>929.36699999999985</v>
      </c>
      <c r="E9" s="245">
        <f t="shared" si="1"/>
        <v>0.17864186992049635</v>
      </c>
      <c r="F9" s="58" t="s">
        <v>55</v>
      </c>
      <c r="G9" s="59">
        <v>45891</v>
      </c>
      <c r="H9" s="190">
        <v>7411</v>
      </c>
      <c r="I9" s="141">
        <v>7261.54</v>
      </c>
      <c r="J9" s="60">
        <f t="shared" si="0"/>
        <v>0.97983268114964239</v>
      </c>
    </row>
    <row r="10" spans="1:10" ht="15" customHeight="1" x14ac:dyDescent="0.25">
      <c r="A10" s="164"/>
      <c r="B10" s="169" t="s">
        <v>38</v>
      </c>
      <c r="C10" s="177">
        <v>29425</v>
      </c>
      <c r="D10" s="173">
        <v>1255.9529999999997</v>
      </c>
      <c r="E10" s="245">
        <f t="shared" si="1"/>
        <v>0.24141786016961775</v>
      </c>
      <c r="F10" s="58" t="s">
        <v>56</v>
      </c>
      <c r="G10" s="59">
        <v>45892</v>
      </c>
      <c r="H10" s="190">
        <v>7169</v>
      </c>
      <c r="I10" s="141">
        <v>7198.23</v>
      </c>
      <c r="J10" s="60">
        <f t="shared" si="0"/>
        <v>1.0040772771655739</v>
      </c>
    </row>
    <row r="11" spans="1:10" ht="15" customHeight="1" x14ac:dyDescent="0.25">
      <c r="A11" s="164"/>
      <c r="B11" s="169" t="s">
        <v>42</v>
      </c>
      <c r="C11" s="177">
        <v>3923</v>
      </c>
      <c r="D11" s="173">
        <v>167.51599999999999</v>
      </c>
      <c r="E11" s="80">
        <f t="shared" si="1"/>
        <v>3.2199735391510428E-2</v>
      </c>
      <c r="F11" s="58" t="s">
        <v>57</v>
      </c>
      <c r="G11" s="59">
        <v>45893</v>
      </c>
      <c r="H11" s="190">
        <v>5800.0000000000009</v>
      </c>
      <c r="I11" s="141">
        <v>5202.3999999999996</v>
      </c>
      <c r="J11" s="60">
        <f t="shared" si="0"/>
        <v>0.89696551724137907</v>
      </c>
    </row>
    <row r="12" spans="1:10" ht="15" customHeight="1" x14ac:dyDescent="0.25">
      <c r="A12" s="164"/>
      <c r="B12" s="169" t="s">
        <v>44</v>
      </c>
      <c r="C12" s="177">
        <v>41</v>
      </c>
      <c r="D12" s="173">
        <v>62.01</v>
      </c>
      <c r="E12" s="80">
        <f t="shared" si="1"/>
        <v>1.1919491819453435E-2</v>
      </c>
      <c r="H12" s="139">
        <f>+SUM(H5:H11)</f>
        <v>50407</v>
      </c>
      <c r="I12" s="142">
        <f>+SUM(I5:I11)</f>
        <v>52568.082000000002</v>
      </c>
      <c r="J12" s="140">
        <f t="shared" si="0"/>
        <v>1.0428726565754756</v>
      </c>
    </row>
    <row r="13" spans="1:10" ht="15" customHeight="1" x14ac:dyDescent="0.25">
      <c r="A13" s="164"/>
      <c r="B13" s="169" t="s">
        <v>39</v>
      </c>
      <c r="C13" s="177">
        <v>265</v>
      </c>
      <c r="D13" s="173">
        <v>400.39000000000004</v>
      </c>
      <c r="E13" s="80">
        <f t="shared" si="1"/>
        <v>7.6962511362537678E-2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45</v>
      </c>
      <c r="D14" s="173">
        <v>67.900000000000006</v>
      </c>
      <c r="E14" s="80">
        <f t="shared" si="1"/>
        <v>1.305166093437975E-2</v>
      </c>
      <c r="F14" s="112" t="s">
        <v>108</v>
      </c>
      <c r="G14" s="190">
        <v>204007.80300000001</v>
      </c>
      <c r="H14" s="190">
        <v>190629.128</v>
      </c>
      <c r="I14" s="57">
        <f t="shared" ref="I14:I21" si="2">+H14/G14</f>
        <v>0.93442076820953746</v>
      </c>
    </row>
    <row r="15" spans="1:10" ht="15" customHeight="1" x14ac:dyDescent="0.25">
      <c r="A15" s="164"/>
      <c r="B15" s="169" t="s">
        <v>45</v>
      </c>
      <c r="C15" s="177">
        <v>24</v>
      </c>
      <c r="D15" s="173">
        <v>36.11</v>
      </c>
      <c r="E15" s="80">
        <f t="shared" si="1"/>
        <v>6.9410232156178605E-3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41</v>
      </c>
      <c r="C16" s="177">
        <v>106</v>
      </c>
      <c r="D16" s="173">
        <v>159.16000000000003</v>
      </c>
      <c r="E16" s="80">
        <f t="shared" si="1"/>
        <v>3.0593554555462168E-2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85</v>
      </c>
      <c r="C17" s="177">
        <v>54</v>
      </c>
      <c r="D17" s="173">
        <v>81.656999999999996</v>
      </c>
      <c r="E17" s="80">
        <f t="shared" si="1"/>
        <v>1.569601586036299E-2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118</v>
      </c>
      <c r="C18" s="177">
        <v>10</v>
      </c>
      <c r="D18" s="173">
        <v>15.105</v>
      </c>
      <c r="E18" s="80">
        <f t="shared" si="1"/>
        <v>2.9034659560207084E-3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40</v>
      </c>
      <c r="C19" s="177"/>
      <c r="D19" s="173">
        <v>516.68000000000006</v>
      </c>
      <c r="E19" s="80">
        <f t="shared" si="1"/>
        <v>9.93156431748944E-2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9</v>
      </c>
      <c r="C20" s="177"/>
      <c r="D20" s="173">
        <v>93.64</v>
      </c>
      <c r="E20" s="80">
        <f t="shared" si="1"/>
        <v>1.799937451981325E-2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thickBot="1" x14ac:dyDescent="0.3">
      <c r="A21" s="164"/>
      <c r="B21" s="169" t="s">
        <v>46</v>
      </c>
      <c r="C21" s="177"/>
      <c r="D21" s="173">
        <v>62.39</v>
      </c>
      <c r="E21" s="80">
        <f t="shared" si="1"/>
        <v>1.1992534988158358E-2</v>
      </c>
      <c r="F21" s="112" t="s">
        <v>135</v>
      </c>
      <c r="G21" s="190">
        <v>232937.965</v>
      </c>
      <c r="H21" s="190">
        <f>+D29</f>
        <v>1890</v>
      </c>
      <c r="I21" s="98">
        <f t="shared" si="2"/>
        <v>8.1137482247687701E-3</v>
      </c>
      <c r="J21" s="108">
        <f>+H21-G21</f>
        <v>-231047.965</v>
      </c>
    </row>
    <row r="22" spans="1:10" ht="15" customHeight="1" thickBot="1" x14ac:dyDescent="0.3">
      <c r="B22" s="178" t="s">
        <v>0</v>
      </c>
      <c r="C22" s="170"/>
      <c r="D22" s="171">
        <f>SUM(D5:D21)</f>
        <v>5202.4029999999993</v>
      </c>
      <c r="E22" s="80">
        <f t="shared" si="1"/>
        <v>1</v>
      </c>
      <c r="G22" s="68">
        <f ca="1">+SUM(G22:G24)</f>
        <v>0</v>
      </c>
      <c r="H22" s="68">
        <f ca="1">+SUM(H22:H24)</f>
        <v>0</v>
      </c>
      <c r="J22" s="108">
        <f ca="1">+H22-G22</f>
        <v>0</v>
      </c>
    </row>
    <row r="23" spans="1:10" ht="15" customHeight="1" x14ac:dyDescent="0.25">
      <c r="B23" s="166" t="s">
        <v>1</v>
      </c>
      <c r="C23" s="167"/>
      <c r="D23" s="233">
        <v>180483.3159999999</v>
      </c>
      <c r="E23" s="80">
        <f>+D23/$E$3</f>
        <v>0.78610112677651278</v>
      </c>
      <c r="J23" s="71"/>
    </row>
    <row r="24" spans="1:10" x14ac:dyDescent="0.25">
      <c r="D24" s="108">
        <f>+(E3/31)*24</f>
        <v>177749.4193548387</v>
      </c>
      <c r="E24" s="98">
        <f>+D24/$E$3</f>
        <v>0.77419354838709675</v>
      </c>
    </row>
    <row r="25" spans="1:10" ht="15" customHeight="1" x14ac:dyDescent="0.25">
      <c r="D25" s="138">
        <f>+D23-D24</f>
        <v>2733.8966451612068</v>
      </c>
      <c r="E25" s="251">
        <f>+E23-E24</f>
        <v>1.1907578389416029E-2</v>
      </c>
    </row>
    <row r="27" spans="1:10" x14ac:dyDescent="0.25">
      <c r="B27" s="66" t="s">
        <v>60</v>
      </c>
      <c r="D27" s="109" t="s">
        <v>105</v>
      </c>
      <c r="E27" s="109" t="s">
        <v>80</v>
      </c>
      <c r="G27" s="163"/>
      <c r="H27" s="237" t="s">
        <v>157</v>
      </c>
      <c r="I27" s="237" t="s">
        <v>92</v>
      </c>
      <c r="J27" s="71"/>
    </row>
    <row r="28" spans="1:10" x14ac:dyDescent="0.25">
      <c r="B28" s="162" t="s">
        <v>61</v>
      </c>
      <c r="C28" s="162">
        <v>1775</v>
      </c>
      <c r="D28" s="108">
        <v>2142</v>
      </c>
      <c r="E28" s="57">
        <f>+C28/D28</f>
        <v>0.8286647992530346</v>
      </c>
      <c r="G28" s="86" t="s">
        <v>86</v>
      </c>
      <c r="H28" s="87">
        <v>4728</v>
      </c>
      <c r="I28" s="88">
        <v>118.2</v>
      </c>
      <c r="J28" s="228"/>
    </row>
    <row r="29" spans="1:10" x14ac:dyDescent="0.25">
      <c r="B29" s="162" t="s">
        <v>62</v>
      </c>
      <c r="C29" s="162">
        <v>1456</v>
      </c>
      <c r="D29" s="108">
        <v>1890</v>
      </c>
      <c r="E29" s="57">
        <f>+C29/D29</f>
        <v>0.77037037037037037</v>
      </c>
      <c r="G29" s="86" t="s">
        <v>171</v>
      </c>
      <c r="H29" s="87">
        <v>14</v>
      </c>
      <c r="I29" s="88">
        <v>0.35000000000000003</v>
      </c>
      <c r="J29" s="228"/>
    </row>
    <row r="30" spans="1:10" x14ac:dyDescent="0.25">
      <c r="B30" s="162" t="s">
        <v>63</v>
      </c>
      <c r="C30" s="67">
        <v>2086</v>
      </c>
      <c r="D30" s="108">
        <v>3006</v>
      </c>
      <c r="E30" s="57">
        <f>+C30/D30</f>
        <v>0.69394544244843648</v>
      </c>
      <c r="G30" s="89" t="s">
        <v>169</v>
      </c>
      <c r="H30" s="87">
        <v>98</v>
      </c>
      <c r="I30" s="88">
        <v>147</v>
      </c>
      <c r="J30" s="228"/>
    </row>
    <row r="31" spans="1:10" x14ac:dyDescent="0.25">
      <c r="C31" s="162">
        <f>+SUM(C28:C30)</f>
        <v>5317</v>
      </c>
      <c r="D31" s="110">
        <f>+SUM(D28:D30)</f>
        <v>7038</v>
      </c>
      <c r="E31" s="57">
        <f>+C31/D31</f>
        <v>0.75547030406365445</v>
      </c>
      <c r="G31" s="89" t="s">
        <v>168</v>
      </c>
      <c r="H31" s="87">
        <v>36</v>
      </c>
      <c r="I31" s="88">
        <v>54</v>
      </c>
      <c r="J31" s="230"/>
    </row>
    <row r="32" spans="1:10" x14ac:dyDescent="0.25">
      <c r="G32" s="231" t="s">
        <v>123</v>
      </c>
      <c r="H32" s="138">
        <v>231</v>
      </c>
      <c r="I32" s="232">
        <v>346.5</v>
      </c>
      <c r="J32" s="218" t="s">
        <v>146</v>
      </c>
    </row>
    <row r="33" spans="1:10" ht="15" customHeight="1" x14ac:dyDescent="0.25">
      <c r="B33" s="162" t="s">
        <v>66</v>
      </c>
      <c r="D33" s="162"/>
      <c r="G33" s="89" t="s">
        <v>170</v>
      </c>
      <c r="H33" s="87">
        <v>22</v>
      </c>
      <c r="I33" s="88">
        <v>33</v>
      </c>
      <c r="J33" s="218" t="s">
        <v>146</v>
      </c>
    </row>
    <row r="34" spans="1:10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239</v>
      </c>
      <c r="I34" s="88">
        <f>+H34*1.5</f>
        <v>358.5</v>
      </c>
      <c r="J34" s="224" t="s">
        <v>152</v>
      </c>
    </row>
    <row r="35" spans="1:10" x14ac:dyDescent="0.25">
      <c r="B35" s="73">
        <v>11</v>
      </c>
      <c r="C35" s="74">
        <v>1</v>
      </c>
      <c r="D35" s="74">
        <v>10</v>
      </c>
      <c r="E35" s="75">
        <f>+SUM(B35:D35)</f>
        <v>22</v>
      </c>
      <c r="J35" s="218"/>
    </row>
    <row r="36" spans="1:10" x14ac:dyDescent="0.25">
      <c r="E36" s="198" t="s">
        <v>76</v>
      </c>
      <c r="F36" s="198" t="s">
        <v>137</v>
      </c>
      <c r="H36" s="144" t="s">
        <v>124</v>
      </c>
      <c r="I36" s="220" t="s">
        <v>148</v>
      </c>
      <c r="J36" s="218" t="s">
        <v>146</v>
      </c>
    </row>
    <row r="37" spans="1:10" x14ac:dyDescent="0.25">
      <c r="D37" s="162"/>
      <c r="G37" s="71" t="s">
        <v>90</v>
      </c>
      <c r="H37" s="144" t="s">
        <v>120</v>
      </c>
      <c r="I37" s="145">
        <v>0</v>
      </c>
      <c r="J37" s="218"/>
    </row>
    <row r="38" spans="1:10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220" t="s">
        <v>149</v>
      </c>
      <c r="J38" s="218" t="s">
        <v>146</v>
      </c>
    </row>
    <row r="39" spans="1:10" x14ac:dyDescent="0.25">
      <c r="A39" s="207" t="s">
        <v>71</v>
      </c>
      <c r="B39" s="199">
        <v>6.42</v>
      </c>
      <c r="C39" s="199">
        <v>1366</v>
      </c>
      <c r="D39" s="200">
        <v>3600</v>
      </c>
      <c r="E39" s="201">
        <f t="shared" si="3"/>
        <v>0.37944444444444442</v>
      </c>
      <c r="F39" s="201">
        <f t="shared" si="4"/>
        <v>0.26750000000000002</v>
      </c>
      <c r="G39" s="202">
        <v>12</v>
      </c>
      <c r="H39" s="71"/>
    </row>
    <row r="40" spans="1:10" x14ac:dyDescent="0.25">
      <c r="A40" s="207" t="s">
        <v>72</v>
      </c>
      <c r="B40" s="199">
        <v>5.96</v>
      </c>
      <c r="C40" s="199">
        <v>1408</v>
      </c>
      <c r="D40" s="200">
        <v>3900</v>
      </c>
      <c r="E40" s="201">
        <f t="shared" si="3"/>
        <v>0.36102564102564105</v>
      </c>
      <c r="F40" s="201">
        <f t="shared" si="4"/>
        <v>0.24833333333333332</v>
      </c>
      <c r="G40" s="202">
        <v>12</v>
      </c>
      <c r="H40" s="237" t="s">
        <v>167</v>
      </c>
    </row>
    <row r="41" spans="1:10" x14ac:dyDescent="0.25">
      <c r="A41" s="207" t="s">
        <v>73</v>
      </c>
      <c r="B41" s="199">
        <v>10.76</v>
      </c>
      <c r="C41" s="199">
        <v>3012</v>
      </c>
      <c r="D41" s="200">
        <v>3900</v>
      </c>
      <c r="E41" s="201">
        <f t="shared" si="3"/>
        <v>0.77230769230769236</v>
      </c>
      <c r="F41" s="201">
        <f t="shared" si="4"/>
        <v>0.44833333333333331</v>
      </c>
      <c r="G41" s="202">
        <v>12</v>
      </c>
      <c r="H41" s="144">
        <v>45885</v>
      </c>
      <c r="I41" s="220">
        <v>170</v>
      </c>
    </row>
    <row r="42" spans="1:10" x14ac:dyDescent="0.25">
      <c r="A42" s="207" t="s">
        <v>74</v>
      </c>
      <c r="B42" s="199">
        <v>5.19</v>
      </c>
      <c r="C42" s="199">
        <v>2227</v>
      </c>
      <c r="D42" s="200">
        <v>3900</v>
      </c>
      <c r="E42" s="201">
        <f t="shared" si="3"/>
        <v>0.57102564102564102</v>
      </c>
      <c r="F42" s="201">
        <f t="shared" si="4"/>
        <v>0.21625000000000003</v>
      </c>
      <c r="G42" s="202">
        <v>12</v>
      </c>
      <c r="H42" s="144">
        <v>45886</v>
      </c>
      <c r="I42" s="220">
        <v>202</v>
      </c>
    </row>
    <row r="43" spans="1:10" x14ac:dyDescent="0.25">
      <c r="A43" s="259" t="s">
        <v>75</v>
      </c>
      <c r="B43" s="260">
        <v>3.96</v>
      </c>
      <c r="C43" s="261">
        <v>2764</v>
      </c>
      <c r="D43" s="262">
        <v>4300</v>
      </c>
      <c r="E43" s="263">
        <f t="shared" si="3"/>
        <v>0.64279069767441865</v>
      </c>
      <c r="F43" s="201">
        <f t="shared" si="4"/>
        <v>0.16500000000000001</v>
      </c>
      <c r="G43" s="202">
        <v>16</v>
      </c>
      <c r="H43" s="144">
        <v>45886</v>
      </c>
      <c r="I43" s="220">
        <v>221</v>
      </c>
    </row>
    <row r="44" spans="1:10" x14ac:dyDescent="0.25">
      <c r="C44" s="71" t="s">
        <v>83</v>
      </c>
      <c r="D44" s="72" t="s">
        <v>79</v>
      </c>
      <c r="H44" s="144">
        <v>45887</v>
      </c>
      <c r="I44" s="253">
        <v>74</v>
      </c>
    </row>
    <row r="45" spans="1:10" x14ac:dyDescent="0.25">
      <c r="B45" s="162" t="s">
        <v>78</v>
      </c>
      <c r="H45" s="71"/>
      <c r="I45" s="110">
        <f>+SUM(I41:I44)</f>
        <v>667</v>
      </c>
      <c r="J45" s="257">
        <f>+I45*1.5</f>
        <v>1000.5</v>
      </c>
    </row>
    <row r="46" spans="1:10" x14ac:dyDescent="0.25">
      <c r="C46" s="71">
        <v>1</v>
      </c>
      <c r="D46" s="225" t="s">
        <v>153</v>
      </c>
      <c r="H46" s="71"/>
    </row>
    <row r="47" spans="1:10" x14ac:dyDescent="0.25">
      <c r="C47" s="71">
        <v>2</v>
      </c>
      <c r="D47" s="225" t="s">
        <v>153</v>
      </c>
      <c r="H47" s="71"/>
    </row>
    <row r="48" spans="1:10" x14ac:dyDescent="0.25">
      <c r="C48" s="71">
        <v>3</v>
      </c>
      <c r="D48" s="225" t="s">
        <v>154</v>
      </c>
      <c r="H48" s="71"/>
    </row>
    <row r="49" spans="3:8" x14ac:dyDescent="0.25">
      <c r="C49" s="71">
        <v>4</v>
      </c>
      <c r="D49" s="108">
        <v>1</v>
      </c>
      <c r="H49" s="71"/>
    </row>
    <row r="50" spans="3:8" x14ac:dyDescent="0.25">
      <c r="C50" s="71">
        <v>5</v>
      </c>
      <c r="D50" s="108">
        <v>8</v>
      </c>
    </row>
    <row r="51" spans="3:8" x14ac:dyDescent="0.25">
      <c r="C51" s="71">
        <v>6</v>
      </c>
      <c r="D51" s="108">
        <v>7</v>
      </c>
    </row>
    <row r="52" spans="3:8" x14ac:dyDescent="0.25">
      <c r="C52" s="71">
        <v>7</v>
      </c>
      <c r="D52" s="225" t="s">
        <v>153</v>
      </c>
    </row>
    <row r="53" spans="3:8" x14ac:dyDescent="0.25">
      <c r="C53" s="71">
        <v>8</v>
      </c>
      <c r="D53" s="225" t="s">
        <v>153</v>
      </c>
    </row>
  </sheetData>
  <protectedRanges>
    <protectedRange password="D554" sqref="I36:I38 I41:I44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opLeftCell="A15" workbookViewId="0">
      <selection activeCell="A23" sqref="A23:J52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1.85546875" style="162" bestFit="1" customWidth="1"/>
    <col min="6" max="6" width="11.42578125" style="162"/>
    <col min="7" max="7" width="11.85546875" style="162" bestFit="1" customWidth="1"/>
    <col min="8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155</v>
      </c>
      <c r="F1" s="61"/>
    </row>
    <row r="2" spans="1:10" x14ac:dyDescent="0.25">
      <c r="E2" s="61"/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229593</v>
      </c>
      <c r="F3" s="62"/>
    </row>
    <row r="4" spans="1:10" ht="19.5" customHeight="1" thickBot="1" x14ac:dyDescent="0.4">
      <c r="A4" s="164"/>
      <c r="B4" s="264"/>
      <c r="C4" s="264"/>
      <c r="D4" s="165">
        <f>D21</f>
        <v>7122.8849999999993</v>
      </c>
      <c r="E4" s="108">
        <f>+E3/31</f>
        <v>7406.2258064516127</v>
      </c>
      <c r="F4" s="108"/>
      <c r="H4" s="69" t="s">
        <v>58</v>
      </c>
      <c r="I4" s="69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2205</v>
      </c>
      <c r="D5" s="172">
        <v>94.188000000000002</v>
      </c>
      <c r="E5" s="80">
        <f>+D5/$D$4</f>
        <v>1.3223293651378622E-2</v>
      </c>
      <c r="F5" s="58" t="s">
        <v>51</v>
      </c>
      <c r="G5" s="59">
        <v>45894</v>
      </c>
      <c r="H5" s="190">
        <v>6165</v>
      </c>
      <c r="I5" s="141">
        <v>7122.8849999999993</v>
      </c>
      <c r="J5" s="60">
        <f t="shared" ref="J5:J12" si="0">+I5/H5</f>
        <v>1.1553746958637467</v>
      </c>
    </row>
    <row r="6" spans="1:10" ht="15" customHeight="1" x14ac:dyDescent="0.25">
      <c r="A6" s="164"/>
      <c r="B6" s="169" t="s">
        <v>10</v>
      </c>
      <c r="C6" s="177">
        <v>18810</v>
      </c>
      <c r="D6" s="173">
        <v>802.52999999999986</v>
      </c>
      <c r="E6" s="80">
        <f>+D6/$D$4</f>
        <v>0.11266923444643567</v>
      </c>
      <c r="F6" s="58" t="s">
        <v>52</v>
      </c>
      <c r="G6" s="59">
        <v>45895</v>
      </c>
      <c r="H6" s="190">
        <v>8162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14471</v>
      </c>
      <c r="D7" s="173">
        <v>616.56099999999992</v>
      </c>
      <c r="E7" s="80">
        <f t="shared" ref="E7:E21" si="1">+D7/$D$4</f>
        <v>8.6560572015412285E-2</v>
      </c>
      <c r="F7" s="58" t="s">
        <v>53</v>
      </c>
      <c r="G7" s="59">
        <v>45896</v>
      </c>
      <c r="H7" s="190">
        <v>8945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785</v>
      </c>
      <c r="D8" s="173">
        <v>33.43</v>
      </c>
      <c r="E8" s="80">
        <f t="shared" si="1"/>
        <v>4.6933230004415349E-3</v>
      </c>
      <c r="F8" s="58" t="s">
        <v>54</v>
      </c>
      <c r="G8" s="59">
        <v>45897</v>
      </c>
      <c r="H8" s="190">
        <v>9510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29998</v>
      </c>
      <c r="D9" s="173">
        <v>1279.04</v>
      </c>
      <c r="E9" s="245">
        <f t="shared" si="1"/>
        <v>0.17956768921581637</v>
      </c>
      <c r="F9" s="58" t="s">
        <v>55</v>
      </c>
      <c r="G9" s="59">
        <v>45898</v>
      </c>
      <c r="H9" s="190">
        <v>6240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46068</v>
      </c>
      <c r="D10" s="173">
        <v>1963.8869999999999</v>
      </c>
      <c r="E10" s="245">
        <f t="shared" si="1"/>
        <v>0.27571510701071267</v>
      </c>
      <c r="F10" s="58" t="s">
        <v>56</v>
      </c>
      <c r="G10" s="59">
        <v>45899</v>
      </c>
      <c r="H10" s="190">
        <v>6870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9530</v>
      </c>
      <c r="D11" s="173">
        <v>406.92400000000004</v>
      </c>
      <c r="E11" s="80">
        <f t="shared" si="1"/>
        <v>5.7129098672799021E-2</v>
      </c>
      <c r="F11" s="58" t="s">
        <v>57</v>
      </c>
      <c r="G11" s="59">
        <v>45900</v>
      </c>
      <c r="H11" s="190">
        <v>5702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44</v>
      </c>
      <c r="C12" s="177">
        <v>44</v>
      </c>
      <c r="D12" s="173">
        <v>66.47999999999999</v>
      </c>
      <c r="E12" s="80">
        <f t="shared" si="1"/>
        <v>9.3332968312699136E-3</v>
      </c>
      <c r="H12" s="139">
        <f>+SUM(H5:H11)</f>
        <v>51594</v>
      </c>
      <c r="I12" s="142">
        <f>+SUM(I5:I11)</f>
        <v>7122.8849999999993</v>
      </c>
      <c r="J12" s="140">
        <f t="shared" si="0"/>
        <v>0.13805646005349459</v>
      </c>
    </row>
    <row r="13" spans="1:10" ht="15" customHeight="1" x14ac:dyDescent="0.25">
      <c r="A13" s="164"/>
      <c r="B13" s="169" t="s">
        <v>39</v>
      </c>
      <c r="C13" s="177">
        <v>433</v>
      </c>
      <c r="D13" s="173">
        <v>654.00999999999988</v>
      </c>
      <c r="E13" s="80">
        <f t="shared" si="1"/>
        <v>9.1818132680788742E-2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249</v>
      </c>
      <c r="D14" s="173">
        <v>375.84999999999997</v>
      </c>
      <c r="E14" s="80">
        <f t="shared" si="1"/>
        <v>5.2766540523959043E-2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51</v>
      </c>
      <c r="D15" s="173">
        <v>76.649999999999991</v>
      </c>
      <c r="E15" s="80">
        <f t="shared" si="1"/>
        <v>1.0761089081179887E-2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59</v>
      </c>
      <c r="D16" s="173">
        <v>88.625</v>
      </c>
      <c r="E16" s="80">
        <f t="shared" si="1"/>
        <v>1.2442289886752349E-2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41</v>
      </c>
      <c r="C17" s="177">
        <v>84</v>
      </c>
      <c r="D17" s="173">
        <v>126.16</v>
      </c>
      <c r="E17" s="80">
        <f t="shared" si="1"/>
        <v>1.7711924311567574E-2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40</v>
      </c>
      <c r="C18" s="177"/>
      <c r="D18" s="173">
        <v>296.19</v>
      </c>
      <c r="E18" s="80">
        <f t="shared" si="1"/>
        <v>4.1582869862422323E-2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9</v>
      </c>
      <c r="C19" s="177"/>
      <c r="D19" s="173">
        <v>183.85000000000002</v>
      </c>
      <c r="E19" s="80">
        <f t="shared" si="1"/>
        <v>2.5811170614154243E-2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thickBot="1" x14ac:dyDescent="0.3">
      <c r="A20" s="164"/>
      <c r="B20" s="169" t="s">
        <v>46</v>
      </c>
      <c r="C20" s="177"/>
      <c r="D20" s="173">
        <v>58.510000000000005</v>
      </c>
      <c r="E20" s="80">
        <f t="shared" si="1"/>
        <v>8.2143681949097894E-3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B21" s="267" t="s">
        <v>0</v>
      </c>
      <c r="C21" s="268"/>
      <c r="D21" s="269">
        <f>SUM(D5:D20)</f>
        <v>7122.8849999999993</v>
      </c>
      <c r="E21" s="80">
        <f t="shared" si="1"/>
        <v>1</v>
      </c>
      <c r="F21" s="112" t="s">
        <v>135</v>
      </c>
      <c r="G21" s="272">
        <v>232937.965</v>
      </c>
      <c r="H21" s="272">
        <f>+D22</f>
        <v>187638.28299999988</v>
      </c>
      <c r="I21" s="98">
        <f t="shared" si="2"/>
        <v>0.80552898708460807</v>
      </c>
      <c r="J21" s="108">
        <f>+H21-G21</f>
        <v>-45299.682000000117</v>
      </c>
    </row>
    <row r="22" spans="1:10" ht="15" customHeight="1" x14ac:dyDescent="0.25">
      <c r="B22" s="270" t="s">
        <v>1</v>
      </c>
      <c r="C22" s="271"/>
      <c r="D22" s="64">
        <v>187638.28299999988</v>
      </c>
      <c r="E22" s="57">
        <f>+D22/$E$3</f>
        <v>0.81726482514710763</v>
      </c>
      <c r="G22" s="273">
        <f>+SUM(G14:G21)</f>
        <v>1653662.5050000001</v>
      </c>
      <c r="H22" s="273">
        <f>+SUM(H14:H21)</f>
        <v>1596765.2249999996</v>
      </c>
      <c r="I22" s="274">
        <f t="shared" si="2"/>
        <v>0.96559317283425949</v>
      </c>
      <c r="J22" s="275">
        <f>+H22-G22</f>
        <v>-56897.280000000494</v>
      </c>
    </row>
    <row r="23" spans="1:10" x14ac:dyDescent="0.25">
      <c r="D23" s="108">
        <f>+(E3/31)*25</f>
        <v>185155.6451612903</v>
      </c>
      <c r="E23" s="98">
        <f>+D23/$E$3</f>
        <v>0.80645161290322576</v>
      </c>
    </row>
    <row r="24" spans="1:10" ht="15" customHeight="1" x14ac:dyDescent="0.25">
      <c r="D24" s="138">
        <f>+D22-D23</f>
        <v>2482.6378387095756</v>
      </c>
      <c r="E24" s="251">
        <f>+E22-E23</f>
        <v>1.0813212243881876E-2</v>
      </c>
    </row>
    <row r="25" spans="1:10" ht="15" customHeight="1" x14ac:dyDescent="0.25"/>
    <row r="26" spans="1:10" x14ac:dyDescent="0.25">
      <c r="B26" s="66" t="s">
        <v>60</v>
      </c>
      <c r="D26" s="109" t="s">
        <v>105</v>
      </c>
      <c r="E26" s="109" t="s">
        <v>80</v>
      </c>
      <c r="G26" s="163"/>
      <c r="H26" s="237" t="s">
        <v>157</v>
      </c>
      <c r="I26" s="237" t="s">
        <v>92</v>
      </c>
      <c r="J26" s="71"/>
    </row>
    <row r="27" spans="1:10" x14ac:dyDescent="0.25">
      <c r="B27" s="162" t="s">
        <v>61</v>
      </c>
      <c r="C27" s="162">
        <v>1647</v>
      </c>
      <c r="D27" s="108">
        <v>2142</v>
      </c>
      <c r="E27" s="57">
        <f>+C27/D27</f>
        <v>0.76890756302521013</v>
      </c>
      <c r="G27" s="86" t="s">
        <v>86</v>
      </c>
      <c r="H27" s="87">
        <v>4728</v>
      </c>
      <c r="I27" s="88">
        <v>118.2</v>
      </c>
      <c r="J27" s="228"/>
    </row>
    <row r="28" spans="1:10" x14ac:dyDescent="0.25">
      <c r="B28" s="162" t="s">
        <v>62</v>
      </c>
      <c r="C28" s="162">
        <v>1662</v>
      </c>
      <c r="D28" s="108">
        <v>1890</v>
      </c>
      <c r="E28" s="57">
        <f>+C28/D28</f>
        <v>0.87936507936507935</v>
      </c>
      <c r="G28" s="86" t="s">
        <v>171</v>
      </c>
      <c r="H28" s="87">
        <v>14</v>
      </c>
      <c r="I28" s="88">
        <v>0.35000000000000003</v>
      </c>
      <c r="J28" s="228"/>
    </row>
    <row r="29" spans="1:10" x14ac:dyDescent="0.25">
      <c r="B29" s="162" t="s">
        <v>63</v>
      </c>
      <c r="C29" s="67">
        <v>1437</v>
      </c>
      <c r="D29" s="108">
        <v>3006</v>
      </c>
      <c r="E29" s="57">
        <f>+C29/D29</f>
        <v>0.47804391217564868</v>
      </c>
      <c r="G29" s="89" t="s">
        <v>169</v>
      </c>
      <c r="H29" s="87">
        <v>108</v>
      </c>
      <c r="I29" s="88">
        <v>162</v>
      </c>
      <c r="J29" s="228"/>
    </row>
    <row r="30" spans="1:10" x14ac:dyDescent="0.25">
      <c r="C30" s="162">
        <f>+SUM(C27:C29)</f>
        <v>4746</v>
      </c>
      <c r="D30" s="110">
        <f>+SUM(D27:D29)</f>
        <v>7038</v>
      </c>
      <c r="E30" s="57">
        <f>+C30/D30</f>
        <v>0.67433930093776639</v>
      </c>
      <c r="G30" s="89" t="s">
        <v>168</v>
      </c>
      <c r="H30" s="87">
        <v>36</v>
      </c>
      <c r="I30" s="88">
        <v>54</v>
      </c>
      <c r="J30" s="230"/>
    </row>
    <row r="31" spans="1:10" x14ac:dyDescent="0.25">
      <c r="G31" s="231" t="s">
        <v>123</v>
      </c>
      <c r="H31" s="138">
        <v>231</v>
      </c>
      <c r="I31" s="232">
        <v>346.5</v>
      </c>
      <c r="J31" s="218" t="s">
        <v>146</v>
      </c>
    </row>
    <row r="32" spans="1:10" ht="15" customHeight="1" x14ac:dyDescent="0.25">
      <c r="B32" s="162" t="s">
        <v>66</v>
      </c>
      <c r="D32" s="162"/>
      <c r="G32" s="89" t="s">
        <v>170</v>
      </c>
      <c r="H32" s="87">
        <v>22</v>
      </c>
      <c r="I32" s="88">
        <v>33</v>
      </c>
      <c r="J32" s="218" t="s">
        <v>146</v>
      </c>
    </row>
    <row r="33" spans="1:10" x14ac:dyDescent="0.25">
      <c r="B33" s="76" t="s">
        <v>67</v>
      </c>
      <c r="C33" s="77" t="s">
        <v>68</v>
      </c>
      <c r="D33" s="78" t="s">
        <v>69</v>
      </c>
      <c r="E33" s="79" t="s">
        <v>33</v>
      </c>
      <c r="G33" s="89" t="s">
        <v>107</v>
      </c>
      <c r="H33" s="87">
        <v>239</v>
      </c>
      <c r="I33" s="88">
        <f>+H33*1.5</f>
        <v>358.5</v>
      </c>
      <c r="J33" s="224" t="s">
        <v>152</v>
      </c>
    </row>
    <row r="34" spans="1:10" x14ac:dyDescent="0.25">
      <c r="B34" s="73">
        <v>11</v>
      </c>
      <c r="C34" s="74">
        <v>1</v>
      </c>
      <c r="D34" s="74">
        <v>10</v>
      </c>
      <c r="E34" s="75">
        <f>+SUM(B34:D34)</f>
        <v>22</v>
      </c>
      <c r="J34" s="218"/>
    </row>
    <row r="35" spans="1:10" x14ac:dyDescent="0.25">
      <c r="E35" s="198" t="s">
        <v>76</v>
      </c>
      <c r="F35" s="198" t="s">
        <v>137</v>
      </c>
      <c r="H35" s="144" t="s">
        <v>124</v>
      </c>
      <c r="I35" s="220" t="s">
        <v>148</v>
      </c>
      <c r="J35" s="218" t="s">
        <v>146</v>
      </c>
    </row>
    <row r="36" spans="1:10" x14ac:dyDescent="0.25">
      <c r="D36" s="162"/>
      <c r="G36" s="71" t="s">
        <v>90</v>
      </c>
      <c r="H36" s="144" t="s">
        <v>120</v>
      </c>
      <c r="I36" s="145">
        <v>0</v>
      </c>
      <c r="J36" s="218"/>
    </row>
    <row r="37" spans="1:10" x14ac:dyDescent="0.25">
      <c r="A37" s="207" t="s">
        <v>70</v>
      </c>
      <c r="B37" s="199">
        <v>0</v>
      </c>
      <c r="C37" s="199">
        <v>0</v>
      </c>
      <c r="D37" s="200">
        <v>2400</v>
      </c>
      <c r="E37" s="201">
        <f t="shared" ref="E37:E42" si="3">+C37/D37</f>
        <v>0</v>
      </c>
      <c r="F37" s="201">
        <f t="shared" ref="F37:F42" si="4">+B37/24</f>
        <v>0</v>
      </c>
      <c r="G37" s="202">
        <v>7</v>
      </c>
      <c r="H37" s="144" t="s">
        <v>121</v>
      </c>
      <c r="I37" s="220" t="s">
        <v>149</v>
      </c>
      <c r="J37" s="218" t="s">
        <v>146</v>
      </c>
    </row>
    <row r="38" spans="1:10" x14ac:dyDescent="0.25">
      <c r="A38" s="207" t="s">
        <v>71</v>
      </c>
      <c r="B38" s="199">
        <v>8.5500000000000007</v>
      </c>
      <c r="C38" s="199">
        <v>1625</v>
      </c>
      <c r="D38" s="200">
        <v>3600</v>
      </c>
      <c r="E38" s="201">
        <f t="shared" si="3"/>
        <v>0.4513888888888889</v>
      </c>
      <c r="F38" s="201">
        <f t="shared" si="4"/>
        <v>0.35625000000000001</v>
      </c>
      <c r="G38" s="202">
        <v>12</v>
      </c>
      <c r="H38" s="71"/>
    </row>
    <row r="39" spans="1:10" x14ac:dyDescent="0.25">
      <c r="A39" s="207" t="s">
        <v>72</v>
      </c>
      <c r="B39" s="199">
        <v>8.7200000000000006</v>
      </c>
      <c r="C39" s="199">
        <v>1732</v>
      </c>
      <c r="D39" s="200">
        <v>3900</v>
      </c>
      <c r="E39" s="201">
        <f t="shared" si="3"/>
        <v>0.4441025641025641</v>
      </c>
      <c r="F39" s="201">
        <f t="shared" si="4"/>
        <v>0.36333333333333334</v>
      </c>
      <c r="G39" s="202">
        <v>12</v>
      </c>
      <c r="H39" s="237" t="s">
        <v>167</v>
      </c>
    </row>
    <row r="40" spans="1:10" x14ac:dyDescent="0.25">
      <c r="A40" s="207" t="s">
        <v>73</v>
      </c>
      <c r="B40" s="199">
        <v>12.01</v>
      </c>
      <c r="C40" s="199">
        <v>2922</v>
      </c>
      <c r="D40" s="200">
        <v>3900</v>
      </c>
      <c r="E40" s="201">
        <f t="shared" si="3"/>
        <v>0.74923076923076926</v>
      </c>
      <c r="F40" s="201">
        <f t="shared" si="4"/>
        <v>0.50041666666666662</v>
      </c>
      <c r="G40" s="202">
        <v>12</v>
      </c>
      <c r="H40" s="144">
        <v>45885</v>
      </c>
      <c r="I40" s="220">
        <v>170</v>
      </c>
    </row>
    <row r="41" spans="1:10" x14ac:dyDescent="0.25">
      <c r="A41" s="207" t="s">
        <v>74</v>
      </c>
      <c r="B41" s="199">
        <v>5.0599999999999996</v>
      </c>
      <c r="C41" s="199">
        <v>1160</v>
      </c>
      <c r="D41" s="200">
        <v>3900</v>
      </c>
      <c r="E41" s="201">
        <f t="shared" si="3"/>
        <v>0.29743589743589743</v>
      </c>
      <c r="F41" s="201">
        <f t="shared" si="4"/>
        <v>0.21083333333333332</v>
      </c>
      <c r="G41" s="202">
        <v>12</v>
      </c>
      <c r="H41" s="144">
        <v>45886</v>
      </c>
      <c r="I41" s="220">
        <v>202</v>
      </c>
    </row>
    <row r="42" spans="1:10" x14ac:dyDescent="0.25">
      <c r="A42" s="259" t="s">
        <v>75</v>
      </c>
      <c r="B42" s="260">
        <v>14.4</v>
      </c>
      <c r="C42" s="261">
        <v>3225</v>
      </c>
      <c r="D42" s="262">
        <v>4300</v>
      </c>
      <c r="E42" s="263">
        <f t="shared" si="3"/>
        <v>0.75</v>
      </c>
      <c r="F42" s="201">
        <f t="shared" si="4"/>
        <v>0.6</v>
      </c>
      <c r="G42" s="202">
        <v>16</v>
      </c>
      <c r="H42" s="144">
        <v>45886</v>
      </c>
      <c r="I42" s="220">
        <v>221</v>
      </c>
    </row>
    <row r="43" spans="1:10" x14ac:dyDescent="0.25">
      <c r="C43" s="71" t="s">
        <v>83</v>
      </c>
      <c r="D43" s="72" t="s">
        <v>79</v>
      </c>
      <c r="H43" s="144">
        <v>45887</v>
      </c>
      <c r="I43" s="253">
        <v>74</v>
      </c>
    </row>
    <row r="44" spans="1:10" x14ac:dyDescent="0.25">
      <c r="B44" s="162" t="s">
        <v>78</v>
      </c>
      <c r="H44" s="71"/>
      <c r="I44" s="110">
        <f>+SUM(I40:I43)</f>
        <v>667</v>
      </c>
      <c r="J44" s="265">
        <f>+I44*1.5</f>
        <v>1000.5</v>
      </c>
    </row>
    <row r="45" spans="1:10" x14ac:dyDescent="0.25">
      <c r="C45" s="71">
        <v>1</v>
      </c>
      <c r="D45" s="225" t="s">
        <v>153</v>
      </c>
      <c r="H45" s="71"/>
    </row>
    <row r="46" spans="1:10" x14ac:dyDescent="0.25">
      <c r="C46" s="71">
        <v>2</v>
      </c>
      <c r="D46" s="225" t="s">
        <v>153</v>
      </c>
      <c r="H46" s="71"/>
    </row>
    <row r="47" spans="1:10" x14ac:dyDescent="0.25">
      <c r="C47" s="71">
        <v>3</v>
      </c>
      <c r="D47" s="225" t="s">
        <v>154</v>
      </c>
      <c r="H47" s="71"/>
    </row>
    <row r="48" spans="1:10" x14ac:dyDescent="0.25">
      <c r="C48" s="71">
        <v>4</v>
      </c>
      <c r="D48" s="108">
        <v>0</v>
      </c>
      <c r="H48" s="71"/>
    </row>
    <row r="49" spans="3:4" x14ac:dyDescent="0.25">
      <c r="C49" s="71">
        <v>5</v>
      </c>
      <c r="D49" s="108">
        <v>2</v>
      </c>
    </row>
    <row r="50" spans="3:4" x14ac:dyDescent="0.25">
      <c r="C50" s="71">
        <v>6</v>
      </c>
      <c r="D50" s="108">
        <v>3</v>
      </c>
    </row>
    <row r="51" spans="3:4" x14ac:dyDescent="0.25">
      <c r="C51" s="71">
        <v>7</v>
      </c>
      <c r="D51" s="225" t="s">
        <v>153</v>
      </c>
    </row>
    <row r="52" spans="3:4" x14ac:dyDescent="0.25">
      <c r="C52" s="71">
        <v>8</v>
      </c>
      <c r="D52" s="225" t="s">
        <v>153</v>
      </c>
    </row>
  </sheetData>
  <protectedRanges>
    <protectedRange password="D554" sqref="I35:I37 I40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activeCell="B2" sqref="B2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1.85546875" style="162" bestFit="1" customWidth="1"/>
    <col min="6" max="6" width="11.42578125" style="162"/>
    <col min="7" max="7" width="11.85546875" style="162" bestFit="1" customWidth="1"/>
    <col min="8" max="16384" width="11.42578125" style="162"/>
  </cols>
  <sheetData>
    <row r="1" spans="1:10" ht="15" customHeight="1" x14ac:dyDescent="0.25">
      <c r="A1" s="161"/>
      <c r="B1" s="518">
        <v>45895</v>
      </c>
      <c r="C1" s="518"/>
      <c r="D1" s="518"/>
      <c r="E1" s="61" t="s">
        <v>155</v>
      </c>
      <c r="F1" s="61"/>
    </row>
    <row r="2" spans="1:10" x14ac:dyDescent="0.25">
      <c r="E2" s="61"/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229593</v>
      </c>
      <c r="F3" s="62"/>
    </row>
    <row r="4" spans="1:10" ht="19.5" customHeight="1" thickBot="1" x14ac:dyDescent="0.4">
      <c r="A4" s="164"/>
      <c r="B4" s="266"/>
      <c r="C4" s="266"/>
      <c r="D4" s="165">
        <f>D22</f>
        <v>9298.0240000000013</v>
      </c>
      <c r="E4" s="108">
        <f>+E3/31</f>
        <v>7406.2258064516127</v>
      </c>
      <c r="F4" s="57"/>
      <c r="H4" s="69" t="s">
        <v>58</v>
      </c>
      <c r="I4" s="69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2970</v>
      </c>
      <c r="D5" s="172">
        <v>126.786</v>
      </c>
      <c r="E5" s="80">
        <f>+D5/$D$4</f>
        <v>1.363580046685188E-2</v>
      </c>
      <c r="F5" s="58" t="s">
        <v>51</v>
      </c>
      <c r="G5" s="59">
        <v>45894</v>
      </c>
      <c r="H5" s="190">
        <v>6165</v>
      </c>
      <c r="I5" s="141">
        <v>7122.8849999999993</v>
      </c>
      <c r="J5" s="60">
        <f t="shared" ref="J5:J12" si="0">+I5/H5</f>
        <v>1.1553746958637467</v>
      </c>
    </row>
    <row r="6" spans="1:10" ht="15" customHeight="1" x14ac:dyDescent="0.25">
      <c r="A6" s="164"/>
      <c r="B6" s="169" t="s">
        <v>10</v>
      </c>
      <c r="C6" s="177">
        <v>25712</v>
      </c>
      <c r="D6" s="173">
        <v>1097.7789999999998</v>
      </c>
      <c r="E6" s="80">
        <f>+D6/$D$4</f>
        <v>0.11806583850504146</v>
      </c>
      <c r="F6" s="58" t="s">
        <v>52</v>
      </c>
      <c r="G6" s="59">
        <v>45895</v>
      </c>
      <c r="H6" s="190">
        <v>8162</v>
      </c>
      <c r="I6" s="141">
        <v>9298.0240000000013</v>
      </c>
      <c r="J6" s="60">
        <f t="shared" si="0"/>
        <v>1.1391845135996082</v>
      </c>
    </row>
    <row r="7" spans="1:10" ht="15" customHeight="1" x14ac:dyDescent="0.25">
      <c r="A7" s="164"/>
      <c r="B7" s="169" t="s">
        <v>35</v>
      </c>
      <c r="C7" s="177">
        <v>19283</v>
      </c>
      <c r="D7" s="173">
        <v>822.4799999999999</v>
      </c>
      <c r="E7" s="80">
        <f t="shared" ref="E7:E22" si="1">+D7/$D$4</f>
        <v>8.8457504519239769E-2</v>
      </c>
      <c r="F7" s="58" t="s">
        <v>53</v>
      </c>
      <c r="G7" s="59">
        <v>45896</v>
      </c>
      <c r="H7" s="190">
        <v>8945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3144</v>
      </c>
      <c r="D8" s="173">
        <v>134.24</v>
      </c>
      <c r="E8" s="80">
        <f t="shared" si="1"/>
        <v>1.4437476177734106E-2</v>
      </c>
      <c r="F8" s="58" t="s">
        <v>54</v>
      </c>
      <c r="G8" s="59">
        <v>45897</v>
      </c>
      <c r="H8" s="190">
        <v>9510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40533</v>
      </c>
      <c r="D9" s="173">
        <v>1728.818</v>
      </c>
      <c r="E9" s="245">
        <f t="shared" si="1"/>
        <v>0.18593391456077116</v>
      </c>
      <c r="F9" s="58" t="s">
        <v>55</v>
      </c>
      <c r="G9" s="59">
        <v>45898</v>
      </c>
      <c r="H9" s="190">
        <v>6240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61124</v>
      </c>
      <c r="D10" s="173">
        <v>2606.3519999999994</v>
      </c>
      <c r="E10" s="245">
        <f t="shared" si="1"/>
        <v>0.28031246208871896</v>
      </c>
      <c r="F10" s="58" t="s">
        <v>56</v>
      </c>
      <c r="G10" s="59">
        <v>45899</v>
      </c>
      <c r="H10" s="190">
        <v>6870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14611</v>
      </c>
      <c r="D11" s="173">
        <v>624.35199999999998</v>
      </c>
      <c r="E11" s="80">
        <f t="shared" si="1"/>
        <v>6.714889099017167E-2</v>
      </c>
      <c r="F11" s="58" t="s">
        <v>57</v>
      </c>
      <c r="G11" s="59">
        <v>45900</v>
      </c>
      <c r="H11" s="190">
        <v>5702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44</v>
      </c>
      <c r="C12" s="177">
        <v>151</v>
      </c>
      <c r="D12" s="173">
        <v>227.45100000000002</v>
      </c>
      <c r="E12" s="80">
        <f t="shared" si="1"/>
        <v>2.4462294354155246E-2</v>
      </c>
      <c r="H12" s="139">
        <f>+SUM(H5:H11)</f>
        <v>51594</v>
      </c>
      <c r="I12" s="142">
        <f>+SUM(I5:I11)</f>
        <v>16420.909</v>
      </c>
      <c r="J12" s="140">
        <f t="shared" si="0"/>
        <v>0.31827167887738883</v>
      </c>
    </row>
    <row r="13" spans="1:10" ht="15" customHeight="1" x14ac:dyDescent="0.25">
      <c r="A13" s="164"/>
      <c r="B13" s="169" t="s">
        <v>39</v>
      </c>
      <c r="C13" s="177">
        <v>353</v>
      </c>
      <c r="D13" s="173">
        <v>532.69400000000007</v>
      </c>
      <c r="E13" s="80">
        <f t="shared" si="1"/>
        <v>5.7291097549328762E-2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268</v>
      </c>
      <c r="D14" s="173">
        <v>404.48999999999995</v>
      </c>
      <c r="E14" s="80">
        <f t="shared" si="1"/>
        <v>4.3502791560873569E-2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20</v>
      </c>
      <c r="D15" s="173">
        <v>30.03</v>
      </c>
      <c r="E15" s="80">
        <f t="shared" si="1"/>
        <v>3.2297184864224912E-3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41</v>
      </c>
      <c r="C16" s="177">
        <v>199</v>
      </c>
      <c r="D16" s="173">
        <v>298.80199999999996</v>
      </c>
      <c r="E16" s="80">
        <f t="shared" si="1"/>
        <v>3.2136075363969799E-2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45</v>
      </c>
      <c r="C17" s="177">
        <v>22</v>
      </c>
      <c r="D17" s="173">
        <v>33.020000000000003</v>
      </c>
      <c r="E17" s="80">
        <f t="shared" si="1"/>
        <v>3.5512921885338215E-3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88</v>
      </c>
      <c r="C18" s="177">
        <v>40</v>
      </c>
      <c r="D18" s="173">
        <v>59.97</v>
      </c>
      <c r="E18" s="80">
        <f t="shared" si="1"/>
        <v>6.449757496861698E-3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40</v>
      </c>
      <c r="C19" s="177"/>
      <c r="D19" s="173">
        <v>330.95</v>
      </c>
      <c r="E19" s="80">
        <f t="shared" si="1"/>
        <v>3.5593584185198916E-2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9</v>
      </c>
      <c r="C20" s="177"/>
      <c r="D20" s="173">
        <v>90.38000000000001</v>
      </c>
      <c r="E20" s="80">
        <f t="shared" si="1"/>
        <v>9.7203448818802794E-3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thickBot="1" x14ac:dyDescent="0.3">
      <c r="A21" s="164"/>
      <c r="B21" s="169" t="s">
        <v>46</v>
      </c>
      <c r="C21" s="177"/>
      <c r="D21" s="173">
        <v>149.43</v>
      </c>
      <c r="E21" s="80">
        <f t="shared" si="1"/>
        <v>1.6071156624246182E-2</v>
      </c>
      <c r="F21" s="112" t="s">
        <v>135</v>
      </c>
      <c r="G21" s="272">
        <v>232937.965</v>
      </c>
      <c r="H21" s="272">
        <f>+D23</f>
        <v>196967.45699999994</v>
      </c>
      <c r="I21" s="98">
        <f t="shared" si="2"/>
        <v>0.84557902358252313</v>
      </c>
      <c r="J21" s="108">
        <f>+H21-G21</f>
        <v>-35970.50800000006</v>
      </c>
    </row>
    <row r="22" spans="1:10" ht="15" customHeight="1" thickBot="1" x14ac:dyDescent="0.3">
      <c r="B22" s="178" t="s">
        <v>0</v>
      </c>
      <c r="C22" s="170"/>
      <c r="D22" s="171">
        <f>SUM(D5:D21)</f>
        <v>9298.0240000000013</v>
      </c>
      <c r="E22" s="80">
        <f t="shared" si="1"/>
        <v>1</v>
      </c>
      <c r="G22" s="273">
        <f>+SUM(G14:G21)</f>
        <v>1653662.5050000001</v>
      </c>
      <c r="H22" s="273">
        <f>+SUM(H14:H21)</f>
        <v>1606094.3989999997</v>
      </c>
      <c r="I22" s="274">
        <f t="shared" si="2"/>
        <v>0.97123469519555905</v>
      </c>
      <c r="J22" s="275">
        <f>+H22-G22</f>
        <v>-47568.106000000378</v>
      </c>
    </row>
    <row r="23" spans="1:10" ht="15" customHeight="1" x14ac:dyDescent="0.25">
      <c r="B23" s="166" t="s">
        <v>1</v>
      </c>
      <c r="C23" s="167"/>
      <c r="D23" s="233">
        <v>196967.45699999994</v>
      </c>
      <c r="E23" s="57">
        <f>+D23/$E$3</f>
        <v>0.85789835491500144</v>
      </c>
      <c r="F23" s="163"/>
    </row>
    <row r="24" spans="1:10" ht="15" customHeight="1" x14ac:dyDescent="0.25">
      <c r="D24" s="108">
        <f>+(E3/31)*26</f>
        <v>192561.87096774194</v>
      </c>
      <c r="E24" s="98">
        <f>+D24/$E$3</f>
        <v>0.83870967741935487</v>
      </c>
    </row>
    <row r="25" spans="1:10" ht="15" customHeight="1" x14ac:dyDescent="0.25">
      <c r="D25" s="138">
        <f>+D23-D24</f>
        <v>4405.5860322579974</v>
      </c>
      <c r="E25" s="251">
        <f>+E23-E24</f>
        <v>1.9188677495646567E-2</v>
      </c>
    </row>
    <row r="27" spans="1:10" x14ac:dyDescent="0.25">
      <c r="B27" s="66" t="s">
        <v>60</v>
      </c>
      <c r="D27" s="109" t="s">
        <v>105</v>
      </c>
      <c r="E27" s="109" t="s">
        <v>80</v>
      </c>
      <c r="G27" s="163"/>
      <c r="H27" s="237" t="s">
        <v>157</v>
      </c>
      <c r="I27" s="237" t="s">
        <v>92</v>
      </c>
      <c r="J27" s="71"/>
    </row>
    <row r="28" spans="1:10" x14ac:dyDescent="0.25">
      <c r="B28" s="162" t="s">
        <v>61</v>
      </c>
      <c r="C28" s="162">
        <v>1485</v>
      </c>
      <c r="D28" s="108">
        <v>2142</v>
      </c>
      <c r="E28" s="57">
        <f>+C28/D28</f>
        <v>0.69327731092436973</v>
      </c>
      <c r="G28" s="86" t="s">
        <v>86</v>
      </c>
      <c r="H28" s="87">
        <v>4633</v>
      </c>
      <c r="I28" s="88">
        <v>115.825</v>
      </c>
      <c r="J28" s="228"/>
    </row>
    <row r="29" spans="1:10" ht="15" customHeight="1" x14ac:dyDescent="0.25">
      <c r="B29" s="162" t="s">
        <v>62</v>
      </c>
      <c r="C29" s="162">
        <v>826</v>
      </c>
      <c r="D29" s="108">
        <v>1890</v>
      </c>
      <c r="E29" s="57">
        <f>+C29/D29</f>
        <v>0.43703703703703706</v>
      </c>
      <c r="G29" s="86" t="s">
        <v>171</v>
      </c>
      <c r="H29" s="87">
        <v>14</v>
      </c>
      <c r="I29" s="88">
        <v>0.35000000000000003</v>
      </c>
      <c r="J29" s="228"/>
    </row>
    <row r="30" spans="1:10" x14ac:dyDescent="0.25">
      <c r="B30" s="162" t="s">
        <v>63</v>
      </c>
      <c r="C30" s="67">
        <v>1046</v>
      </c>
      <c r="D30" s="108">
        <v>3006</v>
      </c>
      <c r="E30" s="57">
        <f>+C30/D30</f>
        <v>0.34797072521623418</v>
      </c>
      <c r="G30" s="89" t="s">
        <v>169</v>
      </c>
      <c r="H30" s="87">
        <v>68</v>
      </c>
      <c r="I30" s="88">
        <v>102</v>
      </c>
      <c r="J30" s="228" t="s">
        <v>174</v>
      </c>
    </row>
    <row r="31" spans="1:10" x14ac:dyDescent="0.25">
      <c r="C31" s="162">
        <f>+SUM(C28:C30)</f>
        <v>3357</v>
      </c>
      <c r="D31" s="110">
        <f>+SUM(D28:D30)</f>
        <v>7038</v>
      </c>
      <c r="E31" s="57">
        <f>+C31/D31</f>
        <v>0.47698209718670076</v>
      </c>
      <c r="G31" s="89" t="s">
        <v>168</v>
      </c>
      <c r="H31" s="87">
        <v>36</v>
      </c>
      <c r="I31" s="88">
        <v>54</v>
      </c>
      <c r="J31" s="230"/>
    </row>
    <row r="32" spans="1:10" ht="15" customHeight="1" x14ac:dyDescent="0.25">
      <c r="G32" s="231" t="s">
        <v>123</v>
      </c>
      <c r="H32" s="138">
        <v>231</v>
      </c>
      <c r="I32" s="232">
        <v>346.5</v>
      </c>
      <c r="J32" s="218" t="s">
        <v>146</v>
      </c>
    </row>
    <row r="33" spans="1:10" ht="15" customHeight="1" x14ac:dyDescent="0.25">
      <c r="B33" s="162" t="s">
        <v>66</v>
      </c>
      <c r="D33" s="162"/>
      <c r="G33" s="89" t="s">
        <v>170</v>
      </c>
      <c r="H33" s="87">
        <v>22</v>
      </c>
      <c r="I33" s="88">
        <v>33</v>
      </c>
      <c r="J33" s="218" t="s">
        <v>146</v>
      </c>
    </row>
    <row r="34" spans="1:10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239</v>
      </c>
      <c r="I34" s="88">
        <f>+H34*1.5</f>
        <v>358.5</v>
      </c>
      <c r="J34" s="224" t="s">
        <v>152</v>
      </c>
    </row>
    <row r="35" spans="1:10" x14ac:dyDescent="0.25">
      <c r="B35" s="73">
        <v>17</v>
      </c>
      <c r="C35" s="74">
        <v>3</v>
      </c>
      <c r="D35" s="74">
        <v>14</v>
      </c>
      <c r="E35" s="75">
        <f>+SUM(B35:D35)</f>
        <v>34</v>
      </c>
      <c r="J35" s="218"/>
    </row>
    <row r="36" spans="1:10" x14ac:dyDescent="0.25">
      <c r="E36" s="198" t="s">
        <v>76</v>
      </c>
      <c r="F36" s="198" t="s">
        <v>137</v>
      </c>
      <c r="H36" s="144" t="s">
        <v>124</v>
      </c>
      <c r="I36" s="220" t="s">
        <v>148</v>
      </c>
      <c r="J36" s="218" t="s">
        <v>146</v>
      </c>
    </row>
    <row r="37" spans="1:10" x14ac:dyDescent="0.25">
      <c r="D37" s="162"/>
      <c r="G37" s="71" t="s">
        <v>90</v>
      </c>
      <c r="H37" s="144" t="s">
        <v>120</v>
      </c>
      <c r="I37" s="145">
        <v>0</v>
      </c>
      <c r="J37" s="218"/>
    </row>
    <row r="38" spans="1:10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220" t="s">
        <v>149</v>
      </c>
      <c r="J38" s="218" t="s">
        <v>146</v>
      </c>
    </row>
    <row r="39" spans="1:10" x14ac:dyDescent="0.25">
      <c r="A39" s="207" t="s">
        <v>71</v>
      </c>
      <c r="B39" s="199">
        <v>12.22</v>
      </c>
      <c r="C39" s="199">
        <v>1626</v>
      </c>
      <c r="D39" s="200">
        <v>3600</v>
      </c>
      <c r="E39" s="201">
        <f t="shared" si="3"/>
        <v>0.45166666666666666</v>
      </c>
      <c r="F39" s="201">
        <f t="shared" si="4"/>
        <v>0.50916666666666666</v>
      </c>
      <c r="G39" s="202">
        <v>12</v>
      </c>
      <c r="H39" s="71"/>
    </row>
    <row r="40" spans="1:10" x14ac:dyDescent="0.25">
      <c r="A40" s="207" t="s">
        <v>72</v>
      </c>
      <c r="B40" s="199">
        <v>12.27</v>
      </c>
      <c r="C40" s="199">
        <v>1499</v>
      </c>
      <c r="D40" s="200">
        <v>3900</v>
      </c>
      <c r="E40" s="201">
        <f t="shared" si="3"/>
        <v>0.38435897435897437</v>
      </c>
      <c r="F40" s="201">
        <f t="shared" si="4"/>
        <v>0.51124999999999998</v>
      </c>
      <c r="G40" s="202">
        <v>12</v>
      </c>
      <c r="H40" s="71"/>
    </row>
    <row r="41" spans="1:10" x14ac:dyDescent="0.25">
      <c r="A41" s="207" t="s">
        <v>73</v>
      </c>
      <c r="B41" s="199">
        <v>12.04</v>
      </c>
      <c r="C41" s="199">
        <v>2717</v>
      </c>
      <c r="D41" s="200">
        <v>3900</v>
      </c>
      <c r="E41" s="201">
        <f t="shared" si="3"/>
        <v>0.69666666666666666</v>
      </c>
      <c r="F41" s="201">
        <f t="shared" si="4"/>
        <v>0.50166666666666659</v>
      </c>
      <c r="G41" s="202">
        <v>12</v>
      </c>
      <c r="H41" s="71"/>
    </row>
    <row r="42" spans="1:10" x14ac:dyDescent="0.25">
      <c r="A42" s="207" t="s">
        <v>74</v>
      </c>
      <c r="B42" s="199">
        <v>13.04</v>
      </c>
      <c r="C42" s="199">
        <v>2082</v>
      </c>
      <c r="D42" s="200">
        <v>3900</v>
      </c>
      <c r="E42" s="201">
        <f t="shared" si="3"/>
        <v>0.53384615384615386</v>
      </c>
      <c r="F42" s="201">
        <f t="shared" si="4"/>
        <v>0.54333333333333333</v>
      </c>
      <c r="G42" s="202">
        <v>12</v>
      </c>
      <c r="H42" s="71"/>
    </row>
    <row r="43" spans="1:10" x14ac:dyDescent="0.25">
      <c r="A43" s="259" t="s">
        <v>75</v>
      </c>
      <c r="B43" s="260">
        <v>10.199999999999999</v>
      </c>
      <c r="C43" s="261">
        <v>3089</v>
      </c>
      <c r="D43" s="262">
        <v>4300</v>
      </c>
      <c r="E43" s="263">
        <f t="shared" si="3"/>
        <v>0.71837209302325578</v>
      </c>
      <c r="F43" s="201">
        <f t="shared" si="4"/>
        <v>0.42499999999999999</v>
      </c>
      <c r="G43" s="202">
        <v>16</v>
      </c>
      <c r="H43" s="71"/>
    </row>
    <row r="44" spans="1:10" x14ac:dyDescent="0.25">
      <c r="C44" s="71" t="s">
        <v>83</v>
      </c>
      <c r="D44" s="72" t="s">
        <v>79</v>
      </c>
      <c r="H44" s="71"/>
    </row>
    <row r="45" spans="1:10" x14ac:dyDescent="0.25">
      <c r="B45" s="162" t="s">
        <v>78</v>
      </c>
      <c r="H45" s="71"/>
    </row>
    <row r="46" spans="1:10" x14ac:dyDescent="0.25">
      <c r="C46" s="71">
        <v>1</v>
      </c>
      <c r="D46" s="225" t="s">
        <v>153</v>
      </c>
      <c r="H46" s="71"/>
    </row>
    <row r="47" spans="1:10" x14ac:dyDescent="0.25">
      <c r="C47" s="71">
        <v>2</v>
      </c>
      <c r="D47" s="225" t="s">
        <v>153</v>
      </c>
      <c r="H47" s="71"/>
    </row>
    <row r="48" spans="1:10" x14ac:dyDescent="0.25">
      <c r="C48" s="71">
        <v>3</v>
      </c>
      <c r="D48" s="225" t="s">
        <v>154</v>
      </c>
      <c r="H48" s="71"/>
    </row>
    <row r="49" spans="3:8" x14ac:dyDescent="0.25">
      <c r="C49" s="71">
        <v>4</v>
      </c>
      <c r="D49" s="108">
        <v>0</v>
      </c>
      <c r="H49" s="71"/>
    </row>
    <row r="50" spans="3:8" x14ac:dyDescent="0.25">
      <c r="C50" s="71">
        <v>5</v>
      </c>
      <c r="D50" s="108">
        <v>2</v>
      </c>
    </row>
    <row r="51" spans="3:8" x14ac:dyDescent="0.25">
      <c r="C51" s="71">
        <v>6</v>
      </c>
      <c r="D51" s="108">
        <v>3</v>
      </c>
    </row>
    <row r="52" spans="3:8" x14ac:dyDescent="0.25">
      <c r="C52" s="71">
        <v>7</v>
      </c>
      <c r="D52" s="225" t="s">
        <v>153</v>
      </c>
    </row>
    <row r="53" spans="3:8" x14ac:dyDescent="0.25">
      <c r="C53" s="71">
        <v>8</v>
      </c>
      <c r="D53" s="225" t="s">
        <v>153</v>
      </c>
    </row>
  </sheetData>
  <protectedRanges>
    <protectedRange password="D554" sqref="I36:I38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36" workbookViewId="0">
      <selection activeCell="A26" sqref="A26:K5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8.28515625" style="162" customWidth="1"/>
    <col min="6" max="6" width="11.42578125" style="162"/>
    <col min="7" max="7" width="11.85546875" style="162" bestFit="1" customWidth="1"/>
    <col min="8" max="10" width="11.42578125" style="162"/>
    <col min="11" max="11" width="3.28515625" style="162" bestFit="1" customWidth="1"/>
    <col min="12" max="16384" width="11.42578125" style="162"/>
  </cols>
  <sheetData>
    <row r="1" spans="1:10" ht="15" customHeight="1" x14ac:dyDescent="0.25">
      <c r="A1" s="161"/>
      <c r="B1" s="518">
        <v>45896</v>
      </c>
      <c r="C1" s="518"/>
      <c r="D1" s="518"/>
      <c r="E1" s="61" t="s">
        <v>155</v>
      </c>
      <c r="F1" s="61"/>
    </row>
    <row r="2" spans="1:10" x14ac:dyDescent="0.25">
      <c r="E2" s="61"/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229593</v>
      </c>
      <c r="F3" s="62"/>
    </row>
    <row r="4" spans="1:10" ht="19.5" customHeight="1" thickBot="1" x14ac:dyDescent="0.4">
      <c r="A4" s="164"/>
      <c r="B4" s="266"/>
      <c r="C4" s="266"/>
      <c r="D4" s="165">
        <f>D24</f>
        <v>9499.9050000000007</v>
      </c>
      <c r="E4" s="108">
        <f>+E3/31</f>
        <v>7406.2258064516127</v>
      </c>
      <c r="F4" s="57"/>
      <c r="H4" s="69" t="s">
        <v>58</v>
      </c>
      <c r="I4" s="69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2300</v>
      </c>
      <c r="D5" s="172">
        <v>98.14</v>
      </c>
      <c r="E5" s="80">
        <f>+D5/$D$4</f>
        <v>1.0330629622085695E-2</v>
      </c>
      <c r="F5" s="58" t="s">
        <v>51</v>
      </c>
      <c r="G5" s="59">
        <v>45894</v>
      </c>
      <c r="H5" s="190">
        <v>6165</v>
      </c>
      <c r="I5" s="141">
        <v>7122.8849999999993</v>
      </c>
      <c r="J5" s="60">
        <f t="shared" ref="J5:J12" si="0">+I5/H5</f>
        <v>1.1553746958637467</v>
      </c>
    </row>
    <row r="6" spans="1:10" ht="15" customHeight="1" x14ac:dyDescent="0.25">
      <c r="A6" s="164"/>
      <c r="B6" s="169" t="s">
        <v>10</v>
      </c>
      <c r="C6" s="177">
        <v>25461</v>
      </c>
      <c r="D6" s="173">
        <v>1086.5319999999999</v>
      </c>
      <c r="E6" s="80">
        <f>+D6/$D$4</f>
        <v>0.11437293320301622</v>
      </c>
      <c r="F6" s="58" t="s">
        <v>52</v>
      </c>
      <c r="G6" s="59">
        <v>45895</v>
      </c>
      <c r="H6" s="190">
        <v>8162</v>
      </c>
      <c r="I6" s="141">
        <v>9298.0240000000013</v>
      </c>
      <c r="J6" s="60">
        <f t="shared" si="0"/>
        <v>1.1391845135996082</v>
      </c>
    </row>
    <row r="7" spans="1:10" ht="15" customHeight="1" x14ac:dyDescent="0.25">
      <c r="A7" s="164"/>
      <c r="B7" s="169" t="s">
        <v>35</v>
      </c>
      <c r="C7" s="177">
        <v>18610</v>
      </c>
      <c r="D7" s="173">
        <v>793.46</v>
      </c>
      <c r="E7" s="80">
        <f t="shared" ref="E7:E24" si="1">+D7/$D$4</f>
        <v>8.3522940492562814E-2</v>
      </c>
      <c r="F7" s="58" t="s">
        <v>53</v>
      </c>
      <c r="G7" s="59">
        <v>45896</v>
      </c>
      <c r="H7" s="190">
        <v>8945</v>
      </c>
      <c r="I7" s="141">
        <v>9499.9050000000007</v>
      </c>
      <c r="J7" s="60">
        <f t="shared" si="0"/>
        <v>1.0620352152040247</v>
      </c>
    </row>
    <row r="8" spans="1:10" ht="15" customHeight="1" x14ac:dyDescent="0.25">
      <c r="A8" s="164"/>
      <c r="B8" s="169" t="s">
        <v>4</v>
      </c>
      <c r="C8" s="177">
        <v>3855</v>
      </c>
      <c r="D8" s="173">
        <v>164.75</v>
      </c>
      <c r="E8" s="80">
        <f t="shared" si="1"/>
        <v>1.7342278685944752E-2</v>
      </c>
      <c r="F8" s="58" t="s">
        <v>54</v>
      </c>
      <c r="G8" s="59">
        <v>45897</v>
      </c>
      <c r="H8" s="190">
        <v>9510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37782</v>
      </c>
      <c r="D9" s="173">
        <v>1612.1980000000001</v>
      </c>
      <c r="E9" s="245">
        <f t="shared" si="1"/>
        <v>0.16970674969907593</v>
      </c>
      <c r="F9" s="58" t="s">
        <v>55</v>
      </c>
      <c r="G9" s="59">
        <v>45898</v>
      </c>
      <c r="H9" s="190">
        <v>6240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58510</v>
      </c>
      <c r="D10" s="173">
        <v>2494.9859999999999</v>
      </c>
      <c r="E10" s="245">
        <f t="shared" si="1"/>
        <v>0.26263273159047379</v>
      </c>
      <c r="F10" s="58" t="s">
        <v>56</v>
      </c>
      <c r="G10" s="59">
        <v>45899</v>
      </c>
      <c r="H10" s="190">
        <v>6870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6900</v>
      </c>
      <c r="D11" s="173">
        <v>294.83600000000001</v>
      </c>
      <c r="E11" s="80">
        <f t="shared" si="1"/>
        <v>3.1035678777840411E-2</v>
      </c>
      <c r="F11" s="58" t="s">
        <v>57</v>
      </c>
      <c r="G11" s="59">
        <v>45900</v>
      </c>
      <c r="H11" s="190">
        <v>5702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81</v>
      </c>
      <c r="C12" s="177">
        <v>4583</v>
      </c>
      <c r="D12" s="173">
        <v>195.684</v>
      </c>
      <c r="E12" s="80">
        <f t="shared" si="1"/>
        <v>2.0598521774691431E-2</v>
      </c>
      <c r="H12" s="139">
        <f>+SUM(H5:H11)</f>
        <v>51594</v>
      </c>
      <c r="I12" s="142">
        <f>+SUM(I5:I11)</f>
        <v>25920.813999999998</v>
      </c>
      <c r="J12" s="140">
        <f t="shared" si="0"/>
        <v>0.5023997751676551</v>
      </c>
    </row>
    <row r="13" spans="1:10" ht="15" customHeight="1" x14ac:dyDescent="0.25">
      <c r="A13" s="164"/>
      <c r="B13" s="169" t="s">
        <v>95</v>
      </c>
      <c r="C13" s="177">
        <v>45</v>
      </c>
      <c r="D13" s="173">
        <v>1.1339999999999999</v>
      </c>
      <c r="E13" s="80">
        <f t="shared" si="1"/>
        <v>1.1936961474877905E-4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86</v>
      </c>
      <c r="D14" s="173">
        <v>129.49</v>
      </c>
      <c r="E14" s="80">
        <f t="shared" si="1"/>
        <v>1.3630662622415697E-2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369</v>
      </c>
      <c r="D15" s="173">
        <v>556.9</v>
      </c>
      <c r="E15" s="80">
        <f t="shared" si="1"/>
        <v>5.8621638847967422E-2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356</v>
      </c>
      <c r="D16" s="173">
        <v>537.07000000000005</v>
      </c>
      <c r="E16" s="80">
        <f t="shared" si="1"/>
        <v>5.6534249553021845E-2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49</v>
      </c>
      <c r="C17" s="177">
        <v>64</v>
      </c>
      <c r="D17" s="173">
        <v>96.4</v>
      </c>
      <c r="E17" s="80">
        <f t="shared" si="1"/>
        <v>1.0147469895751588E-2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41</v>
      </c>
      <c r="C18" s="177">
        <v>245</v>
      </c>
      <c r="D18" s="173">
        <v>369.49</v>
      </c>
      <c r="E18" s="80">
        <f t="shared" si="1"/>
        <v>3.8894073151257827E-2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45</v>
      </c>
      <c r="C19" s="177">
        <v>112</v>
      </c>
      <c r="D19" s="173">
        <v>168.7</v>
      </c>
      <c r="E19" s="80">
        <f t="shared" si="1"/>
        <v>1.7758072317565279E-2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118</v>
      </c>
      <c r="C20" s="177">
        <v>1</v>
      </c>
      <c r="D20" s="173">
        <v>1.5049999999999999</v>
      </c>
      <c r="E20" s="80">
        <f t="shared" si="1"/>
        <v>1.584226368579475E-4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40</v>
      </c>
      <c r="C21" s="177"/>
      <c r="D21" s="173">
        <v>597.42999999999995</v>
      </c>
      <c r="E21" s="80">
        <f t="shared" si="1"/>
        <v>6.2887997301025636E-2</v>
      </c>
      <c r="F21" s="112" t="s">
        <v>135</v>
      </c>
      <c r="G21" s="272">
        <v>232937.965</v>
      </c>
      <c r="H21" s="272">
        <f>+D23</f>
        <v>120.84</v>
      </c>
      <c r="I21" s="98">
        <f t="shared" si="2"/>
        <v>5.1876472776775568E-4</v>
      </c>
      <c r="J21" s="108">
        <f>+H21-G21</f>
        <v>-232817.125</v>
      </c>
    </row>
    <row r="22" spans="1:11" ht="15" customHeight="1" x14ac:dyDescent="0.25">
      <c r="A22" s="164"/>
      <c r="B22" s="169" t="s">
        <v>9</v>
      </c>
      <c r="C22" s="177"/>
      <c r="D22" s="173">
        <v>180.36</v>
      </c>
      <c r="E22" s="80">
        <f t="shared" si="1"/>
        <v>1.8985453012424863E-2</v>
      </c>
      <c r="G22" s="273">
        <f>+SUM(G14:G21)</f>
        <v>1653662.5050000001</v>
      </c>
      <c r="H22" s="273">
        <f>+SUM(H14:H21)</f>
        <v>1409247.7819999999</v>
      </c>
      <c r="I22" s="274">
        <f t="shared" si="2"/>
        <v>0.85219794107867242</v>
      </c>
      <c r="J22" s="275">
        <f>+H22-G22</f>
        <v>-244414.72300000023</v>
      </c>
    </row>
    <row r="23" spans="1:11" ht="15" customHeight="1" thickBot="1" x14ac:dyDescent="0.3">
      <c r="A23" s="164"/>
      <c r="B23" s="169" t="s">
        <v>46</v>
      </c>
      <c r="C23" s="177"/>
      <c r="D23" s="173">
        <v>120.84</v>
      </c>
      <c r="E23" s="80">
        <f t="shared" si="1"/>
        <v>1.2720127201272012E-2</v>
      </c>
      <c r="F23" s="163"/>
    </row>
    <row r="24" spans="1:11" ht="15" customHeight="1" thickBot="1" x14ac:dyDescent="0.3">
      <c r="B24" s="178" t="s">
        <v>0</v>
      </c>
      <c r="C24" s="170"/>
      <c r="D24" s="171">
        <f>SUM(D5:D23)</f>
        <v>9499.9050000000007</v>
      </c>
      <c r="E24" s="80">
        <f t="shared" si="1"/>
        <v>1</v>
      </c>
    </row>
    <row r="25" spans="1:11" ht="15" customHeight="1" x14ac:dyDescent="0.25">
      <c r="B25" s="166" t="s">
        <v>1</v>
      </c>
      <c r="C25" s="167"/>
      <c r="D25" s="233">
        <v>206431.101</v>
      </c>
      <c r="E25" s="57">
        <f>+D25/$E$3</f>
        <v>0.89911757327096209</v>
      </c>
      <c r="F25" s="163"/>
    </row>
    <row r="26" spans="1:11" x14ac:dyDescent="0.25">
      <c r="D26" s="108">
        <f>+(E3/31)*27</f>
        <v>199968.09677419355</v>
      </c>
      <c r="E26" s="98">
        <f>+D26/$E$3</f>
        <v>0.87096774193548387</v>
      </c>
    </row>
    <row r="27" spans="1:11" x14ac:dyDescent="0.25">
      <c r="D27" s="138">
        <f>+D25-D26</f>
        <v>6463.0042258064495</v>
      </c>
      <c r="E27" s="251">
        <f>E25-E26</f>
        <v>2.8149831335478215E-2</v>
      </c>
    </row>
    <row r="28" spans="1:11" ht="15" customHeight="1" x14ac:dyDescent="0.25"/>
    <row r="29" spans="1:11" ht="15" customHeight="1" x14ac:dyDescent="0.25">
      <c r="B29" s="66" t="s">
        <v>60</v>
      </c>
      <c r="D29" s="109" t="s">
        <v>105</v>
      </c>
      <c r="E29" s="109" t="s">
        <v>80</v>
      </c>
      <c r="G29" s="163"/>
      <c r="H29" s="237" t="s">
        <v>157</v>
      </c>
      <c r="I29" s="237" t="s">
        <v>92</v>
      </c>
      <c r="J29" s="71"/>
    </row>
    <row r="30" spans="1:11" x14ac:dyDescent="0.25">
      <c r="B30" s="162" t="s">
        <v>61</v>
      </c>
      <c r="C30" s="162">
        <v>1489</v>
      </c>
      <c r="D30" s="108">
        <v>2142</v>
      </c>
      <c r="E30" s="57">
        <f>+C30/D30</f>
        <v>0.69514472455648924</v>
      </c>
      <c r="G30" s="86" t="s">
        <v>86</v>
      </c>
      <c r="H30" s="87">
        <v>4633</v>
      </c>
      <c r="I30" s="88">
        <v>115.825</v>
      </c>
      <c r="J30" s="228"/>
    </row>
    <row r="31" spans="1:11" x14ac:dyDescent="0.25">
      <c r="B31" s="162" t="s">
        <v>62</v>
      </c>
      <c r="C31" s="162">
        <v>1224</v>
      </c>
      <c r="D31" s="108">
        <v>1890</v>
      </c>
      <c r="E31" s="57">
        <f>+C31/D31</f>
        <v>0.64761904761904765</v>
      </c>
      <c r="G31" s="86" t="s">
        <v>171</v>
      </c>
      <c r="H31" s="87">
        <v>14</v>
      </c>
      <c r="I31" s="88">
        <v>0.35000000000000003</v>
      </c>
      <c r="J31" s="228"/>
    </row>
    <row r="32" spans="1:11" x14ac:dyDescent="0.25">
      <c r="B32" s="162" t="s">
        <v>63</v>
      </c>
      <c r="C32" s="67">
        <v>1330</v>
      </c>
      <c r="D32" s="108">
        <v>3006</v>
      </c>
      <c r="E32" s="57">
        <f>+C32/D32</f>
        <v>0.44244843646041249</v>
      </c>
      <c r="G32" s="89" t="s">
        <v>169</v>
      </c>
      <c r="H32" s="87">
        <v>99</v>
      </c>
      <c r="I32" s="88">
        <v>148.5</v>
      </c>
      <c r="J32" s="228">
        <v>45896</v>
      </c>
      <c r="K32" s="162">
        <v>31</v>
      </c>
    </row>
    <row r="33" spans="1:10" ht="15" customHeight="1" x14ac:dyDescent="0.25">
      <c r="C33" s="162">
        <f>+SUM(C30:C32)</f>
        <v>4043</v>
      </c>
      <c r="D33" s="110">
        <f>+SUM(D30:D32)</f>
        <v>7038</v>
      </c>
      <c r="E33" s="57">
        <f>+C33/D33</f>
        <v>0.57445296959363457</v>
      </c>
      <c r="G33" s="89" t="s">
        <v>168</v>
      </c>
      <c r="H33" s="87">
        <v>36</v>
      </c>
      <c r="I33" s="88">
        <v>54</v>
      </c>
      <c r="J33" s="230"/>
    </row>
    <row r="34" spans="1:10" x14ac:dyDescent="0.25">
      <c r="G34" s="231" t="s">
        <v>123</v>
      </c>
      <c r="H34" s="138">
        <v>231</v>
      </c>
      <c r="I34" s="232">
        <v>346.5</v>
      </c>
      <c r="J34" s="218" t="s">
        <v>146</v>
      </c>
    </row>
    <row r="35" spans="1:10" x14ac:dyDescent="0.25">
      <c r="B35" s="162" t="s">
        <v>66</v>
      </c>
      <c r="D35" s="162"/>
      <c r="G35" s="89" t="s">
        <v>170</v>
      </c>
      <c r="H35" s="87">
        <v>22</v>
      </c>
      <c r="I35" s="88">
        <v>33</v>
      </c>
      <c r="J35" s="218" t="s">
        <v>146</v>
      </c>
    </row>
    <row r="36" spans="1:10" ht="15" customHeight="1" x14ac:dyDescent="0.25">
      <c r="B36" s="76" t="s">
        <v>67</v>
      </c>
      <c r="C36" s="77" t="s">
        <v>68</v>
      </c>
      <c r="D36" s="78" t="s">
        <v>69</v>
      </c>
      <c r="E36" s="79" t="s">
        <v>33</v>
      </c>
      <c r="G36" s="89" t="s">
        <v>107</v>
      </c>
      <c r="H36" s="87">
        <v>239</v>
      </c>
      <c r="I36" s="88">
        <f>+H36*1.5</f>
        <v>358.5</v>
      </c>
      <c r="J36" s="224" t="s">
        <v>152</v>
      </c>
    </row>
    <row r="37" spans="1:10" ht="15" customHeight="1" x14ac:dyDescent="0.25">
      <c r="B37" s="73">
        <v>26</v>
      </c>
      <c r="C37" s="74">
        <v>1</v>
      </c>
      <c r="D37" s="74">
        <v>12</v>
      </c>
      <c r="E37" s="75">
        <f>+SUM(B37:D37)</f>
        <v>39</v>
      </c>
      <c r="J37" s="218"/>
    </row>
    <row r="38" spans="1:10" x14ac:dyDescent="0.25">
      <c r="E38" s="198" t="s">
        <v>76</v>
      </c>
      <c r="F38" s="198" t="s">
        <v>137</v>
      </c>
      <c r="H38" s="144" t="s">
        <v>124</v>
      </c>
      <c r="I38" s="220" t="s">
        <v>148</v>
      </c>
      <c r="J38" s="218" t="s">
        <v>146</v>
      </c>
    </row>
    <row r="39" spans="1:10" x14ac:dyDescent="0.25">
      <c r="D39" s="162"/>
      <c r="G39" s="71" t="s">
        <v>90</v>
      </c>
      <c r="H39" s="144" t="s">
        <v>120</v>
      </c>
      <c r="I39" s="145">
        <v>0</v>
      </c>
      <c r="J39" s="218"/>
    </row>
    <row r="40" spans="1:10" x14ac:dyDescent="0.25">
      <c r="A40" s="207" t="s">
        <v>70</v>
      </c>
      <c r="B40" s="199">
        <v>0</v>
      </c>
      <c r="C40" s="199">
        <v>0</v>
      </c>
      <c r="D40" s="200">
        <v>2400</v>
      </c>
      <c r="E40" s="201">
        <f t="shared" ref="E40:E45" si="3">+C40/D40</f>
        <v>0</v>
      </c>
      <c r="F40" s="201">
        <f t="shared" ref="F40:F45" si="4">+B40/24</f>
        <v>0</v>
      </c>
      <c r="G40" s="202">
        <v>7</v>
      </c>
      <c r="H40" s="144" t="s">
        <v>121</v>
      </c>
      <c r="I40" s="220" t="s">
        <v>149</v>
      </c>
      <c r="J40" s="218" t="s">
        <v>146</v>
      </c>
    </row>
    <row r="41" spans="1:10" x14ac:dyDescent="0.25">
      <c r="A41" s="207" t="s">
        <v>71</v>
      </c>
      <c r="B41" s="199">
        <v>9.6</v>
      </c>
      <c r="C41" s="199">
        <v>1566</v>
      </c>
      <c r="D41" s="200">
        <v>3600</v>
      </c>
      <c r="E41" s="201">
        <f t="shared" si="3"/>
        <v>0.435</v>
      </c>
      <c r="F41" s="201">
        <f t="shared" si="4"/>
        <v>0.39999999999999997</v>
      </c>
      <c r="G41" s="202">
        <v>12</v>
      </c>
      <c r="H41" s="71"/>
    </row>
    <row r="42" spans="1:10" x14ac:dyDescent="0.25">
      <c r="A42" s="207" t="s">
        <v>72</v>
      </c>
      <c r="B42" s="199">
        <v>7.63</v>
      </c>
      <c r="C42" s="199">
        <v>1598</v>
      </c>
      <c r="D42" s="200">
        <v>3900</v>
      </c>
      <c r="E42" s="201">
        <f t="shared" si="3"/>
        <v>0.40974358974358976</v>
      </c>
      <c r="F42" s="201">
        <f t="shared" si="4"/>
        <v>0.31791666666666668</v>
      </c>
      <c r="G42" s="202">
        <v>12</v>
      </c>
      <c r="H42" s="71"/>
    </row>
    <row r="43" spans="1:10" x14ac:dyDescent="0.25">
      <c r="A43" s="207" t="s">
        <v>73</v>
      </c>
      <c r="B43" s="199">
        <v>13.4</v>
      </c>
      <c r="C43" s="199">
        <v>3084</v>
      </c>
      <c r="D43" s="200">
        <v>3900</v>
      </c>
      <c r="E43" s="201">
        <f t="shared" si="3"/>
        <v>0.79076923076923078</v>
      </c>
      <c r="F43" s="201">
        <f t="shared" si="4"/>
        <v>0.55833333333333335</v>
      </c>
      <c r="G43" s="202">
        <v>12</v>
      </c>
      <c r="H43" s="71"/>
    </row>
    <row r="44" spans="1:10" x14ac:dyDescent="0.25">
      <c r="A44" s="207" t="s">
        <v>74</v>
      </c>
      <c r="B44" s="199">
        <v>15.67</v>
      </c>
      <c r="C44" s="199">
        <v>2935</v>
      </c>
      <c r="D44" s="200">
        <v>3900</v>
      </c>
      <c r="E44" s="201">
        <f t="shared" si="3"/>
        <v>0.75256410256410255</v>
      </c>
      <c r="F44" s="201">
        <f t="shared" si="4"/>
        <v>0.6529166666666667</v>
      </c>
      <c r="G44" s="202">
        <v>12</v>
      </c>
      <c r="H44" s="71"/>
    </row>
    <row r="45" spans="1:10" x14ac:dyDescent="0.25">
      <c r="A45" s="259" t="s">
        <v>75</v>
      </c>
      <c r="B45" s="260">
        <v>7.75</v>
      </c>
      <c r="C45" s="261">
        <v>3236</v>
      </c>
      <c r="D45" s="262">
        <v>4300</v>
      </c>
      <c r="E45" s="263">
        <f t="shared" si="3"/>
        <v>0.75255813953488371</v>
      </c>
      <c r="F45" s="201">
        <f t="shared" si="4"/>
        <v>0.32291666666666669</v>
      </c>
      <c r="G45" s="202">
        <v>16</v>
      </c>
      <c r="H45" s="71"/>
    </row>
    <row r="46" spans="1:10" x14ac:dyDescent="0.25">
      <c r="C46" s="71" t="s">
        <v>83</v>
      </c>
      <c r="D46" s="72" t="s">
        <v>79</v>
      </c>
      <c r="H46" s="71"/>
    </row>
    <row r="47" spans="1:10" x14ac:dyDescent="0.25">
      <c r="B47" s="162" t="s">
        <v>78</v>
      </c>
      <c r="H47" s="71"/>
    </row>
    <row r="48" spans="1:10" x14ac:dyDescent="0.25">
      <c r="C48" s="71">
        <v>1</v>
      </c>
      <c r="D48" s="225" t="s">
        <v>153</v>
      </c>
      <c r="H48" s="71"/>
    </row>
    <row r="49" spans="3:8" x14ac:dyDescent="0.25">
      <c r="C49" s="71">
        <v>2</v>
      </c>
      <c r="D49" s="225" t="s">
        <v>153</v>
      </c>
      <c r="H49" s="71"/>
    </row>
    <row r="50" spans="3:8" x14ac:dyDescent="0.25">
      <c r="C50" s="71">
        <v>3</v>
      </c>
      <c r="D50" s="225" t="s">
        <v>154</v>
      </c>
      <c r="H50" s="71"/>
    </row>
    <row r="51" spans="3:8" x14ac:dyDescent="0.25">
      <c r="C51" s="71">
        <v>4</v>
      </c>
      <c r="D51" s="108">
        <v>0</v>
      </c>
      <c r="H51" s="71"/>
    </row>
    <row r="52" spans="3:8" x14ac:dyDescent="0.25">
      <c r="C52" s="71">
        <v>5</v>
      </c>
      <c r="D52" s="108">
        <v>9</v>
      </c>
    </row>
    <row r="53" spans="3:8" x14ac:dyDescent="0.25">
      <c r="C53" s="71">
        <v>6</v>
      </c>
      <c r="D53" s="108">
        <v>8</v>
      </c>
    </row>
    <row r="54" spans="3:8" x14ac:dyDescent="0.25">
      <c r="C54" s="71">
        <v>7</v>
      </c>
      <c r="D54" s="225" t="s">
        <v>153</v>
      </c>
    </row>
    <row r="55" spans="3:8" x14ac:dyDescent="0.25">
      <c r="C55" s="71">
        <v>8</v>
      </c>
      <c r="D55" s="225" t="s">
        <v>153</v>
      </c>
    </row>
  </sheetData>
  <protectedRanges>
    <protectedRange password="D554" sqref="I38:I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8" workbookViewId="0">
      <selection activeCell="E1" sqref="E1:J27"/>
    </sheetView>
  </sheetViews>
  <sheetFormatPr baseColWidth="10" defaultColWidth="11.42578125" defaultRowHeight="15.75" x14ac:dyDescent="0.25"/>
  <cols>
    <col min="1" max="1" width="2.42578125" style="162" customWidth="1"/>
    <col min="2" max="2" width="46.5703125" style="162" customWidth="1"/>
    <col min="3" max="3" width="15.28515625" style="162" customWidth="1"/>
    <col min="4" max="4" width="15.28515625" style="163" customWidth="1"/>
    <col min="5" max="5" width="14" style="162" customWidth="1"/>
    <col min="6" max="6" width="15.42578125" style="162" customWidth="1"/>
    <col min="7" max="7" width="15.5703125" style="162" customWidth="1"/>
    <col min="8" max="8" width="11.85546875" style="162" bestFit="1" customWidth="1"/>
    <col min="9" max="10" width="11.42578125" style="162"/>
    <col min="11" max="11" width="3.28515625" style="162" bestFit="1" customWidth="1"/>
    <col min="12" max="16384" width="11.42578125" style="162"/>
  </cols>
  <sheetData>
    <row r="1" spans="1:10" ht="15" customHeight="1" x14ac:dyDescent="0.25">
      <c r="A1" s="161"/>
      <c r="B1" s="518">
        <v>45900</v>
      </c>
      <c r="C1" s="518"/>
      <c r="D1" s="518"/>
    </row>
    <row r="2" spans="1:10" x14ac:dyDescent="0.25">
      <c r="E2" s="61" t="s">
        <v>155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229593</v>
      </c>
      <c r="F3" s="61"/>
    </row>
    <row r="4" spans="1:10" ht="19.5" customHeight="1" thickBot="1" x14ac:dyDescent="0.4">
      <c r="A4" s="164"/>
      <c r="B4" s="276"/>
      <c r="C4" s="276"/>
      <c r="D4" s="165">
        <f>D26</f>
        <v>4566.0280000000002</v>
      </c>
      <c r="E4" s="108">
        <f>+E3/31</f>
        <v>7406.2258064516127</v>
      </c>
      <c r="F4" s="62"/>
    </row>
    <row r="5" spans="1:10" ht="15" customHeight="1" x14ac:dyDescent="0.25">
      <c r="A5" s="164"/>
      <c r="B5" s="168" t="s">
        <v>6</v>
      </c>
      <c r="C5" s="176">
        <v>4705</v>
      </c>
      <c r="D5" s="172">
        <v>200.80799999999999</v>
      </c>
      <c r="E5" s="80">
        <f>+D5/$D$4</f>
        <v>4.3978705343024609E-2</v>
      </c>
      <c r="F5" s="57"/>
      <c r="H5" s="69" t="s">
        <v>58</v>
      </c>
      <c r="I5" s="278" t="s">
        <v>59</v>
      </c>
      <c r="J5" s="69" t="s">
        <v>80</v>
      </c>
    </row>
    <row r="6" spans="1:10" ht="15" customHeight="1" x14ac:dyDescent="0.25">
      <c r="A6" s="164"/>
      <c r="B6" s="169" t="s">
        <v>10</v>
      </c>
      <c r="C6" s="177">
        <v>7889</v>
      </c>
      <c r="D6" s="173">
        <v>336.47</v>
      </c>
      <c r="E6" s="80">
        <f>+D6/$D$4</f>
        <v>7.3689867867652151E-2</v>
      </c>
      <c r="F6" s="58" t="s">
        <v>51</v>
      </c>
      <c r="G6" s="59">
        <v>45894</v>
      </c>
      <c r="H6" s="190">
        <v>6165</v>
      </c>
      <c r="I6" s="141">
        <v>7122.8849999999993</v>
      </c>
      <c r="J6" s="60">
        <f t="shared" ref="J6:J13" si="0">+I6/H6</f>
        <v>1.1553746958637467</v>
      </c>
    </row>
    <row r="7" spans="1:10" ht="15" customHeight="1" x14ac:dyDescent="0.25">
      <c r="A7" s="164"/>
      <c r="B7" s="169" t="s">
        <v>35</v>
      </c>
      <c r="C7" s="177">
        <v>13293</v>
      </c>
      <c r="D7" s="173">
        <v>566.52</v>
      </c>
      <c r="E7" s="80">
        <f>+D7/$D$4</f>
        <v>0.12407282653544831</v>
      </c>
      <c r="F7" s="58" t="s">
        <v>52</v>
      </c>
      <c r="G7" s="59">
        <v>45895</v>
      </c>
      <c r="H7" s="190">
        <v>8162</v>
      </c>
      <c r="I7" s="141">
        <v>9298.0240000000013</v>
      </c>
      <c r="J7" s="60">
        <f t="shared" si="0"/>
        <v>1.1391845135996082</v>
      </c>
    </row>
    <row r="8" spans="1:10" ht="15" customHeight="1" x14ac:dyDescent="0.25">
      <c r="A8" s="164"/>
      <c r="B8" s="169" t="s">
        <v>4</v>
      </c>
      <c r="C8" s="177">
        <v>6829</v>
      </c>
      <c r="D8" s="173">
        <v>291.392</v>
      </c>
      <c r="E8" s="80">
        <f t="shared" ref="E8:E26" si="1">+D8/$D$4</f>
        <v>6.3817392271795087E-2</v>
      </c>
      <c r="F8" s="58" t="s">
        <v>53</v>
      </c>
      <c r="G8" s="59">
        <v>45896</v>
      </c>
      <c r="H8" s="190">
        <v>8945</v>
      </c>
      <c r="I8" s="141">
        <v>9499.9050000000007</v>
      </c>
      <c r="J8" s="60">
        <f t="shared" si="0"/>
        <v>1.0620352152040247</v>
      </c>
    </row>
    <row r="9" spans="1:10" ht="15" customHeight="1" x14ac:dyDescent="0.25">
      <c r="A9" s="164"/>
      <c r="B9" s="169" t="s">
        <v>37</v>
      </c>
      <c r="C9" s="177">
        <v>15873</v>
      </c>
      <c r="D9" s="173">
        <v>677.51599999999996</v>
      </c>
      <c r="E9" s="245">
        <f t="shared" si="1"/>
        <v>0.1483819196903742</v>
      </c>
      <c r="F9" s="58" t="s">
        <v>54</v>
      </c>
      <c r="G9" s="59">
        <v>45897</v>
      </c>
      <c r="H9" s="190">
        <v>9510</v>
      </c>
      <c r="I9" s="141">
        <v>8581.56</v>
      </c>
      <c r="J9" s="60">
        <f t="shared" si="0"/>
        <v>0.90237223974763403</v>
      </c>
    </row>
    <row r="10" spans="1:10" ht="15" customHeight="1" x14ac:dyDescent="0.25">
      <c r="A10" s="164"/>
      <c r="B10" s="169" t="s">
        <v>38</v>
      </c>
      <c r="C10" s="177">
        <v>17167</v>
      </c>
      <c r="D10" s="173">
        <v>732.24</v>
      </c>
      <c r="E10" s="245">
        <f t="shared" si="1"/>
        <v>0.16036695350970251</v>
      </c>
      <c r="F10" s="58" t="s">
        <v>55</v>
      </c>
      <c r="G10" s="59">
        <v>45898</v>
      </c>
      <c r="H10" s="190">
        <v>6240</v>
      </c>
      <c r="I10" s="141">
        <v>6794.59</v>
      </c>
      <c r="J10" s="60">
        <f t="shared" si="0"/>
        <v>1.0888766025641026</v>
      </c>
    </row>
    <row r="11" spans="1:10" ht="15" customHeight="1" x14ac:dyDescent="0.25">
      <c r="A11" s="164"/>
      <c r="B11" s="169" t="s">
        <v>42</v>
      </c>
      <c r="C11" s="177">
        <v>1550</v>
      </c>
      <c r="D11" s="173">
        <v>66.281999999999996</v>
      </c>
      <c r="E11" s="80">
        <f t="shared" si="1"/>
        <v>1.4516336737313042E-2</v>
      </c>
      <c r="F11" s="58" t="s">
        <v>56</v>
      </c>
      <c r="G11" s="59">
        <v>45899</v>
      </c>
      <c r="H11" s="190">
        <v>6870</v>
      </c>
      <c r="I11" s="141">
        <v>7129.66</v>
      </c>
      <c r="J11" s="60">
        <f t="shared" si="0"/>
        <v>1.0377962154294031</v>
      </c>
    </row>
    <row r="12" spans="1:10" ht="15" customHeight="1" x14ac:dyDescent="0.25">
      <c r="A12" s="164"/>
      <c r="B12" s="169" t="s">
        <v>95</v>
      </c>
      <c r="C12" s="177">
        <v>1200</v>
      </c>
      <c r="D12" s="173">
        <v>30.03</v>
      </c>
      <c r="E12" s="80">
        <f t="shared" si="1"/>
        <v>6.5768322051463542E-3</v>
      </c>
      <c r="F12" s="58" t="s">
        <v>57</v>
      </c>
      <c r="G12" s="59">
        <v>45900</v>
      </c>
      <c r="H12" s="190">
        <v>5702</v>
      </c>
      <c r="I12" s="141">
        <v>4566.0280000000002</v>
      </c>
      <c r="J12" s="60">
        <f t="shared" si="0"/>
        <v>0.80077656962469312</v>
      </c>
    </row>
    <row r="13" spans="1:10" ht="15" customHeight="1" x14ac:dyDescent="0.25">
      <c r="A13" s="164"/>
      <c r="B13" s="169" t="s">
        <v>47</v>
      </c>
      <c r="C13" s="177">
        <v>1435</v>
      </c>
      <c r="D13" s="173">
        <v>36.21</v>
      </c>
      <c r="E13" s="80">
        <f t="shared" si="1"/>
        <v>7.9303061654462034E-3</v>
      </c>
      <c r="H13" s="139">
        <f>+SUM(H6:H12)</f>
        <v>51594</v>
      </c>
      <c r="I13" s="142">
        <f>+SUM(I6:I12)</f>
        <v>52992.651999999995</v>
      </c>
      <c r="J13" s="140">
        <f t="shared" si="0"/>
        <v>1.0271088111020661</v>
      </c>
    </row>
    <row r="14" spans="1:10" ht="15" customHeight="1" x14ac:dyDescent="0.25">
      <c r="A14" s="164"/>
      <c r="B14" s="169" t="s">
        <v>44</v>
      </c>
      <c r="C14" s="177"/>
      <c r="D14" s="173"/>
      <c r="E14" s="80">
        <f t="shared" si="1"/>
        <v>0</v>
      </c>
      <c r="F14" s="112"/>
      <c r="G14" s="113">
        <v>2024</v>
      </c>
      <c r="H14" s="113">
        <v>2025</v>
      </c>
      <c r="I14" s="71"/>
    </row>
    <row r="15" spans="1:10" ht="15" customHeight="1" x14ac:dyDescent="0.25">
      <c r="A15" s="164"/>
      <c r="B15" s="169" t="s">
        <v>39</v>
      </c>
      <c r="C15" s="177">
        <v>86</v>
      </c>
      <c r="D15" s="173">
        <v>129.80000000000001</v>
      </c>
      <c r="E15" s="80">
        <f t="shared" si="1"/>
        <v>2.8427333340925637E-2</v>
      </c>
      <c r="F15" s="112" t="s">
        <v>108</v>
      </c>
      <c r="G15" s="190">
        <v>204007.80300000001</v>
      </c>
      <c r="H15" s="190">
        <v>190629.128</v>
      </c>
      <c r="I15" s="57">
        <f t="shared" ref="I15:I23" si="2">+H15/G15</f>
        <v>0.93442076820953746</v>
      </c>
    </row>
    <row r="16" spans="1:10" ht="15" customHeight="1" x14ac:dyDescent="0.25">
      <c r="A16" s="164"/>
      <c r="B16" s="169" t="s">
        <v>43</v>
      </c>
      <c r="C16" s="177"/>
      <c r="D16" s="173"/>
      <c r="E16" s="80">
        <f t="shared" si="1"/>
        <v>0</v>
      </c>
      <c r="F16" s="112" t="s">
        <v>109</v>
      </c>
      <c r="G16" s="190">
        <v>186305.94399999996</v>
      </c>
      <c r="H16" s="190">
        <v>182874.285</v>
      </c>
      <c r="I16" s="57">
        <f t="shared" si="2"/>
        <v>0.9815805179033904</v>
      </c>
    </row>
    <row r="17" spans="1:10" ht="15" customHeight="1" x14ac:dyDescent="0.25">
      <c r="A17" s="164"/>
      <c r="B17" s="169" t="s">
        <v>49</v>
      </c>
      <c r="C17" s="177"/>
      <c r="D17" s="173"/>
      <c r="E17" s="80">
        <f t="shared" si="1"/>
        <v>0</v>
      </c>
      <c r="F17" s="112" t="s">
        <v>110</v>
      </c>
      <c r="G17" s="190">
        <v>199570.19199999989</v>
      </c>
      <c r="H17" s="190">
        <v>197224.22099999999</v>
      </c>
      <c r="I17" s="57">
        <f t="shared" si="2"/>
        <v>0.98824488278289624</v>
      </c>
    </row>
    <row r="18" spans="1:10" ht="15" customHeight="1" x14ac:dyDescent="0.25">
      <c r="A18" s="164"/>
      <c r="B18" s="169" t="s">
        <v>41</v>
      </c>
      <c r="C18" s="177">
        <v>170</v>
      </c>
      <c r="D18" s="173">
        <v>256.29000000000002</v>
      </c>
      <c r="E18" s="80">
        <f t="shared" si="1"/>
        <v>5.6129747780784528E-2</v>
      </c>
      <c r="F18" s="112" t="s">
        <v>111</v>
      </c>
      <c r="G18" s="190">
        <v>205343.72800000012</v>
      </c>
      <c r="H18" s="190">
        <v>198970.75799999986</v>
      </c>
      <c r="I18" s="57">
        <f t="shared" si="2"/>
        <v>0.96896437956945902</v>
      </c>
    </row>
    <row r="19" spans="1:10" ht="15" customHeight="1" x14ac:dyDescent="0.25">
      <c r="A19" s="164"/>
      <c r="B19" s="169" t="s">
        <v>45</v>
      </c>
      <c r="C19" s="177">
        <v>46</v>
      </c>
      <c r="D19" s="173">
        <v>69.22</v>
      </c>
      <c r="E19" s="80">
        <f t="shared" si="1"/>
        <v>1.5159784390284071E-2</v>
      </c>
      <c r="F19" s="112" t="s">
        <v>102</v>
      </c>
      <c r="G19" s="190">
        <v>209473.77399999995</v>
      </c>
      <c r="H19" s="190">
        <v>212393.17300000001</v>
      </c>
      <c r="I19" s="236">
        <f t="shared" si="2"/>
        <v>1.0139368234230604</v>
      </c>
    </row>
    <row r="20" spans="1:10" ht="15" customHeight="1" x14ac:dyDescent="0.25">
      <c r="A20" s="164"/>
      <c r="B20" s="169" t="s">
        <v>84</v>
      </c>
      <c r="C20" s="177">
        <v>22</v>
      </c>
      <c r="D20" s="173">
        <v>33.18</v>
      </c>
      <c r="E20" s="80">
        <f t="shared" si="1"/>
        <v>7.2667097091826853E-3</v>
      </c>
      <c r="F20" s="112" t="s">
        <v>125</v>
      </c>
      <c r="G20" s="190">
        <v>196506.86</v>
      </c>
      <c r="H20" s="190">
        <v>204590</v>
      </c>
      <c r="I20" s="236">
        <f t="shared" si="2"/>
        <v>1.0411341364876525</v>
      </c>
      <c r="J20" s="108">
        <v>-14526.736000000266</v>
      </c>
    </row>
    <row r="21" spans="1:10" ht="15" customHeight="1" x14ac:dyDescent="0.25">
      <c r="A21" s="164"/>
      <c r="B21" s="169" t="s">
        <v>85</v>
      </c>
      <c r="C21" s="177">
        <v>374</v>
      </c>
      <c r="D21" s="173">
        <v>563.66</v>
      </c>
      <c r="E21" s="80">
        <f>+D21/$D$4</f>
        <v>0.12344646156352961</v>
      </c>
      <c r="F21" s="112" t="s">
        <v>132</v>
      </c>
      <c r="G21" s="190">
        <v>219516.23899999997</v>
      </c>
      <c r="H21" s="190">
        <v>222445.37700000001</v>
      </c>
      <c r="I21" s="98">
        <f t="shared" si="2"/>
        <v>1.0133436050715139</v>
      </c>
      <c r="J21" s="108">
        <v>-11597.598000000231</v>
      </c>
    </row>
    <row r="22" spans="1:10" ht="15" customHeight="1" x14ac:dyDescent="0.25">
      <c r="A22" s="164"/>
      <c r="B22" s="169" t="s">
        <v>40</v>
      </c>
      <c r="C22" s="177"/>
      <c r="D22" s="173">
        <v>424.74</v>
      </c>
      <c r="E22" s="80">
        <f t="shared" si="1"/>
        <v>9.3021768591870224E-2</v>
      </c>
      <c r="F22" s="112" t="s">
        <v>135</v>
      </c>
      <c r="G22" s="272">
        <v>232937.965</v>
      </c>
      <c r="H22" s="272">
        <v>233567.97099999999</v>
      </c>
      <c r="I22" s="98">
        <f t="shared" si="2"/>
        <v>1.0027046084995204</v>
      </c>
      <c r="J22" s="108">
        <f>+H22-G22</f>
        <v>630.00599999999395</v>
      </c>
    </row>
    <row r="23" spans="1:10" ht="15" customHeight="1" x14ac:dyDescent="0.25">
      <c r="A23" s="164"/>
      <c r="B23" s="169" t="s">
        <v>15</v>
      </c>
      <c r="C23" s="177"/>
      <c r="D23" s="173"/>
      <c r="E23" s="80">
        <f t="shared" si="1"/>
        <v>0</v>
      </c>
      <c r="G23" s="273">
        <f>+SUM(G15:G22)</f>
        <v>1653662.5050000001</v>
      </c>
      <c r="H23" s="273">
        <f>+SUM(H15:H22)</f>
        <v>1642694.9129999997</v>
      </c>
      <c r="I23" s="274">
        <f t="shared" si="2"/>
        <v>0.99336769627004373</v>
      </c>
      <c r="J23" s="275">
        <f>+H23-G23</f>
        <v>-10967.592000000412</v>
      </c>
    </row>
    <row r="24" spans="1:10" ht="15" customHeight="1" x14ac:dyDescent="0.25">
      <c r="A24" s="164"/>
      <c r="B24" s="169" t="s">
        <v>9</v>
      </c>
      <c r="C24" s="177"/>
      <c r="D24" s="173">
        <v>31.63</v>
      </c>
      <c r="E24" s="80">
        <f t="shared" si="1"/>
        <v>6.9272461754505219E-3</v>
      </c>
      <c r="F24" s="163"/>
    </row>
    <row r="25" spans="1:10" ht="15" customHeight="1" thickBot="1" x14ac:dyDescent="0.3">
      <c r="A25" s="164"/>
      <c r="B25" s="169" t="s">
        <v>46</v>
      </c>
      <c r="C25" s="177"/>
      <c r="D25" s="173">
        <v>120.04</v>
      </c>
      <c r="E25" s="80">
        <f t="shared" si="1"/>
        <v>2.6289808122070209E-2</v>
      </c>
    </row>
    <row r="26" spans="1:10" ht="15" customHeight="1" thickBot="1" x14ac:dyDescent="0.3">
      <c r="B26" s="178" t="s">
        <v>0</v>
      </c>
      <c r="C26" s="170"/>
      <c r="D26" s="171">
        <f>SUM(D5:D25)</f>
        <v>4566.0280000000002</v>
      </c>
      <c r="E26" s="80">
        <f t="shared" si="1"/>
        <v>1</v>
      </c>
      <c r="F26" s="163"/>
    </row>
    <row r="27" spans="1:10" ht="15" customHeight="1" x14ac:dyDescent="0.25">
      <c r="B27" s="166" t="s">
        <v>1</v>
      </c>
      <c r="C27" s="167"/>
      <c r="D27" s="233">
        <v>233567.97099999999</v>
      </c>
      <c r="E27" s="98">
        <f>+D27/E3</f>
        <v>1.0173131193024176</v>
      </c>
      <c r="F27" s="163"/>
      <c r="G27" s="179"/>
    </row>
    <row r="28" spans="1:10" ht="15" customHeight="1" x14ac:dyDescent="0.25">
      <c r="D28" s="108">
        <f>+(E3/31)*31</f>
        <v>229593</v>
      </c>
      <c r="E28" s="98">
        <f>+D28/E3</f>
        <v>1</v>
      </c>
    </row>
    <row r="29" spans="1:10" ht="15" customHeight="1" x14ac:dyDescent="0.25">
      <c r="D29" s="138">
        <f>+D27-D28</f>
        <v>3974.9709999999905</v>
      </c>
      <c r="E29" s="251">
        <f>E27-E28</f>
        <v>1.7313119302417634E-2</v>
      </c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</row>
    <row r="32" spans="1:10" x14ac:dyDescent="0.25">
      <c r="B32" s="162" t="s">
        <v>61</v>
      </c>
      <c r="C32" s="162">
        <v>1835</v>
      </c>
      <c r="D32" s="108">
        <v>2142</v>
      </c>
      <c r="E32" s="57">
        <f>+C32/D32</f>
        <v>0.85667600373482722</v>
      </c>
      <c r="G32" s="86" t="s">
        <v>86</v>
      </c>
      <c r="H32" s="87">
        <v>4177</v>
      </c>
      <c r="I32" s="88">
        <v>104.42500000000001</v>
      </c>
      <c r="J32" s="228"/>
    </row>
    <row r="33" spans="1:11" ht="15" customHeight="1" x14ac:dyDescent="0.25">
      <c r="B33" s="162" t="s">
        <v>62</v>
      </c>
      <c r="C33" s="162">
        <v>1318</v>
      </c>
      <c r="D33" s="108">
        <v>1890</v>
      </c>
      <c r="E33" s="57">
        <f>+C33/D33</f>
        <v>0.69735449735449739</v>
      </c>
      <c r="G33" s="86" t="s">
        <v>171</v>
      </c>
      <c r="H33" s="87">
        <v>14</v>
      </c>
      <c r="I33" s="88">
        <v>0.35000000000000003</v>
      </c>
      <c r="J33" s="228"/>
    </row>
    <row r="34" spans="1:11" x14ac:dyDescent="0.25">
      <c r="B34" s="162" t="s">
        <v>63</v>
      </c>
      <c r="C34" s="67">
        <v>2679</v>
      </c>
      <c r="D34" s="108">
        <v>3006</v>
      </c>
      <c r="E34" s="57">
        <f>+C34/D34</f>
        <v>0.89121756487025949</v>
      </c>
      <c r="G34" s="89" t="s">
        <v>169</v>
      </c>
      <c r="H34" s="87">
        <v>118</v>
      </c>
      <c r="I34" s="88">
        <v>177</v>
      </c>
      <c r="J34" s="228">
        <v>45898</v>
      </c>
      <c r="K34" s="162">
        <v>79</v>
      </c>
    </row>
    <row r="35" spans="1:11" x14ac:dyDescent="0.25">
      <c r="C35" s="162">
        <f>+SUM(C32:C34)</f>
        <v>5832</v>
      </c>
      <c r="D35" s="110">
        <f>+SUM(D32:D34)</f>
        <v>7038</v>
      </c>
      <c r="E35" s="57">
        <f>+C35/D35</f>
        <v>0.82864450127877243</v>
      </c>
      <c r="G35" s="89" t="s">
        <v>168</v>
      </c>
      <c r="H35" s="87">
        <v>81</v>
      </c>
      <c r="I35" s="88">
        <v>121.5</v>
      </c>
      <c r="J35" s="228">
        <v>45897</v>
      </c>
      <c r="K35" s="162">
        <v>28</v>
      </c>
    </row>
    <row r="36" spans="1:11" ht="15" customHeight="1" x14ac:dyDescent="0.25">
      <c r="G36" s="231" t="s">
        <v>123</v>
      </c>
      <c r="H36" s="138">
        <v>231</v>
      </c>
      <c r="I36" s="232">
        <v>346.5</v>
      </c>
      <c r="J36" s="218" t="s">
        <v>146</v>
      </c>
    </row>
    <row r="37" spans="1:11" ht="15" customHeight="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239</v>
      </c>
      <c r="I38" s="88">
        <f>+H38*1.5</f>
        <v>358.5</v>
      </c>
      <c r="J38" s="224" t="s">
        <v>152</v>
      </c>
    </row>
    <row r="39" spans="1:11" x14ac:dyDescent="0.25">
      <c r="B39" s="73">
        <v>3</v>
      </c>
      <c r="C39" s="74">
        <v>2</v>
      </c>
      <c r="D39" s="74">
        <v>2</v>
      </c>
      <c r="E39" s="75">
        <f>+SUM(B39:D39)</f>
        <v>7</v>
      </c>
      <c r="J39" s="218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</row>
    <row r="43" spans="1:11" x14ac:dyDescent="0.25">
      <c r="A43" s="207" t="s">
        <v>71</v>
      </c>
      <c r="B43" s="199">
        <v>7.47</v>
      </c>
      <c r="C43" s="199">
        <v>1516</v>
      </c>
      <c r="D43" s="200">
        <v>3600</v>
      </c>
      <c r="E43" s="201">
        <f t="shared" si="3"/>
        <v>0.4211111111111111</v>
      </c>
      <c r="F43" s="201">
        <f t="shared" si="4"/>
        <v>0.31124999999999997</v>
      </c>
      <c r="G43" s="202">
        <v>12</v>
      </c>
      <c r="H43" s="71"/>
    </row>
    <row r="44" spans="1:11" x14ac:dyDescent="0.25">
      <c r="A44" s="207" t="s">
        <v>72</v>
      </c>
      <c r="B44" s="199">
        <v>10.61</v>
      </c>
      <c r="C44" s="199">
        <v>1962</v>
      </c>
      <c r="D44" s="200">
        <v>3900</v>
      </c>
      <c r="E44" s="201">
        <f t="shared" si="3"/>
        <v>0.50307692307692309</v>
      </c>
      <c r="F44" s="201">
        <f t="shared" si="4"/>
        <v>0.44208333333333333</v>
      </c>
      <c r="G44" s="202">
        <v>12</v>
      </c>
      <c r="H44" s="237" t="s">
        <v>167</v>
      </c>
    </row>
    <row r="45" spans="1:11" x14ac:dyDescent="0.25">
      <c r="A45" s="207" t="s">
        <v>73</v>
      </c>
      <c r="B45" s="199">
        <v>8.36</v>
      </c>
      <c r="C45" s="199">
        <v>2609</v>
      </c>
      <c r="D45" s="200">
        <v>3900</v>
      </c>
      <c r="E45" s="201">
        <f t="shared" si="3"/>
        <v>0.66897435897435897</v>
      </c>
      <c r="F45" s="201">
        <f t="shared" si="4"/>
        <v>0.34833333333333333</v>
      </c>
      <c r="G45" s="202">
        <v>12</v>
      </c>
      <c r="H45" s="279">
        <v>45899</v>
      </c>
      <c r="I45" s="162" t="s">
        <v>175</v>
      </c>
      <c r="J45" s="162">
        <v>63</v>
      </c>
      <c r="K45" s="162" t="s">
        <v>177</v>
      </c>
    </row>
    <row r="46" spans="1:11" x14ac:dyDescent="0.25">
      <c r="A46" s="207" t="s">
        <v>74</v>
      </c>
      <c r="B46" s="199">
        <v>10.78</v>
      </c>
      <c r="C46" s="199">
        <v>2665</v>
      </c>
      <c r="D46" s="200">
        <v>3900</v>
      </c>
      <c r="E46" s="201">
        <f t="shared" si="3"/>
        <v>0.68333333333333335</v>
      </c>
      <c r="F46" s="201">
        <f t="shared" si="4"/>
        <v>0.44916666666666666</v>
      </c>
      <c r="G46" s="202">
        <v>12</v>
      </c>
      <c r="H46" s="279">
        <v>45899</v>
      </c>
      <c r="I46" s="162" t="s">
        <v>176</v>
      </c>
      <c r="J46" s="162">
        <v>171</v>
      </c>
      <c r="K46" s="162" t="s">
        <v>177</v>
      </c>
    </row>
    <row r="47" spans="1:11" x14ac:dyDescent="0.25">
      <c r="A47" s="259" t="s">
        <v>75</v>
      </c>
      <c r="B47" s="260">
        <v>7.79</v>
      </c>
      <c r="C47" s="261">
        <v>2610</v>
      </c>
      <c r="D47" s="262">
        <v>4300</v>
      </c>
      <c r="E47" s="263">
        <f t="shared" si="3"/>
        <v>0.60697674418604652</v>
      </c>
      <c r="F47" s="201">
        <f t="shared" si="4"/>
        <v>0.32458333333333333</v>
      </c>
      <c r="G47" s="202">
        <v>16</v>
      </c>
      <c r="H47" s="279">
        <v>45900</v>
      </c>
      <c r="I47" s="162" t="s">
        <v>175</v>
      </c>
      <c r="J47" s="162">
        <v>225</v>
      </c>
      <c r="K47" s="162" t="s">
        <v>177</v>
      </c>
    </row>
    <row r="48" spans="1:11" x14ac:dyDescent="0.25">
      <c r="C48" s="71" t="s">
        <v>83</v>
      </c>
      <c r="D48" s="72" t="s">
        <v>79</v>
      </c>
      <c r="H48" s="279">
        <v>45900</v>
      </c>
      <c r="I48" s="162" t="s">
        <v>176</v>
      </c>
      <c r="J48" s="162">
        <v>175</v>
      </c>
      <c r="K48" s="162" t="s">
        <v>177</v>
      </c>
    </row>
    <row r="49" spans="2:11" x14ac:dyDescent="0.25">
      <c r="B49" s="162" t="s">
        <v>78</v>
      </c>
      <c r="H49" s="71"/>
      <c r="I49" s="147" t="s">
        <v>178</v>
      </c>
      <c r="J49" s="147">
        <f>+SUM(J45:J48)</f>
        <v>634</v>
      </c>
      <c r="K49" s="147" t="s">
        <v>177</v>
      </c>
    </row>
    <row r="50" spans="2:11" x14ac:dyDescent="0.25">
      <c r="C50" s="71">
        <v>1</v>
      </c>
      <c r="D50" s="225" t="s">
        <v>153</v>
      </c>
      <c r="H50" s="71"/>
      <c r="I50" s="147" t="s">
        <v>179</v>
      </c>
      <c r="J50" s="147">
        <f>+J49*1.5</f>
        <v>951</v>
      </c>
      <c r="K50" s="147" t="s">
        <v>92</v>
      </c>
    </row>
    <row r="51" spans="2:11" x14ac:dyDescent="0.25">
      <c r="C51" s="71">
        <v>2</v>
      </c>
      <c r="D51" s="225" t="s">
        <v>153</v>
      </c>
      <c r="H51" s="71"/>
    </row>
    <row r="52" spans="2:11" x14ac:dyDescent="0.25">
      <c r="C52" s="71">
        <v>3</v>
      </c>
      <c r="D52" s="225" t="s">
        <v>154</v>
      </c>
      <c r="H52" s="71"/>
    </row>
    <row r="53" spans="2:11" x14ac:dyDescent="0.25">
      <c r="C53" s="71">
        <v>4</v>
      </c>
      <c r="D53" s="108">
        <v>0</v>
      </c>
      <c r="H53" s="71"/>
    </row>
    <row r="54" spans="2:11" x14ac:dyDescent="0.25">
      <c r="C54" s="71">
        <v>5</v>
      </c>
      <c r="D54" s="108">
        <v>7</v>
      </c>
    </row>
    <row r="55" spans="2:11" x14ac:dyDescent="0.25">
      <c r="C55" s="71">
        <v>6</v>
      </c>
      <c r="D55" s="108">
        <v>7</v>
      </c>
    </row>
    <row r="56" spans="2:11" x14ac:dyDescent="0.25">
      <c r="C56" s="71">
        <v>7</v>
      </c>
      <c r="D56" s="225" t="s">
        <v>153</v>
      </c>
    </row>
    <row r="57" spans="2:11" x14ac:dyDescent="0.25">
      <c r="C57" s="71">
        <v>8</v>
      </c>
      <c r="D57" s="225" t="s">
        <v>153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38" workbookViewId="0">
      <selection activeCell="A28" sqref="A28:K57"/>
    </sheetView>
  </sheetViews>
  <sheetFormatPr baseColWidth="10" defaultColWidth="11.42578125" defaultRowHeight="15.75" x14ac:dyDescent="0.25"/>
  <cols>
    <col min="1" max="1" width="2.42578125" style="162" customWidth="1"/>
    <col min="2" max="2" width="45.42578125" style="162" customWidth="1"/>
    <col min="3" max="3" width="15.28515625" style="162" customWidth="1"/>
    <col min="4" max="4" width="15.28515625" style="163" customWidth="1"/>
    <col min="5" max="5" width="14" style="162" customWidth="1"/>
    <col min="6" max="6" width="15.42578125" style="162" customWidth="1"/>
    <col min="7" max="7" width="15.5703125" style="162" customWidth="1"/>
    <col min="8" max="8" width="12" style="162" customWidth="1"/>
    <col min="9" max="10" width="11.42578125" style="162"/>
    <col min="11" max="11" width="6.7109375" style="162" customWidth="1"/>
    <col min="12" max="16384" width="11.42578125" style="162"/>
  </cols>
  <sheetData>
    <row r="1" spans="1:10" ht="15" customHeight="1" x14ac:dyDescent="0.25">
      <c r="A1" s="161"/>
      <c r="B1" s="518">
        <v>45901</v>
      </c>
      <c r="C1" s="518"/>
      <c r="D1" s="518"/>
    </row>
    <row r="2" spans="1:10" x14ac:dyDescent="0.25">
      <c r="E2" s="61" t="s">
        <v>181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231652</v>
      </c>
      <c r="F3" s="61"/>
    </row>
    <row r="4" spans="1:10" ht="19.5" customHeight="1" thickBot="1" x14ac:dyDescent="0.4">
      <c r="A4" s="164"/>
      <c r="B4" s="277"/>
      <c r="C4" s="277"/>
      <c r="D4" s="165">
        <f>D26</f>
        <v>6082.7990000000027</v>
      </c>
      <c r="E4" s="108">
        <f>+E3/30</f>
        <v>7721.7333333333336</v>
      </c>
      <c r="F4" s="62"/>
    </row>
    <row r="5" spans="1:10" ht="15" customHeight="1" x14ac:dyDescent="0.25">
      <c r="A5" s="164"/>
      <c r="B5" s="168" t="s">
        <v>6</v>
      </c>
      <c r="C5" s="176">
        <v>2283</v>
      </c>
      <c r="D5" s="172">
        <v>97.524000000000001</v>
      </c>
      <c r="E5" s="80">
        <f>+D5/$D$4</f>
        <v>1.6032750712295436E-2</v>
      </c>
      <c r="F5" s="57"/>
      <c r="H5" s="69" t="s">
        <v>58</v>
      </c>
      <c r="I5" s="278" t="s">
        <v>59</v>
      </c>
      <c r="J5" s="69" t="s">
        <v>80</v>
      </c>
    </row>
    <row r="6" spans="1:10" ht="15" customHeight="1" x14ac:dyDescent="0.25">
      <c r="A6" s="164"/>
      <c r="B6" s="169" t="s">
        <v>10</v>
      </c>
      <c r="C6" s="177">
        <v>14320</v>
      </c>
      <c r="D6" s="173">
        <v>610.86599999999999</v>
      </c>
      <c r="E6" s="80">
        <f>+D6/$D$4</f>
        <v>0.1004251496720506</v>
      </c>
      <c r="F6" s="58" t="s">
        <v>51</v>
      </c>
      <c r="G6" s="59">
        <v>45901</v>
      </c>
      <c r="H6" s="190">
        <v>7492</v>
      </c>
      <c r="I6" s="141">
        <v>6082.7990000000027</v>
      </c>
      <c r="J6" s="60">
        <f t="shared" ref="J6:J13" si="0">+I6/H6</f>
        <v>0.81190589962626836</v>
      </c>
    </row>
    <row r="7" spans="1:10" ht="15" customHeight="1" x14ac:dyDescent="0.25">
      <c r="A7" s="164"/>
      <c r="B7" s="169" t="s">
        <v>35</v>
      </c>
      <c r="C7" s="177">
        <v>14797</v>
      </c>
      <c r="D7" s="173">
        <v>630.79</v>
      </c>
      <c r="E7" s="80">
        <f>+D7/$D$4</f>
        <v>0.10370061545679871</v>
      </c>
      <c r="F7" s="58" t="s">
        <v>52</v>
      </c>
      <c r="G7" s="59">
        <v>45902</v>
      </c>
      <c r="H7" s="190">
        <v>9391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2300</v>
      </c>
      <c r="D8" s="173">
        <v>98.227999999999994</v>
      </c>
      <c r="E8" s="80">
        <f t="shared" ref="E8:E26" si="1">+D8/$D$4</f>
        <v>1.6148486905452564E-2</v>
      </c>
      <c r="F8" s="58" t="s">
        <v>53</v>
      </c>
      <c r="G8" s="59">
        <v>45903</v>
      </c>
      <c r="H8" s="190">
        <v>10128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27841</v>
      </c>
      <c r="D9" s="173">
        <v>1188.1300000000001</v>
      </c>
      <c r="E9" s="245">
        <f t="shared" si="1"/>
        <v>0.19532619769287127</v>
      </c>
      <c r="F9" s="58" t="s">
        <v>54</v>
      </c>
      <c r="G9" s="59">
        <v>45904</v>
      </c>
      <c r="H9" s="190">
        <v>9317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34751</v>
      </c>
      <c r="D10" s="173">
        <v>1483.258</v>
      </c>
      <c r="E10" s="245">
        <f t="shared" si="1"/>
        <v>0.24384465112195872</v>
      </c>
      <c r="F10" s="58" t="s">
        <v>55</v>
      </c>
      <c r="G10" s="59">
        <v>45905</v>
      </c>
      <c r="H10" s="190">
        <v>6072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4913</v>
      </c>
      <c r="D11" s="173">
        <v>209.94800000000001</v>
      </c>
      <c r="E11" s="80">
        <f t="shared" si="1"/>
        <v>3.4515031649081269E-2</v>
      </c>
      <c r="F11" s="58" t="s">
        <v>56</v>
      </c>
      <c r="G11" s="59">
        <v>45906</v>
      </c>
      <c r="H11" s="190">
        <v>7023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/>
      <c r="D12" s="173"/>
      <c r="E12" s="80">
        <f t="shared" si="1"/>
        <v>0</v>
      </c>
      <c r="F12" s="58" t="s">
        <v>57</v>
      </c>
      <c r="G12" s="59">
        <v>45907</v>
      </c>
      <c r="H12" s="190">
        <v>4661</v>
      </c>
      <c r="I12" s="141"/>
      <c r="J12" s="60">
        <f t="shared" si="0"/>
        <v>0</v>
      </c>
    </row>
    <row r="13" spans="1:10" ht="15" customHeight="1" x14ac:dyDescent="0.25">
      <c r="A13" s="164"/>
      <c r="B13" s="169" t="s">
        <v>180</v>
      </c>
      <c r="C13" s="177">
        <v>15</v>
      </c>
      <c r="D13" s="173">
        <v>27.225000000000001</v>
      </c>
      <c r="E13" s="80">
        <f t="shared" si="1"/>
        <v>4.4757355947484031E-3</v>
      </c>
      <c r="H13" s="139">
        <f>+SUM(H6:H12)</f>
        <v>54084</v>
      </c>
      <c r="I13" s="142">
        <f>+SUM(I6:I12)</f>
        <v>6082.7990000000027</v>
      </c>
      <c r="J13" s="140">
        <f t="shared" si="0"/>
        <v>0.11246947341172996</v>
      </c>
    </row>
    <row r="14" spans="1:10" ht="15" customHeight="1" x14ac:dyDescent="0.25">
      <c r="A14" s="164"/>
      <c r="B14" s="169" t="s">
        <v>44</v>
      </c>
      <c r="C14" s="177">
        <v>68</v>
      </c>
      <c r="D14" s="173">
        <v>102.8</v>
      </c>
      <c r="E14" s="80">
        <f t="shared" si="1"/>
        <v>1.6900114568967336E-2</v>
      </c>
      <c r="F14" s="112"/>
      <c r="G14" s="113">
        <v>2024</v>
      </c>
      <c r="H14" s="113">
        <v>2025</v>
      </c>
      <c r="I14" s="71"/>
    </row>
    <row r="15" spans="1:10" ht="15" customHeight="1" x14ac:dyDescent="0.25">
      <c r="A15" s="164"/>
      <c r="B15" s="169" t="s">
        <v>39</v>
      </c>
      <c r="C15" s="177">
        <v>227</v>
      </c>
      <c r="D15" s="173">
        <v>342.41</v>
      </c>
      <c r="E15" s="80">
        <f t="shared" si="1"/>
        <v>5.6291519742802595E-2</v>
      </c>
      <c r="F15" s="112" t="s">
        <v>108</v>
      </c>
      <c r="G15" s="190">
        <v>204007.80300000001</v>
      </c>
      <c r="H15" s="190">
        <v>190629.128</v>
      </c>
      <c r="I15" s="57">
        <f t="shared" ref="I15:I22" si="2">+H15/G15</f>
        <v>0.93442076820953746</v>
      </c>
    </row>
    <row r="16" spans="1:10" ht="15" customHeight="1" x14ac:dyDescent="0.25">
      <c r="A16" s="164"/>
      <c r="B16" s="169" t="s">
        <v>43</v>
      </c>
      <c r="C16" s="177">
        <v>324</v>
      </c>
      <c r="D16" s="173">
        <v>488.97</v>
      </c>
      <c r="E16" s="80">
        <f t="shared" si="1"/>
        <v>8.038569086369611E-2</v>
      </c>
      <c r="F16" s="112" t="s">
        <v>109</v>
      </c>
      <c r="G16" s="190">
        <v>186305.94399999996</v>
      </c>
      <c r="H16" s="190">
        <v>182874.285</v>
      </c>
      <c r="I16" s="57">
        <f t="shared" si="2"/>
        <v>0.9815805179033904</v>
      </c>
    </row>
    <row r="17" spans="1:10" ht="15" customHeight="1" x14ac:dyDescent="0.25">
      <c r="A17" s="164"/>
      <c r="B17" s="169" t="s">
        <v>49</v>
      </c>
      <c r="C17" s="177"/>
      <c r="D17" s="173"/>
      <c r="E17" s="80">
        <f t="shared" si="1"/>
        <v>0</v>
      </c>
      <c r="F17" s="112" t="s">
        <v>110</v>
      </c>
      <c r="G17" s="190">
        <v>199570.19199999989</v>
      </c>
      <c r="H17" s="190">
        <v>197224.22099999999</v>
      </c>
      <c r="I17" s="57">
        <f t="shared" si="2"/>
        <v>0.98824488278289624</v>
      </c>
    </row>
    <row r="18" spans="1:10" ht="15" customHeight="1" x14ac:dyDescent="0.25">
      <c r="A18" s="164"/>
      <c r="B18" s="169" t="s">
        <v>41</v>
      </c>
      <c r="C18" s="177">
        <v>185</v>
      </c>
      <c r="D18" s="173">
        <v>278.31</v>
      </c>
      <c r="E18" s="80">
        <f t="shared" si="1"/>
        <v>4.5753607837444553E-2</v>
      </c>
      <c r="F18" s="112" t="s">
        <v>111</v>
      </c>
      <c r="G18" s="190">
        <v>205343.72800000012</v>
      </c>
      <c r="H18" s="190">
        <v>198970.75799999986</v>
      </c>
      <c r="I18" s="57">
        <f t="shared" si="2"/>
        <v>0.96896437956945902</v>
      </c>
    </row>
    <row r="19" spans="1:10" ht="15" customHeight="1" x14ac:dyDescent="0.25">
      <c r="A19" s="164"/>
      <c r="B19" s="169" t="s">
        <v>45</v>
      </c>
      <c r="C19" s="177">
        <v>44</v>
      </c>
      <c r="D19" s="173">
        <v>66.27</v>
      </c>
      <c r="E19" s="80">
        <f t="shared" si="1"/>
        <v>1.0894655568924761E-2</v>
      </c>
      <c r="F19" s="112" t="s">
        <v>102</v>
      </c>
      <c r="G19" s="190">
        <v>209473.77399999995</v>
      </c>
      <c r="H19" s="190">
        <v>212393.17300000001</v>
      </c>
      <c r="I19" s="236">
        <f t="shared" si="2"/>
        <v>1.0139368234230604</v>
      </c>
    </row>
    <row r="20" spans="1:10" ht="15" customHeight="1" x14ac:dyDescent="0.25">
      <c r="A20" s="164"/>
      <c r="B20" s="169" t="s">
        <v>88</v>
      </c>
      <c r="C20" s="177">
        <v>20</v>
      </c>
      <c r="D20" s="173">
        <v>30.67</v>
      </c>
      <c r="E20" s="80">
        <f t="shared" si="1"/>
        <v>5.0420867104107809E-3</v>
      </c>
      <c r="F20" s="112" t="s">
        <v>125</v>
      </c>
      <c r="G20" s="190">
        <v>196506.86</v>
      </c>
      <c r="H20" s="190">
        <v>204590</v>
      </c>
      <c r="I20" s="236">
        <f t="shared" si="2"/>
        <v>1.0411341364876525</v>
      </c>
      <c r="J20" s="108">
        <v>-14526.736000000266</v>
      </c>
    </row>
    <row r="21" spans="1:10" ht="15" customHeight="1" x14ac:dyDescent="0.25">
      <c r="A21" s="164"/>
      <c r="B21" s="169" t="s">
        <v>85</v>
      </c>
      <c r="C21" s="177">
        <v>23</v>
      </c>
      <c r="D21" s="173">
        <v>34.770000000000003</v>
      </c>
      <c r="E21" s="80">
        <f>+D21/$D$4</f>
        <v>5.716118517149751E-3</v>
      </c>
      <c r="F21" s="112" t="s">
        <v>132</v>
      </c>
      <c r="G21" s="190">
        <v>219516.23899999997</v>
      </c>
      <c r="H21" s="190">
        <v>222445.37700000001</v>
      </c>
      <c r="I21" s="98">
        <f t="shared" si="2"/>
        <v>1.0133436050715139</v>
      </c>
      <c r="J21" s="108">
        <v>-11597.598000000231</v>
      </c>
    </row>
    <row r="22" spans="1:10" ht="15" customHeight="1" x14ac:dyDescent="0.25">
      <c r="A22" s="164"/>
      <c r="B22" s="169" t="s">
        <v>40</v>
      </c>
      <c r="C22" s="177"/>
      <c r="D22" s="173">
        <v>242.59</v>
      </c>
      <c r="E22" s="80">
        <f t="shared" si="1"/>
        <v>3.9881311218733333E-2</v>
      </c>
      <c r="F22" s="112" t="s">
        <v>135</v>
      </c>
      <c r="G22" s="272">
        <v>232937.965</v>
      </c>
      <c r="H22" s="272">
        <v>233567.97099999999</v>
      </c>
      <c r="I22" s="98">
        <f t="shared" si="2"/>
        <v>1.0027046084995204</v>
      </c>
      <c r="J22" s="108">
        <f>+H22-G22</f>
        <v>630.00599999999395</v>
      </c>
    </row>
    <row r="23" spans="1:10" ht="15" customHeight="1" x14ac:dyDescent="0.25">
      <c r="A23" s="164"/>
      <c r="B23" s="169" t="s">
        <v>15</v>
      </c>
      <c r="C23" s="177"/>
      <c r="D23" s="173"/>
      <c r="E23" s="80">
        <f t="shared" si="1"/>
        <v>0</v>
      </c>
      <c r="F23" s="112" t="s">
        <v>160</v>
      </c>
      <c r="G23" s="112"/>
      <c r="H23" s="112"/>
    </row>
    <row r="24" spans="1:10" ht="15" customHeight="1" x14ac:dyDescent="0.25">
      <c r="A24" s="164"/>
      <c r="B24" s="169" t="s">
        <v>9</v>
      </c>
      <c r="C24" s="177"/>
      <c r="D24" s="173">
        <v>91.92</v>
      </c>
      <c r="E24" s="80">
        <f t="shared" si="1"/>
        <v>1.5111464311084413E-2</v>
      </c>
      <c r="F24" s="112" t="s">
        <v>161</v>
      </c>
      <c r="G24" s="112"/>
      <c r="H24" s="112"/>
    </row>
    <row r="25" spans="1:10" ht="15" customHeight="1" thickBot="1" x14ac:dyDescent="0.3">
      <c r="A25" s="164"/>
      <c r="B25" s="169" t="s">
        <v>46</v>
      </c>
      <c r="C25" s="177"/>
      <c r="D25" s="173">
        <v>58.12</v>
      </c>
      <c r="E25" s="80">
        <f t="shared" si="1"/>
        <v>9.5548118555290034E-3</v>
      </c>
      <c r="G25" s="273">
        <f>+SUM(G15:G22)</f>
        <v>1653662.5050000001</v>
      </c>
      <c r="H25" s="273">
        <f>+SUM(H15:H22)</f>
        <v>1642694.9129999997</v>
      </c>
      <c r="I25" s="274">
        <f>+H25/G25</f>
        <v>0.99336769627004373</v>
      </c>
      <c r="J25" s="275">
        <f>+H25-G25</f>
        <v>-10967.592000000412</v>
      </c>
    </row>
    <row r="26" spans="1:10" ht="15" customHeight="1" thickBot="1" x14ac:dyDescent="0.3">
      <c r="B26" s="178" t="s">
        <v>0</v>
      </c>
      <c r="C26" s="170"/>
      <c r="D26" s="171">
        <f>SUM(D5:D25)</f>
        <v>6082.7990000000027</v>
      </c>
      <c r="E26" s="80">
        <f t="shared" si="1"/>
        <v>1</v>
      </c>
      <c r="F26" s="163"/>
    </row>
    <row r="27" spans="1:10" ht="15" customHeight="1" x14ac:dyDescent="0.25">
      <c r="B27" s="166" t="s">
        <v>1</v>
      </c>
      <c r="C27" s="167"/>
      <c r="D27" s="233">
        <v>6082.799</v>
      </c>
      <c r="E27" s="98">
        <f>+D27/E3</f>
        <v>2.625834872999154E-2</v>
      </c>
      <c r="F27" s="163"/>
      <c r="G27" s="179"/>
    </row>
    <row r="28" spans="1:10" x14ac:dyDescent="0.25">
      <c r="D28" s="108">
        <f>+(E3/30)*1</f>
        <v>7721.7333333333336</v>
      </c>
      <c r="E28" s="98">
        <f>+D28/E3</f>
        <v>3.3333333333333333E-2</v>
      </c>
    </row>
    <row r="29" spans="1:10" ht="15" customHeight="1" x14ac:dyDescent="0.25">
      <c r="D29" s="138">
        <f>+D27-D28</f>
        <v>-1638.9343333333336</v>
      </c>
      <c r="E29" s="251">
        <f>E27-E28</f>
        <v>-7.0749846033417926E-3</v>
      </c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</row>
    <row r="32" spans="1:10" ht="15" customHeight="1" x14ac:dyDescent="0.25">
      <c r="B32" s="162" t="s">
        <v>61</v>
      </c>
      <c r="C32" s="162">
        <v>1160</v>
      </c>
      <c r="D32" s="108">
        <v>2142</v>
      </c>
      <c r="E32" s="57">
        <f>+C32/D32</f>
        <v>0.54154995331465916</v>
      </c>
      <c r="G32" s="86" t="s">
        <v>86</v>
      </c>
      <c r="H32" s="87">
        <v>3097</v>
      </c>
      <c r="I32" s="88">
        <v>77.425000000000011</v>
      </c>
      <c r="J32" s="228"/>
    </row>
    <row r="33" spans="1:11" ht="15" customHeight="1" x14ac:dyDescent="0.25">
      <c r="B33" s="162" t="s">
        <v>62</v>
      </c>
      <c r="C33" s="162">
        <v>1219</v>
      </c>
      <c r="D33" s="108">
        <v>1890</v>
      </c>
      <c r="E33" s="57">
        <f>+C33/D33</f>
        <v>0.64497354497354498</v>
      </c>
      <c r="G33" s="86" t="s">
        <v>171</v>
      </c>
      <c r="H33" s="87">
        <v>14</v>
      </c>
      <c r="I33" s="88">
        <v>0.35000000000000003</v>
      </c>
      <c r="J33" s="228"/>
    </row>
    <row r="34" spans="1:11" x14ac:dyDescent="0.25">
      <c r="B34" s="162" t="s">
        <v>63</v>
      </c>
      <c r="C34" s="67">
        <v>1741</v>
      </c>
      <c r="D34" s="108">
        <v>3006</v>
      </c>
      <c r="E34" s="57">
        <f>+C34/D34</f>
        <v>0.57917498336660012</v>
      </c>
      <c r="G34" s="89" t="s">
        <v>169</v>
      </c>
      <c r="H34" s="87">
        <v>98</v>
      </c>
      <c r="I34" s="88">
        <v>147</v>
      </c>
      <c r="J34" s="228"/>
    </row>
    <row r="35" spans="1:11" x14ac:dyDescent="0.25">
      <c r="C35" s="162">
        <f>+SUM(C32:C34)</f>
        <v>4120</v>
      </c>
      <c r="D35" s="110">
        <f>+SUM(D32:D34)</f>
        <v>7038</v>
      </c>
      <c r="E35" s="57">
        <f>+C35/D35</f>
        <v>0.58539357772094347</v>
      </c>
      <c r="G35" s="89" t="s">
        <v>168</v>
      </c>
      <c r="H35" s="87">
        <v>81</v>
      </c>
      <c r="I35" s="88">
        <v>121.5</v>
      </c>
      <c r="J35" s="228"/>
    </row>
    <row r="36" spans="1:11" x14ac:dyDescent="0.25">
      <c r="G36" s="231" t="s">
        <v>123</v>
      </c>
      <c r="H36" s="138">
        <v>231</v>
      </c>
      <c r="I36" s="232">
        <v>346.5</v>
      </c>
      <c r="J36" s="218" t="s">
        <v>146</v>
      </c>
    </row>
    <row r="37" spans="1:1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239</v>
      </c>
      <c r="I38" s="88">
        <f>+H38*1.5</f>
        <v>358.5</v>
      </c>
      <c r="J38" s="224" t="s">
        <v>152</v>
      </c>
    </row>
    <row r="39" spans="1:11" x14ac:dyDescent="0.25">
      <c r="B39" s="73">
        <v>9</v>
      </c>
      <c r="C39" s="74">
        <v>2</v>
      </c>
      <c r="D39" s="74">
        <v>14</v>
      </c>
      <c r="E39" s="75">
        <f>+SUM(B39:D39)</f>
        <v>25</v>
      </c>
      <c r="J39" s="218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</row>
    <row r="43" spans="1:11" x14ac:dyDescent="0.25">
      <c r="A43" s="207" t="s">
        <v>71</v>
      </c>
      <c r="B43" s="199">
        <v>6.7</v>
      </c>
      <c r="C43" s="199">
        <v>1361</v>
      </c>
      <c r="D43" s="200">
        <v>3600</v>
      </c>
      <c r="E43" s="201">
        <f t="shared" si="3"/>
        <v>0.37805555555555553</v>
      </c>
      <c r="F43" s="201">
        <f t="shared" si="4"/>
        <v>0.27916666666666667</v>
      </c>
      <c r="G43" s="202">
        <v>12</v>
      </c>
      <c r="H43" s="71"/>
    </row>
    <row r="44" spans="1:11" x14ac:dyDescent="0.25">
      <c r="A44" s="207" t="s">
        <v>72</v>
      </c>
      <c r="B44" s="199">
        <v>6.67</v>
      </c>
      <c r="C44" s="199">
        <v>1532</v>
      </c>
      <c r="D44" s="200">
        <v>3900</v>
      </c>
      <c r="E44" s="201">
        <f t="shared" si="3"/>
        <v>0.39282051282051283</v>
      </c>
      <c r="F44" s="201">
        <f t="shared" si="4"/>
        <v>0.27791666666666665</v>
      </c>
      <c r="G44" s="202">
        <v>12</v>
      </c>
      <c r="H44" s="237" t="s">
        <v>167</v>
      </c>
    </row>
    <row r="45" spans="1:11" x14ac:dyDescent="0.25">
      <c r="A45" s="207" t="s">
        <v>73</v>
      </c>
      <c r="B45" s="199">
        <v>8.5399999999999991</v>
      </c>
      <c r="C45" s="199">
        <v>2764</v>
      </c>
      <c r="D45" s="200">
        <v>3900</v>
      </c>
      <c r="E45" s="201">
        <f t="shared" si="3"/>
        <v>0.70871794871794869</v>
      </c>
      <c r="F45" s="201">
        <f t="shared" si="4"/>
        <v>0.35583333333333328</v>
      </c>
      <c r="G45" s="202">
        <v>12</v>
      </c>
      <c r="H45" s="279">
        <v>45899</v>
      </c>
      <c r="I45" s="162" t="s">
        <v>175</v>
      </c>
      <c r="J45" s="162">
        <v>63</v>
      </c>
      <c r="K45" s="162" t="s">
        <v>177</v>
      </c>
    </row>
    <row r="46" spans="1:11" x14ac:dyDescent="0.25">
      <c r="A46" s="207" t="s">
        <v>74</v>
      </c>
      <c r="B46" s="199">
        <v>3.35</v>
      </c>
      <c r="C46" s="199">
        <v>2669</v>
      </c>
      <c r="D46" s="200">
        <v>3900</v>
      </c>
      <c r="E46" s="201">
        <f t="shared" si="3"/>
        <v>0.6843589743589743</v>
      </c>
      <c r="F46" s="201">
        <f t="shared" si="4"/>
        <v>0.13958333333333334</v>
      </c>
      <c r="G46" s="202">
        <v>12</v>
      </c>
      <c r="H46" s="279">
        <v>45899</v>
      </c>
      <c r="I46" s="162" t="s">
        <v>176</v>
      </c>
      <c r="J46" s="162">
        <v>171</v>
      </c>
      <c r="K46" s="162" t="s">
        <v>177</v>
      </c>
    </row>
    <row r="47" spans="1:11" x14ac:dyDescent="0.25">
      <c r="A47" s="259" t="s">
        <v>75</v>
      </c>
      <c r="B47" s="260">
        <v>7.92</v>
      </c>
      <c r="C47" s="261">
        <v>2754</v>
      </c>
      <c r="D47" s="262">
        <v>4300</v>
      </c>
      <c r="E47" s="263">
        <f t="shared" si="3"/>
        <v>0.64046511627906977</v>
      </c>
      <c r="F47" s="201">
        <f t="shared" si="4"/>
        <v>0.33</v>
      </c>
      <c r="G47" s="202">
        <v>16</v>
      </c>
      <c r="H47" s="279">
        <v>45900</v>
      </c>
      <c r="I47" s="162" t="s">
        <v>175</v>
      </c>
      <c r="J47" s="162">
        <v>225</v>
      </c>
      <c r="K47" s="162" t="s">
        <v>177</v>
      </c>
    </row>
    <row r="48" spans="1:11" x14ac:dyDescent="0.25">
      <c r="C48" s="71" t="s">
        <v>83</v>
      </c>
      <c r="D48" s="72" t="s">
        <v>79</v>
      </c>
      <c r="H48" s="279">
        <v>45900</v>
      </c>
      <c r="I48" s="162" t="s">
        <v>176</v>
      </c>
      <c r="J48" s="162">
        <v>175</v>
      </c>
      <c r="K48" s="162" t="s">
        <v>177</v>
      </c>
    </row>
    <row r="49" spans="2:11" x14ac:dyDescent="0.25">
      <c r="B49" s="162" t="s">
        <v>78</v>
      </c>
      <c r="H49" s="71"/>
      <c r="I49" s="147" t="s">
        <v>178</v>
      </c>
      <c r="J49" s="147">
        <f>+SUM(J45:J48)</f>
        <v>634</v>
      </c>
      <c r="K49" s="147" t="s">
        <v>177</v>
      </c>
    </row>
    <row r="50" spans="2:11" x14ac:dyDescent="0.25">
      <c r="C50" s="71">
        <v>1</v>
      </c>
      <c r="D50" s="225" t="s">
        <v>153</v>
      </c>
      <c r="H50" s="71"/>
      <c r="I50" s="147" t="s">
        <v>179</v>
      </c>
      <c r="J50" s="147">
        <f>+J49*1.5</f>
        <v>951</v>
      </c>
      <c r="K50" s="147" t="s">
        <v>92</v>
      </c>
    </row>
    <row r="51" spans="2:11" x14ac:dyDescent="0.25">
      <c r="C51" s="71">
        <v>2</v>
      </c>
      <c r="D51" s="225" t="s">
        <v>153</v>
      </c>
      <c r="H51" s="71"/>
    </row>
    <row r="52" spans="2:11" x14ac:dyDescent="0.25">
      <c r="C52" s="71">
        <v>3</v>
      </c>
      <c r="D52" s="225" t="s">
        <v>154</v>
      </c>
      <c r="H52" s="71"/>
    </row>
    <row r="53" spans="2:11" x14ac:dyDescent="0.25">
      <c r="C53" s="71">
        <v>4</v>
      </c>
      <c r="D53" s="108">
        <v>0</v>
      </c>
      <c r="H53" s="71"/>
    </row>
    <row r="54" spans="2:11" x14ac:dyDescent="0.25">
      <c r="C54" s="71">
        <v>5</v>
      </c>
      <c r="D54" s="108">
        <v>3</v>
      </c>
    </row>
    <row r="55" spans="2:11" x14ac:dyDescent="0.25">
      <c r="C55" s="71">
        <v>6</v>
      </c>
      <c r="D55" s="108">
        <v>3</v>
      </c>
    </row>
    <row r="56" spans="2:11" x14ac:dyDescent="0.25">
      <c r="C56" s="71">
        <v>7</v>
      </c>
      <c r="D56" s="225" t="s">
        <v>153</v>
      </c>
    </row>
    <row r="57" spans="2:11" x14ac:dyDescent="0.25">
      <c r="C57" s="71">
        <v>8</v>
      </c>
      <c r="D57" s="225" t="s">
        <v>153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40" workbookViewId="0">
      <selection activeCell="A28" sqref="A28:K57"/>
    </sheetView>
  </sheetViews>
  <sheetFormatPr baseColWidth="10" defaultColWidth="11.42578125" defaultRowHeight="15.75" x14ac:dyDescent="0.25"/>
  <cols>
    <col min="1" max="1" width="2.42578125" style="162" customWidth="1"/>
    <col min="2" max="2" width="45.85546875" style="162" customWidth="1"/>
    <col min="3" max="3" width="15.28515625" style="162" customWidth="1"/>
    <col min="4" max="4" width="15.28515625" style="163" customWidth="1"/>
    <col min="5" max="5" width="14" style="162" customWidth="1"/>
    <col min="6" max="6" width="15.42578125" style="162" customWidth="1"/>
    <col min="7" max="7" width="15.5703125" style="162" customWidth="1"/>
    <col min="8" max="10" width="11.42578125" style="162"/>
    <col min="11" max="11" width="5" style="162" customWidth="1"/>
    <col min="12" max="16384" width="11.42578125" style="162"/>
  </cols>
  <sheetData>
    <row r="1" spans="1:10" ht="15" customHeight="1" x14ac:dyDescent="0.25">
      <c r="A1" s="161"/>
      <c r="B1" s="518">
        <v>45902</v>
      </c>
      <c r="C1" s="518"/>
      <c r="D1" s="518"/>
    </row>
    <row r="2" spans="1:10" x14ac:dyDescent="0.25">
      <c r="E2" s="61" t="s">
        <v>181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231652</v>
      </c>
      <c r="F3" s="61"/>
    </row>
    <row r="4" spans="1:10" ht="19.5" customHeight="1" thickBot="1" x14ac:dyDescent="0.4">
      <c r="A4" s="164"/>
      <c r="B4" s="280"/>
      <c r="C4" s="280"/>
      <c r="D4" s="165">
        <f>D26</f>
        <v>9195.6810000000023</v>
      </c>
      <c r="E4" s="108">
        <f>+E3/30</f>
        <v>7721.7333333333336</v>
      </c>
      <c r="F4" s="62"/>
    </row>
    <row r="5" spans="1:10" ht="15" customHeight="1" x14ac:dyDescent="0.25">
      <c r="A5" s="164"/>
      <c r="B5" s="168" t="s">
        <v>6</v>
      </c>
      <c r="C5" s="176">
        <v>4620</v>
      </c>
      <c r="D5" s="172">
        <v>197.37799999999999</v>
      </c>
      <c r="E5" s="80">
        <f>+D5/$D$4</f>
        <v>2.1464206946717697E-2</v>
      </c>
      <c r="F5" s="57"/>
      <c r="H5" s="69" t="s">
        <v>58</v>
      </c>
      <c r="I5" s="278" t="s">
        <v>59</v>
      </c>
      <c r="J5" s="69" t="s">
        <v>80</v>
      </c>
    </row>
    <row r="6" spans="1:10" ht="15" customHeight="1" x14ac:dyDescent="0.25">
      <c r="A6" s="164"/>
      <c r="B6" s="169" t="s">
        <v>10</v>
      </c>
      <c r="C6" s="177">
        <v>17544</v>
      </c>
      <c r="D6" s="173">
        <v>748.23099999999999</v>
      </c>
      <c r="E6" s="80">
        <f>+D6/$D$4</f>
        <v>8.1367655098083524E-2</v>
      </c>
      <c r="F6" s="58" t="s">
        <v>51</v>
      </c>
      <c r="G6" s="59">
        <v>45901</v>
      </c>
      <c r="H6" s="190">
        <v>7492</v>
      </c>
      <c r="I6" s="141">
        <v>6082.7990000000027</v>
      </c>
      <c r="J6" s="60">
        <f t="shared" ref="J6:J13" si="0">+I6/H6</f>
        <v>0.81190589962626836</v>
      </c>
    </row>
    <row r="7" spans="1:10" ht="15" customHeight="1" x14ac:dyDescent="0.25">
      <c r="A7" s="164"/>
      <c r="B7" s="169" t="s">
        <v>35</v>
      </c>
      <c r="C7" s="177">
        <v>24329</v>
      </c>
      <c r="D7" s="173">
        <v>1037.2639999999999</v>
      </c>
      <c r="E7" s="80">
        <f>+D7/$D$4</f>
        <v>0.11279904120205993</v>
      </c>
      <c r="F7" s="58" t="s">
        <v>52</v>
      </c>
      <c r="G7" s="59">
        <v>45902</v>
      </c>
      <c r="H7" s="190">
        <v>9391</v>
      </c>
      <c r="I7" s="141">
        <v>9195.6810000000023</v>
      </c>
      <c r="J7" s="60">
        <f t="shared" si="0"/>
        <v>0.9792014694920671</v>
      </c>
    </row>
    <row r="8" spans="1:10" ht="15" customHeight="1" x14ac:dyDescent="0.25">
      <c r="A8" s="164"/>
      <c r="B8" s="169" t="s">
        <v>4</v>
      </c>
      <c r="C8" s="177">
        <v>3280</v>
      </c>
      <c r="D8" s="173">
        <v>140.01</v>
      </c>
      <c r="E8" s="80">
        <f t="shared" ref="E8:E26" si="1">+D8/$D$4</f>
        <v>1.5225626030307049E-2</v>
      </c>
      <c r="F8" s="58" t="s">
        <v>53</v>
      </c>
      <c r="G8" s="59">
        <v>45903</v>
      </c>
      <c r="H8" s="190">
        <v>10128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37703</v>
      </c>
      <c r="D9" s="173">
        <v>1608.14</v>
      </c>
      <c r="E9" s="245">
        <f t="shared" si="1"/>
        <v>0.17487992460808499</v>
      </c>
      <c r="F9" s="58" t="s">
        <v>54</v>
      </c>
      <c r="G9" s="59">
        <v>45904</v>
      </c>
      <c r="H9" s="190">
        <v>9317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46611</v>
      </c>
      <c r="D10" s="173">
        <v>1986.4860000000001</v>
      </c>
      <c r="E10" s="245">
        <f t="shared" si="1"/>
        <v>0.21602380508849747</v>
      </c>
      <c r="F10" s="58" t="s">
        <v>55</v>
      </c>
      <c r="G10" s="59">
        <v>45905</v>
      </c>
      <c r="H10" s="190">
        <v>6072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11111</v>
      </c>
      <c r="D11" s="173">
        <v>474.24200000000002</v>
      </c>
      <c r="E11" s="80">
        <f t="shared" si="1"/>
        <v>5.1572254409434158E-2</v>
      </c>
      <c r="F11" s="58" t="s">
        <v>56</v>
      </c>
      <c r="G11" s="59">
        <v>45906</v>
      </c>
      <c r="H11" s="190">
        <v>7023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/>
      <c r="D12" s="173"/>
      <c r="E12" s="80">
        <f t="shared" si="1"/>
        <v>0</v>
      </c>
      <c r="F12" s="58" t="s">
        <v>57</v>
      </c>
      <c r="G12" s="59">
        <v>45907</v>
      </c>
      <c r="H12" s="190">
        <v>4661</v>
      </c>
      <c r="I12" s="141"/>
      <c r="J12" s="60">
        <f t="shared" si="0"/>
        <v>0</v>
      </c>
    </row>
    <row r="13" spans="1:10" ht="15" customHeight="1" x14ac:dyDescent="0.25">
      <c r="A13" s="164"/>
      <c r="B13" s="169" t="s">
        <v>84</v>
      </c>
      <c r="C13" s="177">
        <v>66</v>
      </c>
      <c r="D13" s="173">
        <v>99.52</v>
      </c>
      <c r="E13" s="80">
        <f t="shared" si="1"/>
        <v>1.082247198440224E-2</v>
      </c>
      <c r="H13" s="139">
        <f>+SUM(H6:H12)</f>
        <v>54084</v>
      </c>
      <c r="I13" s="142">
        <f>+SUM(I6:I12)</f>
        <v>15278.480000000005</v>
      </c>
      <c r="J13" s="140">
        <f t="shared" si="0"/>
        <v>0.28249537756083137</v>
      </c>
    </row>
    <row r="14" spans="1:10" ht="15" customHeight="1" x14ac:dyDescent="0.25">
      <c r="A14" s="164"/>
      <c r="B14" s="169" t="s">
        <v>44</v>
      </c>
      <c r="C14" s="177">
        <v>78</v>
      </c>
      <c r="D14" s="173">
        <v>117.48</v>
      </c>
      <c r="E14" s="80">
        <f t="shared" si="1"/>
        <v>1.2775562788661326E-2</v>
      </c>
      <c r="F14" s="112"/>
      <c r="G14" s="113">
        <v>2024</v>
      </c>
      <c r="H14" s="113">
        <v>2025</v>
      </c>
      <c r="I14" s="71"/>
    </row>
    <row r="15" spans="1:10" ht="15" customHeight="1" x14ac:dyDescent="0.25">
      <c r="A15" s="164"/>
      <c r="B15" s="169" t="s">
        <v>39</v>
      </c>
      <c r="C15" s="177">
        <v>794</v>
      </c>
      <c r="D15" s="173">
        <v>1200.43</v>
      </c>
      <c r="E15" s="80">
        <f t="shared" si="1"/>
        <v>0.13054280591073134</v>
      </c>
      <c r="F15" s="112" t="s">
        <v>108</v>
      </c>
      <c r="G15" s="190">
        <v>204007.80300000001</v>
      </c>
      <c r="H15" s="190">
        <v>190629.128</v>
      </c>
      <c r="I15" s="57">
        <f t="shared" ref="I15:I23" si="2">+H15/G15</f>
        <v>0.93442076820953746</v>
      </c>
    </row>
    <row r="16" spans="1:10" ht="15" customHeight="1" x14ac:dyDescent="0.25">
      <c r="A16" s="164"/>
      <c r="B16" s="169" t="s">
        <v>43</v>
      </c>
      <c r="C16" s="177">
        <v>161</v>
      </c>
      <c r="D16" s="173">
        <v>242.77</v>
      </c>
      <c r="E16" s="80">
        <f t="shared" si="1"/>
        <v>2.6400437335744896E-2</v>
      </c>
      <c r="F16" s="112" t="s">
        <v>109</v>
      </c>
      <c r="G16" s="190">
        <v>186305.94399999996</v>
      </c>
      <c r="H16" s="190">
        <v>182874.285</v>
      </c>
      <c r="I16" s="57">
        <f t="shared" si="2"/>
        <v>0.9815805179033904</v>
      </c>
    </row>
    <row r="17" spans="1:10" ht="15" customHeight="1" x14ac:dyDescent="0.25">
      <c r="A17" s="164"/>
      <c r="B17" s="169" t="s">
        <v>49</v>
      </c>
      <c r="C17" s="177">
        <v>40</v>
      </c>
      <c r="D17" s="173">
        <v>60.17</v>
      </c>
      <c r="E17" s="80">
        <f t="shared" si="1"/>
        <v>6.5432891810840313E-3</v>
      </c>
      <c r="F17" s="112" t="s">
        <v>110</v>
      </c>
      <c r="G17" s="190">
        <v>199570.19199999989</v>
      </c>
      <c r="H17" s="190">
        <v>197224.22099999999</v>
      </c>
      <c r="I17" s="57">
        <f t="shared" si="2"/>
        <v>0.98824488278289624</v>
      </c>
    </row>
    <row r="18" spans="1:10" ht="15" customHeight="1" x14ac:dyDescent="0.25">
      <c r="A18" s="164"/>
      <c r="B18" s="169" t="s">
        <v>41</v>
      </c>
      <c r="C18" s="177">
        <v>211</v>
      </c>
      <c r="D18" s="173">
        <v>317.45</v>
      </c>
      <c r="E18" s="80">
        <f t="shared" si="1"/>
        <v>3.4521641192207506E-2</v>
      </c>
      <c r="F18" s="112" t="s">
        <v>111</v>
      </c>
      <c r="G18" s="190">
        <v>205343.72800000012</v>
      </c>
      <c r="H18" s="190">
        <v>198970.75799999986</v>
      </c>
      <c r="I18" s="57">
        <f t="shared" si="2"/>
        <v>0.96896437956945902</v>
      </c>
    </row>
    <row r="19" spans="1:10" ht="15" customHeight="1" x14ac:dyDescent="0.25">
      <c r="A19" s="164"/>
      <c r="B19" s="169" t="s">
        <v>45</v>
      </c>
      <c r="C19" s="177">
        <v>135</v>
      </c>
      <c r="D19" s="173">
        <v>202.97</v>
      </c>
      <c r="E19" s="80">
        <f t="shared" si="1"/>
        <v>2.2072318515616186E-2</v>
      </c>
      <c r="F19" s="112" t="s">
        <v>102</v>
      </c>
      <c r="G19" s="190">
        <v>209473.77399999995</v>
      </c>
      <c r="H19" s="190">
        <v>212393.17300000001</v>
      </c>
      <c r="I19" s="236">
        <f t="shared" si="2"/>
        <v>1.0139368234230604</v>
      </c>
    </row>
    <row r="20" spans="1:10" ht="15" customHeight="1" x14ac:dyDescent="0.25">
      <c r="A20" s="164"/>
      <c r="B20" s="169" t="s">
        <v>88</v>
      </c>
      <c r="C20" s="177">
        <v>20</v>
      </c>
      <c r="D20" s="173">
        <v>30.57</v>
      </c>
      <c r="E20" s="80">
        <f t="shared" si="1"/>
        <v>3.324386741993333E-3</v>
      </c>
      <c r="F20" s="112" t="s">
        <v>125</v>
      </c>
      <c r="G20" s="190">
        <v>196506.86</v>
      </c>
      <c r="H20" s="190">
        <v>204590</v>
      </c>
      <c r="I20" s="236">
        <f t="shared" si="2"/>
        <v>1.0411341364876525</v>
      </c>
      <c r="J20" s="108">
        <v>-14526.736000000266</v>
      </c>
    </row>
    <row r="21" spans="1:10" ht="15" customHeight="1" x14ac:dyDescent="0.25">
      <c r="A21" s="164"/>
      <c r="B21" s="169" t="s">
        <v>85</v>
      </c>
      <c r="C21" s="177">
        <v>22</v>
      </c>
      <c r="D21" s="173">
        <v>33.18</v>
      </c>
      <c r="E21" s="80">
        <f>+D21/$D$4</f>
        <v>3.6082156394942355E-3</v>
      </c>
      <c r="F21" s="112" t="s">
        <v>132</v>
      </c>
      <c r="G21" s="190">
        <v>219516.23899999997</v>
      </c>
      <c r="H21" s="190">
        <v>222445.37700000001</v>
      </c>
      <c r="I21" s="98">
        <f t="shared" si="2"/>
        <v>1.0133436050715139</v>
      </c>
      <c r="J21" s="108">
        <v>-11597.598000000231</v>
      </c>
    </row>
    <row r="22" spans="1:10" ht="15" customHeight="1" x14ac:dyDescent="0.25">
      <c r="A22" s="164"/>
      <c r="B22" s="169" t="s">
        <v>40</v>
      </c>
      <c r="C22" s="177"/>
      <c r="D22" s="173">
        <v>458.73</v>
      </c>
      <c r="E22" s="80">
        <f t="shared" si="1"/>
        <v>4.9885375536624192E-2</v>
      </c>
      <c r="F22" s="112" t="s">
        <v>135</v>
      </c>
      <c r="G22" s="272">
        <v>232937.965</v>
      </c>
      <c r="H22" s="272">
        <v>233567.97099999999</v>
      </c>
      <c r="I22" s="98">
        <f t="shared" si="2"/>
        <v>1.0027046084995204</v>
      </c>
      <c r="J22" s="108">
        <v>-10967.592000000412</v>
      </c>
    </row>
    <row r="23" spans="1:10" ht="15" customHeight="1" x14ac:dyDescent="0.25">
      <c r="A23" s="164"/>
      <c r="B23" s="169" t="s">
        <v>15</v>
      </c>
      <c r="C23" s="177"/>
      <c r="D23" s="173"/>
      <c r="E23" s="80">
        <f t="shared" si="1"/>
        <v>0</v>
      </c>
      <c r="F23" s="112" t="s">
        <v>160</v>
      </c>
      <c r="G23" s="272">
        <v>231021.16800000001</v>
      </c>
      <c r="H23" s="272">
        <f>+D27</f>
        <v>15278.48</v>
      </c>
      <c r="I23" s="98">
        <f t="shared" si="2"/>
        <v>6.613454573132449E-2</v>
      </c>
    </row>
    <row r="24" spans="1:10" ht="15" customHeight="1" x14ac:dyDescent="0.25">
      <c r="A24" s="164"/>
      <c r="B24" s="169" t="s">
        <v>9</v>
      </c>
      <c r="C24" s="177"/>
      <c r="D24" s="173">
        <v>151.29</v>
      </c>
      <c r="E24" s="80">
        <f t="shared" si="1"/>
        <v>1.6452288851690262E-2</v>
      </c>
      <c r="F24" s="112" t="s">
        <v>161</v>
      </c>
      <c r="G24" s="112"/>
      <c r="H24" s="112"/>
    </row>
    <row r="25" spans="1:10" ht="15" customHeight="1" thickBot="1" x14ac:dyDescent="0.3">
      <c r="A25" s="164"/>
      <c r="B25" s="169" t="s">
        <v>46</v>
      </c>
      <c r="C25" s="177"/>
      <c r="D25" s="173">
        <v>89.37</v>
      </c>
      <c r="E25" s="80">
        <f t="shared" si="1"/>
        <v>9.7186929385653965E-3</v>
      </c>
      <c r="G25" s="273">
        <f>+SUM(G15:G23)</f>
        <v>1884683.6730000002</v>
      </c>
      <c r="H25" s="273">
        <f>+SUM(H15:H23)</f>
        <v>1657973.3929999997</v>
      </c>
      <c r="I25" s="274">
        <f>+H25/G25</f>
        <v>0.87970910808648972</v>
      </c>
      <c r="J25" s="275">
        <f>+H25-G25</f>
        <v>-226710.28000000049</v>
      </c>
    </row>
    <row r="26" spans="1:10" ht="15" customHeight="1" thickBot="1" x14ac:dyDescent="0.3">
      <c r="B26" s="178" t="s">
        <v>0</v>
      </c>
      <c r="C26" s="170"/>
      <c r="D26" s="171">
        <f>SUM(D5:D25)</f>
        <v>9195.6810000000023</v>
      </c>
      <c r="E26" s="80">
        <f t="shared" si="1"/>
        <v>1</v>
      </c>
      <c r="F26" s="163"/>
    </row>
    <row r="27" spans="1:10" ht="15" customHeight="1" x14ac:dyDescent="0.25">
      <c r="B27" s="166" t="s">
        <v>1</v>
      </c>
      <c r="C27" s="167"/>
      <c r="D27" s="233">
        <v>15278.48</v>
      </c>
      <c r="E27" s="98">
        <f>+D27/E3</f>
        <v>6.595444891475144E-2</v>
      </c>
      <c r="F27" s="163"/>
      <c r="G27" s="179"/>
    </row>
    <row r="28" spans="1:10" ht="15" customHeight="1" x14ac:dyDescent="0.25">
      <c r="D28" s="108">
        <f>+(E3/30)*2</f>
        <v>15443.466666666667</v>
      </c>
      <c r="E28" s="98">
        <f>+D28/E3</f>
        <v>6.6666666666666666E-2</v>
      </c>
    </row>
    <row r="29" spans="1:10" ht="15" customHeight="1" x14ac:dyDescent="0.25">
      <c r="D29" s="138">
        <f>+D27-D28</f>
        <v>-164.98666666666759</v>
      </c>
      <c r="E29" s="251">
        <f>E27-E28</f>
        <v>-7.1221775191522563E-4</v>
      </c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</row>
    <row r="32" spans="1:10" x14ac:dyDescent="0.25">
      <c r="B32" s="162" t="s">
        <v>61</v>
      </c>
      <c r="C32" s="162">
        <v>939</v>
      </c>
      <c r="D32" s="108">
        <v>2142</v>
      </c>
      <c r="E32" s="57">
        <f>+C32/D32</f>
        <v>0.43837535014005602</v>
      </c>
      <c r="G32" s="86" t="s">
        <v>86</v>
      </c>
      <c r="H32" s="87">
        <v>6985</v>
      </c>
      <c r="I32" s="88">
        <v>174.625</v>
      </c>
      <c r="J32" s="228"/>
    </row>
    <row r="33" spans="1:11" ht="15" customHeight="1" x14ac:dyDescent="0.25">
      <c r="B33" s="162" t="s">
        <v>62</v>
      </c>
      <c r="C33" s="162">
        <v>1495</v>
      </c>
      <c r="D33" s="108">
        <v>1890</v>
      </c>
      <c r="E33" s="57">
        <f>+C33/D33</f>
        <v>0.79100529100529104</v>
      </c>
      <c r="G33" s="86" t="s">
        <v>171</v>
      </c>
      <c r="H33" s="87">
        <v>14</v>
      </c>
      <c r="I33" s="88">
        <v>0.35000000000000003</v>
      </c>
      <c r="J33" s="228"/>
    </row>
    <row r="34" spans="1:11" x14ac:dyDescent="0.25">
      <c r="B34" s="162" t="s">
        <v>63</v>
      </c>
      <c r="C34" s="67">
        <v>1856</v>
      </c>
      <c r="D34" s="108">
        <v>3006</v>
      </c>
      <c r="E34" s="57">
        <f>+C34/D34</f>
        <v>0.61743180306054557</v>
      </c>
      <c r="G34" s="89" t="s">
        <v>169</v>
      </c>
      <c r="H34" s="87">
        <v>78</v>
      </c>
      <c r="I34" s="88">
        <v>117</v>
      </c>
      <c r="J34" s="228"/>
    </row>
    <row r="35" spans="1:11" x14ac:dyDescent="0.25">
      <c r="C35" s="162">
        <f>+SUM(C32:C34)</f>
        <v>4290</v>
      </c>
      <c r="D35" s="110">
        <f>+SUM(D32:D34)</f>
        <v>7038</v>
      </c>
      <c r="E35" s="57">
        <f>+C35/D35</f>
        <v>0.60954816709292414</v>
      </c>
      <c r="G35" s="89" t="s">
        <v>168</v>
      </c>
      <c r="H35" s="87">
        <v>81</v>
      </c>
      <c r="I35" s="88">
        <v>121.5</v>
      </c>
      <c r="J35" s="228"/>
    </row>
    <row r="36" spans="1:11" ht="15" customHeight="1" x14ac:dyDescent="0.25">
      <c r="G36" s="231" t="s">
        <v>123</v>
      </c>
      <c r="H36" s="138">
        <v>231</v>
      </c>
      <c r="I36" s="232">
        <v>346.5</v>
      </c>
      <c r="J36" s="218" t="s">
        <v>146</v>
      </c>
    </row>
    <row r="37" spans="1:11" ht="15" customHeight="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239</v>
      </c>
      <c r="I38" s="88">
        <f>+H38*1.5</f>
        <v>358.5</v>
      </c>
      <c r="J38" s="224" t="s">
        <v>152</v>
      </c>
    </row>
    <row r="39" spans="1:11" x14ac:dyDescent="0.25">
      <c r="B39" s="73">
        <v>20</v>
      </c>
      <c r="C39" s="74">
        <v>2</v>
      </c>
      <c r="D39" s="74">
        <v>19</v>
      </c>
      <c r="E39" s="75">
        <f>+SUM(B39:D39)</f>
        <v>41</v>
      </c>
      <c r="J39" s="218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</row>
    <row r="43" spans="1:11" x14ac:dyDescent="0.25">
      <c r="A43" s="207" t="s">
        <v>71</v>
      </c>
      <c r="B43" s="199">
        <v>10.7</v>
      </c>
      <c r="C43" s="199">
        <v>1558</v>
      </c>
      <c r="D43" s="200">
        <v>3600</v>
      </c>
      <c r="E43" s="201">
        <f t="shared" si="3"/>
        <v>0.43277777777777776</v>
      </c>
      <c r="F43" s="201">
        <f t="shared" si="4"/>
        <v>0.4458333333333333</v>
      </c>
      <c r="G43" s="202">
        <v>12</v>
      </c>
      <c r="H43" s="71"/>
    </row>
    <row r="44" spans="1:11" x14ac:dyDescent="0.25">
      <c r="A44" s="207" t="s">
        <v>72</v>
      </c>
      <c r="B44" s="199">
        <v>10.17</v>
      </c>
      <c r="C44" s="199">
        <v>1737</v>
      </c>
      <c r="D44" s="200">
        <v>3900</v>
      </c>
      <c r="E44" s="201">
        <f t="shared" si="3"/>
        <v>0.44538461538461538</v>
      </c>
      <c r="F44" s="201">
        <f t="shared" si="4"/>
        <v>0.42375000000000002</v>
      </c>
      <c r="G44" s="202">
        <v>12</v>
      </c>
      <c r="H44" s="237" t="s">
        <v>167</v>
      </c>
    </row>
    <row r="45" spans="1:11" x14ac:dyDescent="0.25">
      <c r="A45" s="207" t="s">
        <v>73</v>
      </c>
      <c r="B45" s="199">
        <v>10.68</v>
      </c>
      <c r="C45" s="199">
        <v>2622</v>
      </c>
      <c r="D45" s="200">
        <v>3900</v>
      </c>
      <c r="E45" s="201">
        <f t="shared" si="3"/>
        <v>0.67230769230769227</v>
      </c>
      <c r="F45" s="201">
        <f t="shared" si="4"/>
        <v>0.44500000000000001</v>
      </c>
      <c r="G45" s="202">
        <v>12</v>
      </c>
      <c r="H45" s="282">
        <v>45899</v>
      </c>
      <c r="I45" s="283" t="s">
        <v>175</v>
      </c>
      <c r="J45" s="283">
        <v>63</v>
      </c>
      <c r="K45" s="283" t="s">
        <v>177</v>
      </c>
    </row>
    <row r="46" spans="1:11" x14ac:dyDescent="0.25">
      <c r="A46" s="207" t="s">
        <v>74</v>
      </c>
      <c r="B46" s="199">
        <v>10.62</v>
      </c>
      <c r="C46" s="199">
        <v>2601</v>
      </c>
      <c r="D46" s="200">
        <v>3900</v>
      </c>
      <c r="E46" s="201">
        <f t="shared" si="3"/>
        <v>0.66692307692307695</v>
      </c>
      <c r="F46" s="201">
        <f t="shared" si="4"/>
        <v>0.44249999999999995</v>
      </c>
      <c r="G46" s="202">
        <v>12</v>
      </c>
      <c r="H46" s="282">
        <v>45899</v>
      </c>
      <c r="I46" s="283" t="s">
        <v>176</v>
      </c>
      <c r="J46" s="283">
        <v>171</v>
      </c>
      <c r="K46" s="283" t="s">
        <v>177</v>
      </c>
    </row>
    <row r="47" spans="1:11" x14ac:dyDescent="0.25">
      <c r="A47" s="259" t="s">
        <v>75</v>
      </c>
      <c r="B47" s="260">
        <v>14.27</v>
      </c>
      <c r="C47" s="261">
        <v>2648</v>
      </c>
      <c r="D47" s="262">
        <v>4300</v>
      </c>
      <c r="E47" s="263">
        <f t="shared" si="3"/>
        <v>0.61581395348837209</v>
      </c>
      <c r="F47" s="201">
        <f t="shared" si="4"/>
        <v>0.59458333333333335</v>
      </c>
      <c r="G47" s="202">
        <v>16</v>
      </c>
      <c r="H47" s="282">
        <v>45900</v>
      </c>
      <c r="I47" s="283" t="s">
        <v>175</v>
      </c>
      <c r="J47" s="283">
        <v>225</v>
      </c>
      <c r="K47" s="283" t="s">
        <v>177</v>
      </c>
    </row>
    <row r="48" spans="1:11" x14ac:dyDescent="0.25">
      <c r="C48" s="71" t="s">
        <v>83</v>
      </c>
      <c r="D48" s="72" t="s">
        <v>79</v>
      </c>
      <c r="H48" s="282">
        <v>45900</v>
      </c>
      <c r="I48" s="283" t="s">
        <v>176</v>
      </c>
      <c r="J48" s="283">
        <v>175</v>
      </c>
      <c r="K48" s="283" t="s">
        <v>177</v>
      </c>
    </row>
    <row r="49" spans="2:11" x14ac:dyDescent="0.25">
      <c r="B49" s="162" t="s">
        <v>78</v>
      </c>
      <c r="H49" s="71"/>
      <c r="I49" s="284" t="s">
        <v>178</v>
      </c>
      <c r="J49" s="284">
        <f>+SUM(J45:J48)</f>
        <v>634</v>
      </c>
      <c r="K49" s="284" t="s">
        <v>177</v>
      </c>
    </row>
    <row r="50" spans="2:11" x14ac:dyDescent="0.25">
      <c r="C50" s="71">
        <v>1</v>
      </c>
      <c r="D50" s="225" t="s">
        <v>153</v>
      </c>
      <c r="H50" s="71"/>
      <c r="I50" s="284" t="s">
        <v>179</v>
      </c>
      <c r="J50" s="284">
        <f>+J49*1.5</f>
        <v>951</v>
      </c>
      <c r="K50" s="284" t="s">
        <v>92</v>
      </c>
    </row>
    <row r="51" spans="2:11" x14ac:dyDescent="0.25">
      <c r="C51" s="71">
        <v>2</v>
      </c>
      <c r="D51" s="225" t="s">
        <v>153</v>
      </c>
      <c r="H51" s="71"/>
    </row>
    <row r="52" spans="2:11" x14ac:dyDescent="0.25">
      <c r="C52" s="71">
        <v>3</v>
      </c>
      <c r="D52" s="225" t="s">
        <v>154</v>
      </c>
      <c r="H52" s="71"/>
    </row>
    <row r="53" spans="2:11" x14ac:dyDescent="0.25">
      <c r="C53" s="71">
        <v>4</v>
      </c>
      <c r="D53" s="108">
        <v>0</v>
      </c>
      <c r="H53" s="71"/>
    </row>
    <row r="54" spans="2:11" x14ac:dyDescent="0.25">
      <c r="C54" s="71">
        <v>5</v>
      </c>
      <c r="D54" s="108">
        <v>5</v>
      </c>
    </row>
    <row r="55" spans="2:11" x14ac:dyDescent="0.25">
      <c r="C55" s="71">
        <v>6</v>
      </c>
      <c r="D55" s="108">
        <v>9</v>
      </c>
    </row>
    <row r="56" spans="2:11" x14ac:dyDescent="0.25">
      <c r="C56" s="71">
        <v>7</v>
      </c>
      <c r="D56" s="225" t="s">
        <v>153</v>
      </c>
    </row>
    <row r="57" spans="2:11" x14ac:dyDescent="0.25">
      <c r="C57" s="71">
        <v>8</v>
      </c>
      <c r="D57" s="225" t="s">
        <v>153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22" workbookViewId="0">
      <selection activeCell="A28" sqref="A28:K57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16384" width="11.42578125" style="162"/>
  </cols>
  <sheetData>
    <row r="1" spans="1:10" ht="15" customHeight="1" x14ac:dyDescent="0.25">
      <c r="A1" s="161"/>
      <c r="B1" s="518">
        <v>45903</v>
      </c>
      <c r="C1" s="518"/>
      <c r="D1" s="518"/>
    </row>
    <row r="2" spans="1:10" x14ac:dyDescent="0.25">
      <c r="E2" s="61" t="s">
        <v>181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231652</v>
      </c>
      <c r="F3" s="61"/>
    </row>
    <row r="4" spans="1:10" ht="19.5" customHeight="1" thickBot="1" x14ac:dyDescent="0.4">
      <c r="A4" s="164"/>
      <c r="B4" s="280"/>
      <c r="C4" s="280"/>
      <c r="D4" s="165">
        <f>D26</f>
        <v>8957.757999999998</v>
      </c>
      <c r="E4" s="108">
        <f>+E3/30</f>
        <v>7721.7333333333336</v>
      </c>
      <c r="F4" s="62"/>
    </row>
    <row r="5" spans="1:10" ht="15" customHeight="1" x14ac:dyDescent="0.25">
      <c r="A5" s="164"/>
      <c r="B5" s="168" t="s">
        <v>6</v>
      </c>
      <c r="C5" s="176">
        <v>3738</v>
      </c>
      <c r="D5" s="172">
        <v>159.404</v>
      </c>
      <c r="E5" s="80">
        <f>+D5/$D$4</f>
        <v>1.7795077741550959E-2</v>
      </c>
      <c r="F5" s="57"/>
      <c r="H5" s="69" t="s">
        <v>58</v>
      </c>
      <c r="I5" s="278" t="s">
        <v>59</v>
      </c>
      <c r="J5" s="69" t="s">
        <v>80</v>
      </c>
    </row>
    <row r="6" spans="1:10" ht="15" customHeight="1" x14ac:dyDescent="0.25">
      <c r="A6" s="164"/>
      <c r="B6" s="169" t="s">
        <v>10</v>
      </c>
      <c r="C6" s="177">
        <v>19188</v>
      </c>
      <c r="D6" s="173">
        <v>818.62400000000014</v>
      </c>
      <c r="E6" s="80">
        <f>+D6/$D$4</f>
        <v>9.1387152901429167E-2</v>
      </c>
      <c r="F6" s="58" t="s">
        <v>51</v>
      </c>
      <c r="G6" s="59">
        <v>45901</v>
      </c>
      <c r="H6" s="190">
        <v>7492</v>
      </c>
      <c r="I6" s="141">
        <v>6082.7990000000027</v>
      </c>
      <c r="J6" s="60">
        <f t="shared" ref="J6:J13" si="0">+I6/H6</f>
        <v>0.81190589962626836</v>
      </c>
    </row>
    <row r="7" spans="1:10" ht="15" customHeight="1" x14ac:dyDescent="0.25">
      <c r="A7" s="164"/>
      <c r="B7" s="169" t="s">
        <v>35</v>
      </c>
      <c r="C7" s="177">
        <v>13189</v>
      </c>
      <c r="D7" s="173">
        <v>562.55200000000002</v>
      </c>
      <c r="E7" s="80">
        <f>+D7/$D$4</f>
        <v>6.2800535580443254E-2</v>
      </c>
      <c r="F7" s="58" t="s">
        <v>52</v>
      </c>
      <c r="G7" s="59">
        <v>45902</v>
      </c>
      <c r="H7" s="190">
        <v>9391</v>
      </c>
      <c r="I7" s="141">
        <v>9195.6810000000023</v>
      </c>
      <c r="J7" s="60">
        <f t="shared" si="0"/>
        <v>0.9792014694920671</v>
      </c>
    </row>
    <row r="8" spans="1:10" ht="15" customHeight="1" x14ac:dyDescent="0.25">
      <c r="A8" s="164"/>
      <c r="B8" s="169" t="s">
        <v>4</v>
      </c>
      <c r="C8" s="177">
        <v>3883</v>
      </c>
      <c r="D8" s="173">
        <v>165.69</v>
      </c>
      <c r="E8" s="80">
        <f t="shared" ref="E8:E26" si="1">+D8/$D$4</f>
        <v>1.8496815832711715E-2</v>
      </c>
      <c r="F8" s="58" t="s">
        <v>53</v>
      </c>
      <c r="G8" s="59">
        <v>45903</v>
      </c>
      <c r="H8" s="190">
        <v>10128</v>
      </c>
      <c r="I8" s="141">
        <v>8957.757999999998</v>
      </c>
      <c r="J8" s="60">
        <f t="shared" si="0"/>
        <v>0.88445477883096346</v>
      </c>
    </row>
    <row r="9" spans="1:10" ht="15" customHeight="1" x14ac:dyDescent="0.25">
      <c r="A9" s="164"/>
      <c r="B9" s="169" t="s">
        <v>37</v>
      </c>
      <c r="C9" s="177">
        <v>41202</v>
      </c>
      <c r="D9" s="173">
        <v>1756.9699999999998</v>
      </c>
      <c r="E9" s="245">
        <f t="shared" si="1"/>
        <v>0.19613948043695759</v>
      </c>
      <c r="F9" s="58" t="s">
        <v>54</v>
      </c>
      <c r="G9" s="59">
        <v>45904</v>
      </c>
      <c r="H9" s="190">
        <v>9317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49947</v>
      </c>
      <c r="D10" s="173">
        <v>2130.2400000000002</v>
      </c>
      <c r="E10" s="245">
        <f t="shared" si="1"/>
        <v>0.23780950545884369</v>
      </c>
      <c r="F10" s="58" t="s">
        <v>55</v>
      </c>
      <c r="G10" s="59">
        <v>45905</v>
      </c>
      <c r="H10" s="190">
        <v>6072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9643</v>
      </c>
      <c r="D11" s="173">
        <v>411.49600000000004</v>
      </c>
      <c r="E11" s="80">
        <f t="shared" si="1"/>
        <v>4.5937387457888473E-2</v>
      </c>
      <c r="F11" s="58" t="s">
        <v>56</v>
      </c>
      <c r="G11" s="59">
        <v>45906</v>
      </c>
      <c r="H11" s="190">
        <v>7023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>
        <v>1305</v>
      </c>
      <c r="D12" s="173">
        <v>33.521999999999998</v>
      </c>
      <c r="E12" s="80">
        <f t="shared" si="1"/>
        <v>3.7422310359355553E-3</v>
      </c>
      <c r="F12" s="58" t="s">
        <v>57</v>
      </c>
      <c r="G12" s="59">
        <v>45907</v>
      </c>
      <c r="H12" s="190">
        <v>4661</v>
      </c>
      <c r="I12" s="141"/>
      <c r="J12" s="60">
        <f t="shared" si="0"/>
        <v>0</v>
      </c>
    </row>
    <row r="13" spans="1:10" ht="15" customHeight="1" x14ac:dyDescent="0.25">
      <c r="A13" s="164"/>
      <c r="B13" s="169" t="s">
        <v>43</v>
      </c>
      <c r="C13" s="177">
        <v>45</v>
      </c>
      <c r="D13" s="173">
        <v>68.039999999999992</v>
      </c>
      <c r="E13" s="80">
        <f t="shared" si="1"/>
        <v>7.5956506081097533E-3</v>
      </c>
      <c r="H13" s="139">
        <f>+SUM(H6:H12)</f>
        <v>54084</v>
      </c>
      <c r="I13" s="142">
        <f>+SUM(I6:I12)</f>
        <v>24236.238000000005</v>
      </c>
      <c r="J13" s="140">
        <f t="shared" si="0"/>
        <v>0.44812214333259381</v>
      </c>
    </row>
    <row r="14" spans="1:10" ht="15" customHeight="1" x14ac:dyDescent="0.25">
      <c r="A14" s="164"/>
      <c r="B14" s="169" t="s">
        <v>44</v>
      </c>
      <c r="C14" s="177">
        <v>108</v>
      </c>
      <c r="D14" s="173">
        <v>162.82999999999998</v>
      </c>
      <c r="E14" s="80">
        <f t="shared" si="1"/>
        <v>1.8177539513793521E-2</v>
      </c>
      <c r="F14" s="112"/>
      <c r="G14" s="113">
        <v>2024</v>
      </c>
      <c r="H14" s="113">
        <v>2025</v>
      </c>
      <c r="I14" s="71"/>
    </row>
    <row r="15" spans="1:10" ht="15" customHeight="1" x14ac:dyDescent="0.25">
      <c r="A15" s="164"/>
      <c r="B15" s="169" t="s">
        <v>49</v>
      </c>
      <c r="C15" s="177">
        <v>40</v>
      </c>
      <c r="D15" s="173">
        <v>60.26</v>
      </c>
      <c r="E15" s="80">
        <f t="shared" si="1"/>
        <v>6.7271297125910314E-3</v>
      </c>
      <c r="F15" s="112" t="s">
        <v>108</v>
      </c>
      <c r="G15" s="190">
        <v>204007.80300000001</v>
      </c>
      <c r="H15" s="190">
        <v>190629.128</v>
      </c>
      <c r="I15" s="57">
        <f t="shared" ref="I15:I23" si="2">+H15/G15</f>
        <v>0.93442076820953746</v>
      </c>
    </row>
    <row r="16" spans="1:10" ht="15" customHeight="1" x14ac:dyDescent="0.25">
      <c r="A16" s="164"/>
      <c r="B16" s="169" t="s">
        <v>84</v>
      </c>
      <c r="C16" s="177">
        <v>20</v>
      </c>
      <c r="D16" s="173">
        <v>30.2</v>
      </c>
      <c r="E16" s="80">
        <f t="shared" si="1"/>
        <v>3.3713793116536533E-3</v>
      </c>
      <c r="F16" s="112" t="s">
        <v>109</v>
      </c>
      <c r="G16" s="190">
        <v>186305.94399999996</v>
      </c>
      <c r="H16" s="190">
        <v>182874.285</v>
      </c>
      <c r="I16" s="57">
        <f t="shared" si="2"/>
        <v>0.9815805179033904</v>
      </c>
    </row>
    <row r="17" spans="1:10" ht="15" customHeight="1" x14ac:dyDescent="0.25">
      <c r="A17" s="164"/>
      <c r="B17" s="169" t="s">
        <v>45</v>
      </c>
      <c r="C17" s="177">
        <v>86</v>
      </c>
      <c r="D17" s="173">
        <v>130.11000000000001</v>
      </c>
      <c r="E17" s="80">
        <f t="shared" si="1"/>
        <v>1.4524839809246917E-2</v>
      </c>
      <c r="F17" s="112" t="s">
        <v>110</v>
      </c>
      <c r="G17" s="190">
        <v>199570.19199999989</v>
      </c>
      <c r="H17" s="190">
        <v>197224.22099999999</v>
      </c>
      <c r="I17" s="57">
        <f t="shared" si="2"/>
        <v>0.98824488278289624</v>
      </c>
    </row>
    <row r="18" spans="1:10" ht="15" customHeight="1" x14ac:dyDescent="0.25">
      <c r="A18" s="164"/>
      <c r="B18" s="169" t="s">
        <v>88</v>
      </c>
      <c r="C18" s="177">
        <v>20</v>
      </c>
      <c r="D18" s="173">
        <v>30.74</v>
      </c>
      <c r="E18" s="80">
        <f t="shared" si="1"/>
        <v>3.4316622529878575E-3</v>
      </c>
      <c r="F18" s="112" t="s">
        <v>111</v>
      </c>
      <c r="G18" s="190">
        <v>205343.72800000012</v>
      </c>
      <c r="H18" s="190">
        <v>198970.75799999986</v>
      </c>
      <c r="I18" s="57">
        <f t="shared" si="2"/>
        <v>0.96896437956945902</v>
      </c>
    </row>
    <row r="19" spans="1:10" ht="15" customHeight="1" x14ac:dyDescent="0.25">
      <c r="A19" s="164"/>
      <c r="B19" s="169" t="s">
        <v>41</v>
      </c>
      <c r="C19" s="177">
        <v>249</v>
      </c>
      <c r="D19" s="173">
        <v>376.86999999999995</v>
      </c>
      <c r="E19" s="80">
        <f t="shared" si="1"/>
        <v>4.2071911297447424E-2</v>
      </c>
      <c r="F19" s="112" t="s">
        <v>102</v>
      </c>
      <c r="G19" s="190">
        <v>209473.77399999995</v>
      </c>
      <c r="H19" s="190">
        <v>212393.17300000001</v>
      </c>
      <c r="I19" s="236">
        <f t="shared" si="2"/>
        <v>1.0139368234230604</v>
      </c>
    </row>
    <row r="20" spans="1:10" ht="15" customHeight="1" x14ac:dyDescent="0.25">
      <c r="A20" s="164"/>
      <c r="B20" s="169" t="s">
        <v>39</v>
      </c>
      <c r="C20" s="177">
        <v>794</v>
      </c>
      <c r="D20" s="173">
        <v>1200.3799999999997</v>
      </c>
      <c r="E20" s="80">
        <f t="shared" si="1"/>
        <v>0.13400451318287454</v>
      </c>
      <c r="F20" s="112" t="s">
        <v>125</v>
      </c>
      <c r="G20" s="190">
        <v>196506.86</v>
      </c>
      <c r="H20" s="190">
        <v>204590</v>
      </c>
      <c r="I20" s="236">
        <f t="shared" si="2"/>
        <v>1.0411341364876525</v>
      </c>
      <c r="J20" s="108">
        <v>-14526.736000000266</v>
      </c>
    </row>
    <row r="21" spans="1:10" ht="15" customHeight="1" x14ac:dyDescent="0.25">
      <c r="A21" s="164"/>
      <c r="B21" s="169" t="s">
        <v>85</v>
      </c>
      <c r="C21" s="177">
        <v>21</v>
      </c>
      <c r="D21" s="173">
        <v>31.68</v>
      </c>
      <c r="E21" s="80">
        <f>+D21/$D$4</f>
        <v>3.5365992249399912E-3</v>
      </c>
      <c r="F21" s="112" t="s">
        <v>132</v>
      </c>
      <c r="G21" s="190">
        <v>219516.23899999997</v>
      </c>
      <c r="H21" s="190">
        <v>222445.37700000001</v>
      </c>
      <c r="I21" s="98">
        <f t="shared" si="2"/>
        <v>1.0133436050715139</v>
      </c>
      <c r="J21" s="108">
        <v>-11597.598000000231</v>
      </c>
    </row>
    <row r="22" spans="1:10" ht="15" customHeight="1" x14ac:dyDescent="0.25">
      <c r="A22" s="164"/>
      <c r="B22" s="169" t="s">
        <v>40</v>
      </c>
      <c r="C22" s="177"/>
      <c r="D22" s="173"/>
      <c r="E22" s="80">
        <f t="shared" si="1"/>
        <v>0</v>
      </c>
      <c r="F22" s="112" t="s">
        <v>135</v>
      </c>
      <c r="G22" s="272">
        <v>232937.965</v>
      </c>
      <c r="H22" s="272">
        <v>233567.97099999999</v>
      </c>
      <c r="I22" s="98">
        <f t="shared" si="2"/>
        <v>1.0027046084995204</v>
      </c>
      <c r="J22" s="108">
        <v>-10967.592000000412</v>
      </c>
    </row>
    <row r="23" spans="1:10" ht="15" customHeight="1" x14ac:dyDescent="0.25">
      <c r="A23" s="164"/>
      <c r="B23" s="169" t="s">
        <v>9</v>
      </c>
      <c r="C23" s="177"/>
      <c r="D23" s="173">
        <v>181.92000000000002</v>
      </c>
      <c r="E23" s="80">
        <f t="shared" si="1"/>
        <v>2.0308653125034194E-2</v>
      </c>
      <c r="F23" s="112" t="s">
        <v>160</v>
      </c>
      <c r="G23" s="272">
        <v>231021.16800000001</v>
      </c>
      <c r="H23" s="272">
        <f>+D27</f>
        <v>24236</v>
      </c>
      <c r="I23" s="98">
        <f t="shared" si="2"/>
        <v>0.10490813551769421</v>
      </c>
    </row>
    <row r="24" spans="1:10" ht="15" customHeight="1" x14ac:dyDescent="0.25">
      <c r="A24" s="164"/>
      <c r="B24" s="169" t="s">
        <v>46</v>
      </c>
      <c r="C24" s="177"/>
      <c r="D24" s="173">
        <v>28.6</v>
      </c>
      <c r="E24" s="80">
        <f t="shared" si="1"/>
        <v>3.192763189181937E-3</v>
      </c>
      <c r="F24" s="112" t="s">
        <v>161</v>
      </c>
      <c r="G24" s="112"/>
      <c r="H24" s="112"/>
    </row>
    <row r="25" spans="1:10" ht="15" customHeight="1" thickBot="1" x14ac:dyDescent="0.3">
      <c r="A25" s="164"/>
      <c r="B25" s="169" t="s">
        <v>40</v>
      </c>
      <c r="C25" s="177"/>
      <c r="D25" s="173">
        <v>617.63</v>
      </c>
      <c r="E25" s="80">
        <f t="shared" si="1"/>
        <v>6.894917232637901E-2</v>
      </c>
      <c r="G25" s="273">
        <f>+SUM(G15:G23)</f>
        <v>1884683.6730000002</v>
      </c>
      <c r="H25" s="273">
        <f>+SUM(H15:H23)</f>
        <v>1666930.9129999997</v>
      </c>
      <c r="I25" s="274">
        <f>+H25/G25</f>
        <v>0.88446190566643679</v>
      </c>
      <c r="J25" s="275">
        <f>+H25-G25</f>
        <v>-217752.76000000047</v>
      </c>
    </row>
    <row r="26" spans="1:10" ht="15" customHeight="1" thickBot="1" x14ac:dyDescent="0.3">
      <c r="B26" s="178" t="s">
        <v>0</v>
      </c>
      <c r="C26" s="170"/>
      <c r="D26" s="171">
        <f>SUM(D5:D25)</f>
        <v>8957.757999999998</v>
      </c>
      <c r="E26" s="80">
        <f t="shared" si="1"/>
        <v>1</v>
      </c>
      <c r="F26" s="163"/>
    </row>
    <row r="27" spans="1:10" ht="15" customHeight="1" x14ac:dyDescent="0.25">
      <c r="B27" s="166" t="s">
        <v>1</v>
      </c>
      <c r="C27" s="167"/>
      <c r="D27" s="233">
        <v>24236</v>
      </c>
      <c r="E27" s="98">
        <f>+D27/E3</f>
        <v>0.10462245091775595</v>
      </c>
      <c r="F27" s="163"/>
      <c r="G27" s="179"/>
    </row>
    <row r="28" spans="1:10" x14ac:dyDescent="0.25">
      <c r="D28" s="108">
        <f>+(E3/30)*3</f>
        <v>23165.200000000001</v>
      </c>
      <c r="E28" s="98">
        <f>+D28/E3</f>
        <v>0.1</v>
      </c>
    </row>
    <row r="29" spans="1:10" x14ac:dyDescent="0.25">
      <c r="D29" s="138">
        <f>+D27-D28</f>
        <v>1070.7999999999993</v>
      </c>
      <c r="E29" s="251">
        <f>E27-E28</f>
        <v>4.6224509177559409E-3</v>
      </c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</row>
    <row r="32" spans="1:10" x14ac:dyDescent="0.25">
      <c r="B32" s="162" t="s">
        <v>61</v>
      </c>
      <c r="C32" s="162">
        <v>1418</v>
      </c>
      <c r="D32" s="108">
        <v>2142</v>
      </c>
      <c r="E32" s="57">
        <f>+C32/D32</f>
        <v>0.66199813258636786</v>
      </c>
      <c r="G32" s="86" t="s">
        <v>86</v>
      </c>
      <c r="H32" s="87">
        <f>6985-1200</f>
        <v>5785</v>
      </c>
      <c r="I32" s="88">
        <v>174.625</v>
      </c>
      <c r="J32" s="228"/>
    </row>
    <row r="33" spans="1:11" x14ac:dyDescent="0.25">
      <c r="B33" s="162" t="s">
        <v>62</v>
      </c>
      <c r="C33" s="162">
        <v>1624</v>
      </c>
      <c r="D33" s="108">
        <v>1890</v>
      </c>
      <c r="E33" s="57">
        <f>+C33/D33</f>
        <v>0.85925925925925928</v>
      </c>
      <c r="G33" s="86" t="s">
        <v>171</v>
      </c>
      <c r="H33" s="87">
        <v>14</v>
      </c>
      <c r="I33" s="88">
        <v>0.35000000000000003</v>
      </c>
      <c r="J33" s="228"/>
    </row>
    <row r="34" spans="1:11" x14ac:dyDescent="0.25">
      <c r="B34" s="162" t="s">
        <v>63</v>
      </c>
      <c r="C34" s="67">
        <v>806</v>
      </c>
      <c r="D34" s="108">
        <v>3006</v>
      </c>
      <c r="E34" s="57">
        <f>+C34/D34</f>
        <v>0.26813040585495673</v>
      </c>
      <c r="G34" s="89" t="s">
        <v>169</v>
      </c>
      <c r="H34" s="87">
        <f>78-20</f>
        <v>58</v>
      </c>
      <c r="I34" s="88">
        <v>117</v>
      </c>
      <c r="J34" s="228"/>
    </row>
    <row r="35" spans="1:11" x14ac:dyDescent="0.25">
      <c r="C35" s="162">
        <f>+SUM(C32:C34)</f>
        <v>3848</v>
      </c>
      <c r="D35" s="110">
        <f>+SUM(D32:D34)</f>
        <v>7038</v>
      </c>
      <c r="E35" s="57">
        <f>+C35/D35</f>
        <v>0.54674623472577433</v>
      </c>
      <c r="G35" s="89" t="s">
        <v>168</v>
      </c>
      <c r="H35" s="87">
        <v>81</v>
      </c>
      <c r="I35" s="88">
        <v>121.5</v>
      </c>
      <c r="J35" s="228"/>
    </row>
    <row r="36" spans="1:11" x14ac:dyDescent="0.25">
      <c r="G36" s="231" t="s">
        <v>123</v>
      </c>
      <c r="H36" s="138">
        <v>231</v>
      </c>
      <c r="I36" s="232">
        <v>346.5</v>
      </c>
      <c r="J36" s="218" t="s">
        <v>146</v>
      </c>
    </row>
    <row r="37" spans="1:1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239</v>
      </c>
      <c r="I38" s="88">
        <f>+H38*1.5</f>
        <v>358.5</v>
      </c>
      <c r="J38" s="224" t="s">
        <v>152</v>
      </c>
    </row>
    <row r="39" spans="1:11" x14ac:dyDescent="0.25">
      <c r="B39" s="73">
        <v>6</v>
      </c>
      <c r="C39" s="74">
        <v>6</v>
      </c>
      <c r="D39" s="74">
        <v>27</v>
      </c>
      <c r="E39" s="75">
        <f>+SUM(B39:D39)</f>
        <v>39</v>
      </c>
      <c r="J39" s="218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</row>
    <row r="43" spans="1:11" x14ac:dyDescent="0.25">
      <c r="A43" s="207" t="s">
        <v>71</v>
      </c>
      <c r="B43" s="199">
        <v>7.57</v>
      </c>
      <c r="C43" s="199">
        <v>1639</v>
      </c>
      <c r="D43" s="200">
        <v>3600</v>
      </c>
      <c r="E43" s="201">
        <f t="shared" si="3"/>
        <v>0.45527777777777778</v>
      </c>
      <c r="F43" s="201">
        <f t="shared" si="4"/>
        <v>0.31541666666666668</v>
      </c>
      <c r="G43" s="202">
        <v>12</v>
      </c>
      <c r="H43" s="71"/>
    </row>
    <row r="44" spans="1:11" x14ac:dyDescent="0.25">
      <c r="A44" s="207" t="s">
        <v>72</v>
      </c>
      <c r="B44" s="199">
        <v>9.77</v>
      </c>
      <c r="C44" s="199">
        <v>1669</v>
      </c>
      <c r="D44" s="200">
        <v>3900</v>
      </c>
      <c r="E44" s="201">
        <f t="shared" si="3"/>
        <v>0.42794871794871797</v>
      </c>
      <c r="F44" s="201">
        <f t="shared" si="4"/>
        <v>0.4070833333333333</v>
      </c>
      <c r="G44" s="202">
        <v>12</v>
      </c>
      <c r="H44" s="237" t="s">
        <v>167</v>
      </c>
    </row>
    <row r="45" spans="1:11" x14ac:dyDescent="0.25">
      <c r="A45" s="207" t="s">
        <v>73</v>
      </c>
      <c r="B45" s="199">
        <v>11.54</v>
      </c>
      <c r="C45" s="199">
        <v>2783</v>
      </c>
      <c r="D45" s="200">
        <v>3900</v>
      </c>
      <c r="E45" s="201">
        <f t="shared" si="3"/>
        <v>0.71358974358974359</v>
      </c>
      <c r="F45" s="201">
        <f t="shared" si="4"/>
        <v>0.48083333333333328</v>
      </c>
      <c r="G45" s="202">
        <v>12</v>
      </c>
      <c r="H45" s="282">
        <v>45899</v>
      </c>
      <c r="I45" s="283" t="s">
        <v>175</v>
      </c>
      <c r="J45" s="283">
        <v>63</v>
      </c>
      <c r="K45" s="283" t="s">
        <v>177</v>
      </c>
    </row>
    <row r="46" spans="1:11" x14ac:dyDescent="0.25">
      <c r="A46" s="207" t="s">
        <v>74</v>
      </c>
      <c r="B46" s="199">
        <v>15.4</v>
      </c>
      <c r="C46" s="199">
        <v>2372</v>
      </c>
      <c r="D46" s="200">
        <v>3900</v>
      </c>
      <c r="E46" s="201">
        <f t="shared" si="3"/>
        <v>0.60820512820512818</v>
      </c>
      <c r="F46" s="201">
        <f t="shared" si="4"/>
        <v>0.64166666666666672</v>
      </c>
      <c r="G46" s="202">
        <v>12</v>
      </c>
      <c r="H46" s="282">
        <v>45899</v>
      </c>
      <c r="I46" s="283" t="s">
        <v>176</v>
      </c>
      <c r="J46" s="283">
        <v>171</v>
      </c>
      <c r="K46" s="283" t="s">
        <v>177</v>
      </c>
    </row>
    <row r="47" spans="1:11" x14ac:dyDescent="0.25">
      <c r="A47" s="259" t="s">
        <v>75</v>
      </c>
      <c r="B47" s="260">
        <v>8.23</v>
      </c>
      <c r="C47" s="261">
        <v>3061</v>
      </c>
      <c r="D47" s="262">
        <v>4300</v>
      </c>
      <c r="E47" s="263">
        <f t="shared" si="3"/>
        <v>0.7118604651162791</v>
      </c>
      <c r="F47" s="201">
        <f t="shared" si="4"/>
        <v>0.3429166666666667</v>
      </c>
      <c r="G47" s="202">
        <v>16</v>
      </c>
      <c r="H47" s="282">
        <v>45900</v>
      </c>
      <c r="I47" s="283" t="s">
        <v>175</v>
      </c>
      <c r="J47" s="283">
        <v>225</v>
      </c>
      <c r="K47" s="283" t="s">
        <v>177</v>
      </c>
    </row>
    <row r="48" spans="1:11" x14ac:dyDescent="0.25">
      <c r="C48" s="71" t="s">
        <v>83</v>
      </c>
      <c r="D48" s="72" t="s">
        <v>79</v>
      </c>
      <c r="H48" s="282">
        <v>45900</v>
      </c>
      <c r="I48" s="283" t="s">
        <v>176</v>
      </c>
      <c r="J48" s="283">
        <v>175</v>
      </c>
      <c r="K48" s="283" t="s">
        <v>177</v>
      </c>
    </row>
    <row r="49" spans="2:11" x14ac:dyDescent="0.25">
      <c r="B49" s="162" t="s">
        <v>78</v>
      </c>
      <c r="H49" s="71"/>
      <c r="I49" s="284" t="s">
        <v>178</v>
      </c>
      <c r="J49" s="284">
        <f>+SUM(J45:J48)</f>
        <v>634</v>
      </c>
      <c r="K49" s="284" t="s">
        <v>177</v>
      </c>
    </row>
    <row r="50" spans="2:11" x14ac:dyDescent="0.25">
      <c r="C50" s="71">
        <v>1</v>
      </c>
      <c r="D50" s="225" t="s">
        <v>153</v>
      </c>
      <c r="H50" s="71"/>
      <c r="I50" s="284" t="s">
        <v>179</v>
      </c>
      <c r="J50" s="284">
        <f>+J49*1.5</f>
        <v>951</v>
      </c>
      <c r="K50" s="284" t="s">
        <v>92</v>
      </c>
    </row>
    <row r="51" spans="2:11" x14ac:dyDescent="0.25">
      <c r="C51" s="71">
        <v>2</v>
      </c>
      <c r="D51" s="225" t="s">
        <v>153</v>
      </c>
      <c r="H51" s="71"/>
    </row>
    <row r="52" spans="2:11" x14ac:dyDescent="0.25">
      <c r="C52" s="71">
        <v>3</v>
      </c>
      <c r="D52" s="225" t="s">
        <v>154</v>
      </c>
      <c r="H52" s="71"/>
    </row>
    <row r="53" spans="2:11" x14ac:dyDescent="0.25">
      <c r="C53" s="71">
        <v>4</v>
      </c>
      <c r="D53" s="108">
        <v>0</v>
      </c>
      <c r="H53" s="71"/>
    </row>
    <row r="54" spans="2:11" x14ac:dyDescent="0.25">
      <c r="C54" s="71">
        <v>5</v>
      </c>
      <c r="D54" s="108">
        <v>10</v>
      </c>
    </row>
    <row r="55" spans="2:11" x14ac:dyDescent="0.25">
      <c r="C55" s="71">
        <v>6</v>
      </c>
      <c r="D55" s="108">
        <v>9</v>
      </c>
    </row>
    <row r="56" spans="2:11" x14ac:dyDescent="0.25">
      <c r="C56" s="71">
        <v>7</v>
      </c>
      <c r="D56" s="225" t="s">
        <v>153</v>
      </c>
    </row>
    <row r="57" spans="2:11" x14ac:dyDescent="0.25">
      <c r="C57" s="71">
        <v>8</v>
      </c>
      <c r="D57" s="225" t="s">
        <v>153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19" workbookViewId="0">
      <selection activeCell="D28" sqref="D28:E29"/>
    </sheetView>
  </sheetViews>
  <sheetFormatPr baseColWidth="10" defaultColWidth="11.42578125" defaultRowHeight="15.75" x14ac:dyDescent="0.25"/>
  <cols>
    <col min="1" max="1" width="2.42578125" style="162" customWidth="1"/>
    <col min="2" max="2" width="47.28515625" style="162" customWidth="1"/>
    <col min="3" max="3" width="15.28515625" style="162" customWidth="1"/>
    <col min="4" max="4" width="15.28515625" style="163" customWidth="1"/>
    <col min="5" max="10" width="11.42578125" style="162"/>
    <col min="11" max="11" width="4" style="162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</row>
    <row r="2" spans="1:10" x14ac:dyDescent="0.25">
      <c r="E2" s="61" t="s">
        <v>181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231652</v>
      </c>
      <c r="F3" s="61"/>
    </row>
    <row r="4" spans="1:10" ht="19.5" customHeight="1" thickBot="1" x14ac:dyDescent="0.4">
      <c r="A4" s="164"/>
      <c r="B4" s="281"/>
      <c r="C4" s="281"/>
      <c r="D4" s="165">
        <f>D26</f>
        <v>8460.0869999999995</v>
      </c>
      <c r="E4" s="108">
        <f>+E3/30</f>
        <v>7721.7333333333336</v>
      </c>
      <c r="F4" s="62"/>
    </row>
    <row r="5" spans="1:10" ht="15" customHeight="1" x14ac:dyDescent="0.25">
      <c r="A5" s="164"/>
      <c r="B5" s="168" t="s">
        <v>6</v>
      </c>
      <c r="C5" s="176">
        <v>6323</v>
      </c>
      <c r="D5" s="172">
        <v>270.25399999999996</v>
      </c>
      <c r="E5" s="80">
        <f>+D5/$D$4</f>
        <v>3.1944588749501034E-2</v>
      </c>
      <c r="F5" s="57"/>
      <c r="H5" s="69" t="s">
        <v>58</v>
      </c>
      <c r="I5" s="278" t="s">
        <v>59</v>
      </c>
      <c r="J5" s="69" t="s">
        <v>80</v>
      </c>
    </row>
    <row r="6" spans="1:10" ht="15" customHeight="1" x14ac:dyDescent="0.25">
      <c r="A6" s="164"/>
      <c r="B6" s="169" t="s">
        <v>10</v>
      </c>
      <c r="C6" s="177">
        <v>5500</v>
      </c>
      <c r="D6" s="173">
        <v>234.36</v>
      </c>
      <c r="E6" s="80">
        <f>+D6/$D$4</f>
        <v>2.7701842782467841E-2</v>
      </c>
      <c r="F6" s="58" t="s">
        <v>51</v>
      </c>
      <c r="G6" s="59">
        <v>45901</v>
      </c>
      <c r="H6" s="190">
        <v>7492</v>
      </c>
      <c r="I6" s="141">
        <v>6082.7990000000027</v>
      </c>
      <c r="J6" s="60">
        <f t="shared" ref="J6:J13" si="0">+I6/H6</f>
        <v>0.81190589962626836</v>
      </c>
    </row>
    <row r="7" spans="1:10" ht="15" customHeight="1" x14ac:dyDescent="0.25">
      <c r="A7" s="164"/>
      <c r="B7" s="169" t="s">
        <v>35</v>
      </c>
      <c r="C7" s="177">
        <v>26089</v>
      </c>
      <c r="D7" s="173">
        <v>1112.3040000000001</v>
      </c>
      <c r="E7" s="80">
        <f>+D7/$D$4</f>
        <v>0.13147666211943212</v>
      </c>
      <c r="F7" s="58" t="s">
        <v>52</v>
      </c>
      <c r="G7" s="59">
        <v>45902</v>
      </c>
      <c r="H7" s="190">
        <v>9391</v>
      </c>
      <c r="I7" s="141">
        <v>9195.6810000000023</v>
      </c>
      <c r="J7" s="60">
        <f t="shared" si="0"/>
        <v>0.9792014694920671</v>
      </c>
    </row>
    <row r="8" spans="1:10" ht="15" customHeight="1" x14ac:dyDescent="0.25">
      <c r="A8" s="164"/>
      <c r="B8" s="169" t="s">
        <v>42</v>
      </c>
      <c r="C8" s="177">
        <v>13123</v>
      </c>
      <c r="D8" s="173">
        <v>560.55599999999981</v>
      </c>
      <c r="E8" s="80">
        <f t="shared" ref="E8:E26" si="1">+D8/$D$4</f>
        <v>6.6258893082305162E-2</v>
      </c>
      <c r="F8" s="58" t="s">
        <v>53</v>
      </c>
      <c r="G8" s="59">
        <v>45903</v>
      </c>
      <c r="H8" s="190">
        <v>10128</v>
      </c>
      <c r="I8" s="141">
        <v>8957.757999999998</v>
      </c>
      <c r="J8" s="60">
        <f t="shared" si="0"/>
        <v>0.88445477883096346</v>
      </c>
    </row>
    <row r="9" spans="1:10" ht="15" customHeight="1" x14ac:dyDescent="0.25">
      <c r="A9" s="164"/>
      <c r="B9" s="169" t="s">
        <v>4</v>
      </c>
      <c r="C9" s="177">
        <v>850</v>
      </c>
      <c r="D9" s="173">
        <v>36.299999999999997</v>
      </c>
      <c r="E9" s="80">
        <f t="shared" si="1"/>
        <v>4.2907360172537235E-3</v>
      </c>
      <c r="F9" s="58" t="s">
        <v>54</v>
      </c>
      <c r="G9" s="59">
        <v>45904</v>
      </c>
      <c r="H9" s="190">
        <v>9317</v>
      </c>
      <c r="I9" s="141">
        <v>8460.0869999999995</v>
      </c>
      <c r="J9" s="60">
        <f t="shared" si="0"/>
        <v>0.90802694000214657</v>
      </c>
    </row>
    <row r="10" spans="1:10" ht="15" customHeight="1" x14ac:dyDescent="0.25">
      <c r="A10" s="164"/>
      <c r="B10" s="169" t="s">
        <v>37</v>
      </c>
      <c r="C10" s="177">
        <v>42097</v>
      </c>
      <c r="D10" s="173">
        <v>1796.1560000000002</v>
      </c>
      <c r="E10" s="245">
        <f t="shared" si="1"/>
        <v>0.21230940060072673</v>
      </c>
      <c r="F10" s="58" t="s">
        <v>55</v>
      </c>
      <c r="G10" s="59">
        <v>45905</v>
      </c>
      <c r="H10" s="190">
        <v>6072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38</v>
      </c>
      <c r="C11" s="177">
        <v>46134</v>
      </c>
      <c r="D11" s="173">
        <v>1968.8069999999996</v>
      </c>
      <c r="E11" s="245">
        <f t="shared" si="1"/>
        <v>0.2327171103559573</v>
      </c>
      <c r="F11" s="58" t="s">
        <v>56</v>
      </c>
      <c r="G11" s="59">
        <v>45906</v>
      </c>
      <c r="H11" s="190">
        <v>7023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42</v>
      </c>
      <c r="C12" s="177"/>
      <c r="D12" s="173"/>
      <c r="E12" s="80">
        <f t="shared" si="1"/>
        <v>0</v>
      </c>
      <c r="F12" s="58" t="s">
        <v>57</v>
      </c>
      <c r="G12" s="59">
        <v>45907</v>
      </c>
      <c r="H12" s="190">
        <v>4661</v>
      </c>
      <c r="I12" s="141"/>
      <c r="J12" s="60">
        <f t="shared" si="0"/>
        <v>0</v>
      </c>
    </row>
    <row r="13" spans="1:10" ht="15" customHeight="1" x14ac:dyDescent="0.25">
      <c r="A13" s="164"/>
      <c r="B13" s="169" t="s">
        <v>34</v>
      </c>
      <c r="C13" s="177">
        <v>1224</v>
      </c>
      <c r="D13" s="173">
        <v>30.94</v>
      </c>
      <c r="E13" s="80">
        <f t="shared" si="1"/>
        <v>3.6571727926674991E-3</v>
      </c>
      <c r="H13" s="139">
        <f>+SUM(H6:H12)</f>
        <v>54084</v>
      </c>
      <c r="I13" s="142">
        <f>+SUM(I6:I12)</f>
        <v>32696.325000000004</v>
      </c>
      <c r="J13" s="140">
        <f t="shared" si="0"/>
        <v>0.60454709341025081</v>
      </c>
    </row>
    <row r="14" spans="1:10" ht="15" customHeight="1" x14ac:dyDescent="0.25">
      <c r="A14" s="164"/>
      <c r="B14" s="169" t="s">
        <v>43</v>
      </c>
      <c r="C14" s="177">
        <v>340</v>
      </c>
      <c r="D14" s="173">
        <v>513.80000000000007</v>
      </c>
      <c r="E14" s="80">
        <f t="shared" si="1"/>
        <v>6.0732235968731778E-2</v>
      </c>
      <c r="F14" s="112"/>
      <c r="G14" s="113">
        <v>2024</v>
      </c>
      <c r="H14" s="113">
        <v>2025</v>
      </c>
      <c r="I14" s="71"/>
    </row>
    <row r="15" spans="1:10" ht="15" customHeight="1" x14ac:dyDescent="0.25">
      <c r="A15" s="164"/>
      <c r="B15" s="169" t="s">
        <v>44</v>
      </c>
      <c r="C15" s="177">
        <v>22</v>
      </c>
      <c r="D15" s="173">
        <v>33.159999999999997</v>
      </c>
      <c r="E15" s="80">
        <f t="shared" si="1"/>
        <v>3.9195814416565691E-3</v>
      </c>
      <c r="F15" s="112" t="s">
        <v>108</v>
      </c>
      <c r="G15" s="190">
        <v>204007.80300000001</v>
      </c>
      <c r="H15" s="190">
        <v>190629.128</v>
      </c>
      <c r="I15" s="57">
        <f t="shared" ref="I15:I23" si="2">+H15/G15</f>
        <v>0.93442076820953746</v>
      </c>
    </row>
    <row r="16" spans="1:10" ht="15" customHeight="1" x14ac:dyDescent="0.25">
      <c r="A16" s="164"/>
      <c r="B16" s="169" t="s">
        <v>49</v>
      </c>
      <c r="C16" s="177">
        <v>60</v>
      </c>
      <c r="D16" s="173">
        <v>90.44</v>
      </c>
      <c r="E16" s="80">
        <f t="shared" si="1"/>
        <v>1.069019739395115E-2</v>
      </c>
      <c r="F16" s="112" t="s">
        <v>109</v>
      </c>
      <c r="G16" s="190">
        <v>186305.94399999996</v>
      </c>
      <c r="H16" s="190">
        <v>182874.285</v>
      </c>
      <c r="I16" s="57">
        <f t="shared" si="2"/>
        <v>0.9815805179033904</v>
      </c>
    </row>
    <row r="17" spans="1:10" ht="15" customHeight="1" x14ac:dyDescent="0.25">
      <c r="A17" s="164"/>
      <c r="B17" s="169" t="s">
        <v>88</v>
      </c>
      <c r="C17" s="177">
        <v>20</v>
      </c>
      <c r="D17" s="173">
        <v>29.95</v>
      </c>
      <c r="E17" s="80">
        <f t="shared" si="1"/>
        <v>3.54015271946967E-3</v>
      </c>
      <c r="F17" s="112" t="s">
        <v>110</v>
      </c>
      <c r="G17" s="190">
        <v>199570.19199999989</v>
      </c>
      <c r="H17" s="190">
        <v>197224.22099999999</v>
      </c>
      <c r="I17" s="57">
        <f t="shared" si="2"/>
        <v>0.98824488278289624</v>
      </c>
    </row>
    <row r="18" spans="1:10" ht="15" customHeight="1" x14ac:dyDescent="0.25">
      <c r="A18" s="164"/>
      <c r="B18" s="169" t="s">
        <v>41</v>
      </c>
      <c r="C18" s="177">
        <v>229</v>
      </c>
      <c r="D18" s="173">
        <v>346.66999999999996</v>
      </c>
      <c r="E18" s="80">
        <f t="shared" si="1"/>
        <v>4.0977119975243753E-2</v>
      </c>
      <c r="F18" s="112" t="s">
        <v>111</v>
      </c>
      <c r="G18" s="190">
        <v>205343.72800000012</v>
      </c>
      <c r="H18" s="190">
        <v>198970.75799999986</v>
      </c>
      <c r="I18" s="57">
        <f t="shared" si="2"/>
        <v>0.96896437956945902</v>
      </c>
    </row>
    <row r="19" spans="1:10" ht="15" customHeight="1" x14ac:dyDescent="0.25">
      <c r="A19" s="164"/>
      <c r="B19" s="169" t="s">
        <v>39</v>
      </c>
      <c r="C19" s="177">
        <v>510</v>
      </c>
      <c r="D19" s="173">
        <v>771.12000000000012</v>
      </c>
      <c r="E19" s="80">
        <f t="shared" si="1"/>
        <v>9.1147998832636135E-2</v>
      </c>
      <c r="F19" s="112" t="s">
        <v>102</v>
      </c>
      <c r="G19" s="190">
        <v>209473.77399999995</v>
      </c>
      <c r="H19" s="190">
        <v>212393.17300000001</v>
      </c>
      <c r="I19" s="236">
        <f t="shared" si="2"/>
        <v>1.0139368234230604</v>
      </c>
    </row>
    <row r="20" spans="1:10" ht="15" customHeight="1" x14ac:dyDescent="0.25">
      <c r="A20" s="164"/>
      <c r="B20" s="169" t="s">
        <v>39</v>
      </c>
      <c r="C20" s="177"/>
      <c r="D20" s="173"/>
      <c r="E20" s="80">
        <f t="shared" si="1"/>
        <v>0</v>
      </c>
      <c r="F20" s="112" t="s">
        <v>125</v>
      </c>
      <c r="G20" s="190">
        <v>196506.86</v>
      </c>
      <c r="H20" s="190">
        <v>204590</v>
      </c>
      <c r="I20" s="236">
        <f t="shared" si="2"/>
        <v>1.0411341364876525</v>
      </c>
      <c r="J20" s="108">
        <v>-14526.736000000266</v>
      </c>
    </row>
    <row r="21" spans="1:10" ht="15" customHeight="1" x14ac:dyDescent="0.25">
      <c r="A21" s="164"/>
      <c r="B21" s="169" t="s">
        <v>85</v>
      </c>
      <c r="C21" s="177"/>
      <c r="D21" s="173"/>
      <c r="E21" s="80">
        <f>+D21/$D$4</f>
        <v>0</v>
      </c>
      <c r="F21" s="112" t="s">
        <v>132</v>
      </c>
      <c r="G21" s="190">
        <v>219516.23899999997</v>
      </c>
      <c r="H21" s="190">
        <v>222445.37700000001</v>
      </c>
      <c r="I21" s="98">
        <f t="shared" si="2"/>
        <v>1.0133436050715139</v>
      </c>
      <c r="J21" s="108">
        <v>-11597.598000000231</v>
      </c>
    </row>
    <row r="22" spans="1:10" ht="15" customHeight="1" x14ac:dyDescent="0.25">
      <c r="A22" s="164"/>
      <c r="B22" s="169" t="s">
        <v>40</v>
      </c>
      <c r="C22" s="177"/>
      <c r="D22" s="173"/>
      <c r="E22" s="80">
        <f t="shared" si="1"/>
        <v>0</v>
      </c>
      <c r="F22" s="112" t="s">
        <v>135</v>
      </c>
      <c r="G22" s="272">
        <v>232937.965</v>
      </c>
      <c r="H22" s="272">
        <v>233567.97099999999</v>
      </c>
      <c r="I22" s="98">
        <f t="shared" si="2"/>
        <v>1.0027046084995204</v>
      </c>
      <c r="J22" s="108">
        <v>-10967.592000000412</v>
      </c>
    </row>
    <row r="23" spans="1:10" ht="15" customHeight="1" x14ac:dyDescent="0.25">
      <c r="A23" s="164"/>
      <c r="B23" s="169" t="s">
        <v>9</v>
      </c>
      <c r="C23" s="177"/>
      <c r="D23" s="173">
        <v>94.31</v>
      </c>
      <c r="E23" s="80">
        <f t="shared" si="1"/>
        <v>1.1147639498269937E-2</v>
      </c>
      <c r="F23" s="112" t="s">
        <v>160</v>
      </c>
      <c r="G23" s="272">
        <v>231021.16800000001</v>
      </c>
      <c r="H23" s="272">
        <f>+D27</f>
        <v>32696.324000000001</v>
      </c>
      <c r="I23" s="98">
        <f t="shared" si="2"/>
        <v>0.14152955888440491</v>
      </c>
    </row>
    <row r="24" spans="1:10" ht="15" customHeight="1" x14ac:dyDescent="0.25">
      <c r="A24" s="164"/>
      <c r="B24" s="169" t="s">
        <v>46</v>
      </c>
      <c r="C24" s="177"/>
      <c r="D24" s="173">
        <v>58.35</v>
      </c>
      <c r="E24" s="80">
        <f t="shared" si="1"/>
        <v>6.8970921930235473E-3</v>
      </c>
      <c r="F24" s="112" t="s">
        <v>161</v>
      </c>
      <c r="G24" s="112"/>
      <c r="H24" s="112"/>
    </row>
    <row r="25" spans="1:10" ht="15" customHeight="1" thickBot="1" x14ac:dyDescent="0.3">
      <c r="A25" s="164"/>
      <c r="B25" s="169" t="s">
        <v>40</v>
      </c>
      <c r="C25" s="177"/>
      <c r="D25" s="173">
        <v>512.61</v>
      </c>
      <c r="E25" s="80">
        <f t="shared" si="1"/>
        <v>6.0591575476706093E-2</v>
      </c>
      <c r="G25" s="273">
        <f>+SUM(G15:G23)</f>
        <v>1884683.6730000002</v>
      </c>
      <c r="H25" s="273">
        <f>+SUM(H15:H23)</f>
        <v>1675391.2369999997</v>
      </c>
      <c r="I25" s="274">
        <f>+H25/G25</f>
        <v>0.88895089451968712</v>
      </c>
      <c r="J25" s="275">
        <f>+H25-G25</f>
        <v>-209292.43600000045</v>
      </c>
    </row>
    <row r="26" spans="1:10" ht="15" customHeight="1" thickBot="1" x14ac:dyDescent="0.3">
      <c r="B26" s="178" t="s">
        <v>0</v>
      </c>
      <c r="C26" s="170"/>
      <c r="D26" s="171">
        <f>SUM(D5:D25)</f>
        <v>8460.0869999999995</v>
      </c>
      <c r="E26" s="80">
        <f t="shared" si="1"/>
        <v>1</v>
      </c>
      <c r="F26" s="163"/>
    </row>
    <row r="27" spans="1:10" ht="15" customHeight="1" x14ac:dyDescent="0.25">
      <c r="B27" s="166" t="s">
        <v>1</v>
      </c>
      <c r="C27" s="167"/>
      <c r="D27" s="233">
        <v>32696.324000000001</v>
      </c>
      <c r="E27" s="98">
        <f>+D27/E3</f>
        <v>0.14114414725536581</v>
      </c>
      <c r="F27" s="163"/>
      <c r="G27" s="179"/>
    </row>
    <row r="28" spans="1:10" x14ac:dyDescent="0.25">
      <c r="D28" s="108">
        <f>+(E3/30)*4</f>
        <v>30886.933333333334</v>
      </c>
      <c r="E28" s="98">
        <f>+D28/E3</f>
        <v>0.13333333333333333</v>
      </c>
    </row>
    <row r="29" spans="1:10" x14ac:dyDescent="0.25">
      <c r="D29" s="138">
        <f>+D27-D28</f>
        <v>1809.3906666666662</v>
      </c>
      <c r="E29" s="251">
        <f>E27-E28</f>
        <v>7.8108139220324779E-3</v>
      </c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</row>
    <row r="32" spans="1:10" x14ac:dyDescent="0.25">
      <c r="B32" s="162" t="s">
        <v>61</v>
      </c>
      <c r="C32" s="162">
        <v>1655</v>
      </c>
      <c r="D32" s="108">
        <v>2142</v>
      </c>
      <c r="E32" s="57">
        <f>+C32/D32</f>
        <v>0.77264239028944914</v>
      </c>
      <c r="G32" s="86" t="s">
        <v>86</v>
      </c>
      <c r="H32" s="87">
        <f>6985-1200</f>
        <v>5785</v>
      </c>
      <c r="I32" s="88">
        <v>174.625</v>
      </c>
      <c r="J32" s="228"/>
    </row>
    <row r="33" spans="1:11" x14ac:dyDescent="0.25">
      <c r="B33" s="162" t="s">
        <v>62</v>
      </c>
      <c r="C33" s="162">
        <v>1676</v>
      </c>
      <c r="D33" s="108">
        <v>1890</v>
      </c>
      <c r="E33" s="57">
        <f>+C33/D33</f>
        <v>0.88677248677248677</v>
      </c>
      <c r="G33" s="86" t="s">
        <v>171</v>
      </c>
      <c r="H33" s="87">
        <v>14</v>
      </c>
      <c r="I33" s="88">
        <v>0.35000000000000003</v>
      </c>
      <c r="J33" s="228"/>
    </row>
    <row r="34" spans="1:11" x14ac:dyDescent="0.25">
      <c r="B34" s="162" t="s">
        <v>63</v>
      </c>
      <c r="C34" s="67">
        <v>1104</v>
      </c>
      <c r="D34" s="108">
        <v>3006</v>
      </c>
      <c r="E34" s="57">
        <f>+C34/D34</f>
        <v>0.36726546906187624</v>
      </c>
      <c r="G34" s="89" t="s">
        <v>169</v>
      </c>
      <c r="H34" s="87">
        <f>38+4</f>
        <v>42</v>
      </c>
      <c r="I34" s="88">
        <v>117</v>
      </c>
      <c r="J34" s="228"/>
    </row>
    <row r="35" spans="1:11" x14ac:dyDescent="0.25">
      <c r="C35" s="162">
        <f>+SUM(C32:C34)</f>
        <v>4435</v>
      </c>
      <c r="D35" s="110">
        <f>+SUM(D32:D34)</f>
        <v>7038</v>
      </c>
      <c r="E35" s="57">
        <f>+C35/D35</f>
        <v>0.63015061096902525</v>
      </c>
      <c r="G35" s="89" t="s">
        <v>168</v>
      </c>
      <c r="H35" s="87">
        <v>81</v>
      </c>
      <c r="I35" s="88">
        <v>121.5</v>
      </c>
      <c r="J35" s="228"/>
    </row>
    <row r="36" spans="1:11" x14ac:dyDescent="0.25">
      <c r="G36" s="231" t="s">
        <v>123</v>
      </c>
      <c r="H36" s="138">
        <v>231</v>
      </c>
      <c r="I36" s="232">
        <v>346.5</v>
      </c>
      <c r="J36" s="218" t="s">
        <v>146</v>
      </c>
    </row>
    <row r="37" spans="1:1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239</v>
      </c>
      <c r="I38" s="88">
        <f>+H38*1.5</f>
        <v>358.5</v>
      </c>
      <c r="J38" s="224" t="s">
        <v>152</v>
      </c>
    </row>
    <row r="39" spans="1:11" x14ac:dyDescent="0.25">
      <c r="B39" s="73">
        <v>6</v>
      </c>
      <c r="C39" s="74">
        <v>2</v>
      </c>
      <c r="D39" s="74">
        <v>14</v>
      </c>
      <c r="E39" s="75">
        <f>+SUM(B39:D39)</f>
        <v>22</v>
      </c>
      <c r="J39" s="218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</row>
    <row r="43" spans="1:11" x14ac:dyDescent="0.25">
      <c r="A43" s="207" t="s">
        <v>71</v>
      </c>
      <c r="B43" s="199">
        <v>6.24</v>
      </c>
      <c r="C43" s="199">
        <v>2056</v>
      </c>
      <c r="D43" s="200">
        <v>3600</v>
      </c>
      <c r="E43" s="201">
        <f t="shared" si="3"/>
        <v>0.57111111111111112</v>
      </c>
      <c r="F43" s="201">
        <f t="shared" si="4"/>
        <v>0.26</v>
      </c>
      <c r="G43" s="202">
        <v>12</v>
      </c>
      <c r="H43" s="71"/>
    </row>
    <row r="44" spans="1:11" x14ac:dyDescent="0.25">
      <c r="A44" s="207" t="s">
        <v>72</v>
      </c>
      <c r="B44" s="199">
        <v>9.56</v>
      </c>
      <c r="C44" s="199">
        <v>1269</v>
      </c>
      <c r="D44" s="200">
        <v>3900</v>
      </c>
      <c r="E44" s="201">
        <f t="shared" si="3"/>
        <v>0.32538461538461538</v>
      </c>
      <c r="F44" s="201">
        <f t="shared" si="4"/>
        <v>0.39833333333333337</v>
      </c>
      <c r="G44" s="202">
        <v>12</v>
      </c>
      <c r="H44" s="237" t="s">
        <v>182</v>
      </c>
    </row>
    <row r="45" spans="1:11" x14ac:dyDescent="0.25">
      <c r="A45" s="207" t="s">
        <v>73</v>
      </c>
      <c r="B45" s="199">
        <v>13.6</v>
      </c>
      <c r="C45" s="199">
        <v>2830</v>
      </c>
      <c r="D45" s="200">
        <v>3900</v>
      </c>
      <c r="E45" s="201">
        <f t="shared" si="3"/>
        <v>0.72564102564102562</v>
      </c>
      <c r="F45" s="201">
        <f t="shared" si="4"/>
        <v>0.56666666666666665</v>
      </c>
      <c r="G45" s="202">
        <v>12</v>
      </c>
      <c r="H45" s="282">
        <v>45899</v>
      </c>
      <c r="I45" s="283" t="s">
        <v>175</v>
      </c>
      <c r="J45" s="283">
        <v>63</v>
      </c>
      <c r="K45" s="283" t="s">
        <v>177</v>
      </c>
    </row>
    <row r="46" spans="1:11" x14ac:dyDescent="0.25">
      <c r="A46" s="207" t="s">
        <v>74</v>
      </c>
      <c r="B46" s="199">
        <v>17.760000000000002</v>
      </c>
      <c r="C46" s="199">
        <v>2378</v>
      </c>
      <c r="D46" s="200">
        <v>3900</v>
      </c>
      <c r="E46" s="201">
        <f t="shared" si="3"/>
        <v>0.60974358974358978</v>
      </c>
      <c r="F46" s="201">
        <f t="shared" si="4"/>
        <v>0.7400000000000001</v>
      </c>
      <c r="G46" s="202">
        <v>12</v>
      </c>
      <c r="H46" s="282">
        <v>45899</v>
      </c>
      <c r="I46" s="283" t="s">
        <v>176</v>
      </c>
      <c r="J46" s="283">
        <v>171</v>
      </c>
      <c r="K46" s="283" t="s">
        <v>177</v>
      </c>
    </row>
    <row r="47" spans="1:11" x14ac:dyDescent="0.25">
      <c r="A47" s="259" t="s">
        <v>75</v>
      </c>
      <c r="B47" s="260">
        <v>7.92</v>
      </c>
      <c r="C47" s="261">
        <v>2943</v>
      </c>
      <c r="D47" s="262">
        <v>4300</v>
      </c>
      <c r="E47" s="263">
        <f t="shared" si="3"/>
        <v>0.68441860465116278</v>
      </c>
      <c r="F47" s="201">
        <f t="shared" si="4"/>
        <v>0.33</v>
      </c>
      <c r="G47" s="202">
        <v>16</v>
      </c>
      <c r="H47" s="282">
        <v>45900</v>
      </c>
      <c r="I47" s="283" t="s">
        <v>175</v>
      </c>
      <c r="J47" s="283">
        <v>225</v>
      </c>
      <c r="K47" s="283" t="s">
        <v>177</v>
      </c>
    </row>
    <row r="48" spans="1:11" x14ac:dyDescent="0.25">
      <c r="C48" s="71" t="s">
        <v>83</v>
      </c>
      <c r="D48" s="72" t="s">
        <v>79</v>
      </c>
      <c r="H48" s="282">
        <v>45900</v>
      </c>
      <c r="I48" s="283" t="s">
        <v>176</v>
      </c>
      <c r="J48" s="283">
        <v>175</v>
      </c>
      <c r="K48" s="283" t="s">
        <v>177</v>
      </c>
    </row>
    <row r="49" spans="2:11" x14ac:dyDescent="0.25">
      <c r="B49" s="162" t="s">
        <v>78</v>
      </c>
      <c r="H49" s="71"/>
      <c r="I49" s="284" t="s">
        <v>178</v>
      </c>
      <c r="J49" s="284">
        <f>+SUM(J45:J48)</f>
        <v>634</v>
      </c>
      <c r="K49" s="284" t="s">
        <v>177</v>
      </c>
    </row>
    <row r="50" spans="2:11" x14ac:dyDescent="0.25">
      <c r="C50" s="71">
        <v>1</v>
      </c>
      <c r="D50" s="225" t="s">
        <v>153</v>
      </c>
      <c r="H50" s="71"/>
      <c r="I50" s="284" t="s">
        <v>179</v>
      </c>
      <c r="J50" s="284">
        <f>+J49*1.5</f>
        <v>951</v>
      </c>
      <c r="K50" s="284" t="s">
        <v>92</v>
      </c>
    </row>
    <row r="51" spans="2:11" x14ac:dyDescent="0.25">
      <c r="C51" s="71">
        <v>2</v>
      </c>
      <c r="D51" s="225" t="s">
        <v>153</v>
      </c>
      <c r="H51" s="71"/>
    </row>
    <row r="52" spans="2:11" x14ac:dyDescent="0.25">
      <c r="C52" s="71">
        <v>3</v>
      </c>
      <c r="D52" s="225" t="s">
        <v>154</v>
      </c>
      <c r="H52" s="71"/>
    </row>
    <row r="53" spans="2:11" x14ac:dyDescent="0.25">
      <c r="C53" s="71">
        <v>4</v>
      </c>
      <c r="D53" s="108">
        <v>0</v>
      </c>
      <c r="H53" s="71"/>
    </row>
    <row r="54" spans="2:11" x14ac:dyDescent="0.25">
      <c r="C54" s="71">
        <v>5</v>
      </c>
      <c r="D54" s="108">
        <v>10</v>
      </c>
    </row>
    <row r="55" spans="2:11" x14ac:dyDescent="0.25">
      <c r="C55" s="71">
        <v>6</v>
      </c>
      <c r="D55" s="108">
        <v>9</v>
      </c>
    </row>
    <row r="56" spans="2:11" x14ac:dyDescent="0.25">
      <c r="C56" s="71">
        <v>7</v>
      </c>
      <c r="D56" s="225" t="s">
        <v>153</v>
      </c>
    </row>
    <row r="57" spans="2:11" x14ac:dyDescent="0.25">
      <c r="C57" s="71">
        <v>8</v>
      </c>
      <c r="D57" s="225" t="s">
        <v>153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activeCell="D4" sqref="D4"/>
    </sheetView>
  </sheetViews>
  <sheetFormatPr baseColWidth="10" defaultColWidth="11.42578125" defaultRowHeight="15.75" x14ac:dyDescent="0.25"/>
  <cols>
    <col min="1" max="1" width="2.42578125" style="162" customWidth="1"/>
    <col min="2" max="2" width="48.7109375" style="162" customWidth="1"/>
    <col min="3" max="3" width="15.28515625" style="162" customWidth="1"/>
    <col min="4" max="4" width="15.28515625" style="163" customWidth="1"/>
    <col min="5" max="5" width="15.5703125" style="162" bestFit="1" customWidth="1"/>
    <col min="6" max="10" width="11.42578125" style="162"/>
    <col min="11" max="11" width="4" style="162" customWidth="1"/>
    <col min="12" max="16384" width="11.42578125" style="162"/>
  </cols>
  <sheetData>
    <row r="1" spans="1:10" ht="15" customHeight="1" x14ac:dyDescent="0.25">
      <c r="A1" s="161"/>
      <c r="B1" s="518">
        <v>45907</v>
      </c>
      <c r="C1" s="518"/>
      <c r="D1" s="518"/>
    </row>
    <row r="2" spans="1:10" x14ac:dyDescent="0.25">
      <c r="E2" s="61" t="s">
        <v>181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231652</v>
      </c>
      <c r="F3" s="61"/>
    </row>
    <row r="4" spans="1:10" ht="19.5" customHeight="1" thickBot="1" x14ac:dyDescent="0.4">
      <c r="A4" s="164"/>
      <c r="B4" s="285"/>
      <c r="C4" s="285"/>
      <c r="D4" s="165">
        <f>D22</f>
        <v>5911.6880000000001</v>
      </c>
      <c r="E4" s="108">
        <f>+E3/30</f>
        <v>7721.7333333333336</v>
      </c>
      <c r="F4" s="62"/>
    </row>
    <row r="5" spans="1:10" ht="15" customHeight="1" x14ac:dyDescent="0.25">
      <c r="A5" s="164"/>
      <c r="B5" s="168" t="s">
        <v>6</v>
      </c>
      <c r="C5" s="176">
        <v>3138</v>
      </c>
      <c r="D5" s="172">
        <v>134.03200000000001</v>
      </c>
      <c r="E5" s="80">
        <f>+D5/$D$4</f>
        <v>2.2672373778859778E-2</v>
      </c>
      <c r="F5" s="57"/>
      <c r="H5" s="69" t="s">
        <v>58</v>
      </c>
      <c r="I5" s="278" t="s">
        <v>59</v>
      </c>
      <c r="J5" s="69" t="s">
        <v>80</v>
      </c>
    </row>
    <row r="6" spans="1:10" ht="15" customHeight="1" x14ac:dyDescent="0.25">
      <c r="A6" s="164"/>
      <c r="B6" s="169" t="s">
        <v>10</v>
      </c>
      <c r="C6" s="177">
        <v>10883</v>
      </c>
      <c r="D6" s="173">
        <v>463.72500000000008</v>
      </c>
      <c r="E6" s="80">
        <f>+D6/$D$4</f>
        <v>7.8442062571637758E-2</v>
      </c>
      <c r="F6" s="58" t="s">
        <v>51</v>
      </c>
      <c r="G6" s="59">
        <v>45901</v>
      </c>
      <c r="H6" s="190">
        <v>7492</v>
      </c>
      <c r="I6" s="141">
        <v>6082.7990000000027</v>
      </c>
      <c r="J6" s="60">
        <f t="shared" ref="J6:J13" si="0">+I6/H6</f>
        <v>0.81190589962626836</v>
      </c>
    </row>
    <row r="7" spans="1:10" ht="15" customHeight="1" x14ac:dyDescent="0.25">
      <c r="A7" s="164"/>
      <c r="B7" s="169" t="s">
        <v>35</v>
      </c>
      <c r="C7" s="177">
        <v>26597</v>
      </c>
      <c r="D7" s="173">
        <v>1133.4440000000004</v>
      </c>
      <c r="E7" s="245">
        <f>+D7/$D$4</f>
        <v>0.19172933348309323</v>
      </c>
      <c r="F7" s="58" t="s">
        <v>52</v>
      </c>
      <c r="G7" s="59">
        <v>45902</v>
      </c>
      <c r="H7" s="190">
        <v>9391</v>
      </c>
      <c r="I7" s="141">
        <v>9195.6810000000023</v>
      </c>
      <c r="J7" s="60">
        <f t="shared" si="0"/>
        <v>0.9792014694920671</v>
      </c>
    </row>
    <row r="8" spans="1:10" ht="15" customHeight="1" x14ac:dyDescent="0.25">
      <c r="A8" s="164"/>
      <c r="B8" s="169" t="s">
        <v>4</v>
      </c>
      <c r="C8" s="177">
        <v>6215</v>
      </c>
      <c r="D8" s="173">
        <v>265.45999999999998</v>
      </c>
      <c r="E8" s="80">
        <f t="shared" ref="E8:E22" si="1">+D8/$D$4</f>
        <v>4.4904264230453295E-2</v>
      </c>
      <c r="F8" s="58" t="s">
        <v>53</v>
      </c>
      <c r="G8" s="59">
        <v>45903</v>
      </c>
      <c r="H8" s="190">
        <v>10128</v>
      </c>
      <c r="I8" s="141">
        <v>8957.757999999998</v>
      </c>
      <c r="J8" s="60">
        <f t="shared" si="0"/>
        <v>0.88445477883096346</v>
      </c>
    </row>
    <row r="9" spans="1:10" ht="15" customHeight="1" x14ac:dyDescent="0.25">
      <c r="A9" s="164"/>
      <c r="B9" s="169" t="s">
        <v>37</v>
      </c>
      <c r="C9" s="177">
        <v>19491</v>
      </c>
      <c r="D9" s="173">
        <v>831.50999999999988</v>
      </c>
      <c r="E9" s="245">
        <f t="shared" si="1"/>
        <v>0.14065525785528599</v>
      </c>
      <c r="F9" s="58" t="s">
        <v>54</v>
      </c>
      <c r="G9" s="59">
        <v>45904</v>
      </c>
      <c r="H9" s="190">
        <v>9317</v>
      </c>
      <c r="I9" s="141">
        <v>8460.0869999999995</v>
      </c>
      <c r="J9" s="60">
        <f t="shared" si="0"/>
        <v>0.90802694000214657</v>
      </c>
    </row>
    <row r="10" spans="1:10" ht="15" customHeight="1" x14ac:dyDescent="0.25">
      <c r="A10" s="164"/>
      <c r="B10" s="169" t="s">
        <v>38</v>
      </c>
      <c r="C10" s="177">
        <v>25155</v>
      </c>
      <c r="D10" s="173">
        <v>1072.6760000000002</v>
      </c>
      <c r="E10" s="245">
        <f t="shared" si="1"/>
        <v>0.18145003592882442</v>
      </c>
      <c r="F10" s="58" t="s">
        <v>55</v>
      </c>
      <c r="G10" s="59">
        <v>45905</v>
      </c>
      <c r="H10" s="190">
        <v>6072</v>
      </c>
      <c r="I10" s="141">
        <v>8663.42</v>
      </c>
      <c r="J10" s="60">
        <f t="shared" si="0"/>
        <v>1.4267819499341239</v>
      </c>
    </row>
    <row r="11" spans="1:10" ht="15" customHeight="1" x14ac:dyDescent="0.25">
      <c r="A11" s="164"/>
      <c r="B11" s="169" t="s">
        <v>42</v>
      </c>
      <c r="C11" s="177">
        <v>6390</v>
      </c>
      <c r="D11" s="173">
        <v>273.13</v>
      </c>
      <c r="E11" s="80">
        <f t="shared" si="1"/>
        <v>4.6201694000089312E-2</v>
      </c>
      <c r="F11" s="58" t="s">
        <v>56</v>
      </c>
      <c r="G11" s="59">
        <v>45906</v>
      </c>
      <c r="H11" s="190">
        <v>7023</v>
      </c>
      <c r="I11" s="141">
        <v>6879.58</v>
      </c>
      <c r="J11" s="60">
        <f t="shared" si="0"/>
        <v>0.97957852769471732</v>
      </c>
    </row>
    <row r="12" spans="1:10" ht="15" customHeight="1" x14ac:dyDescent="0.25">
      <c r="A12" s="164"/>
      <c r="B12" s="169" t="s">
        <v>47</v>
      </c>
      <c r="C12" s="177">
        <v>1296</v>
      </c>
      <c r="D12" s="173">
        <v>32.792000000000002</v>
      </c>
      <c r="E12" s="80">
        <f t="shared" si="1"/>
        <v>5.5469774453590923E-3</v>
      </c>
      <c r="F12" s="58" t="s">
        <v>57</v>
      </c>
      <c r="G12" s="59">
        <v>45907</v>
      </c>
      <c r="H12" s="190">
        <v>4661</v>
      </c>
      <c r="I12" s="141">
        <v>5911.6880000000001</v>
      </c>
      <c r="J12" s="60">
        <f t="shared" si="0"/>
        <v>1.2683304012014589</v>
      </c>
    </row>
    <row r="13" spans="1:10" ht="15" customHeight="1" x14ac:dyDescent="0.25">
      <c r="A13" s="164"/>
      <c r="B13" s="169" t="s">
        <v>95</v>
      </c>
      <c r="C13" s="177">
        <v>28</v>
      </c>
      <c r="D13" s="173">
        <v>0.70899999999999996</v>
      </c>
      <c r="E13" s="80">
        <f t="shared" si="1"/>
        <v>1.1993190439008283E-4</v>
      </c>
      <c r="H13" s="139">
        <f>+SUM(H6:H12)</f>
        <v>54084</v>
      </c>
      <c r="I13" s="142">
        <f>+SUM(I6:I12)</f>
        <v>54151.013000000006</v>
      </c>
      <c r="J13" s="140">
        <f t="shared" si="0"/>
        <v>1.0012390540640486</v>
      </c>
    </row>
    <row r="14" spans="1:10" ht="15" customHeight="1" x14ac:dyDescent="0.25">
      <c r="A14" s="164"/>
      <c r="B14" s="169" t="s">
        <v>44</v>
      </c>
      <c r="C14" s="177">
        <v>20</v>
      </c>
      <c r="D14" s="173">
        <v>30.21</v>
      </c>
      <c r="E14" s="80">
        <f t="shared" si="1"/>
        <v>5.1102155594138256E-3</v>
      </c>
      <c r="F14" s="112"/>
      <c r="G14" s="113">
        <v>2024</v>
      </c>
      <c r="H14" s="113">
        <v>2025</v>
      </c>
      <c r="I14" s="71"/>
    </row>
    <row r="15" spans="1:10" ht="15" customHeight="1" x14ac:dyDescent="0.25">
      <c r="A15" s="164"/>
      <c r="B15" s="169" t="s">
        <v>39</v>
      </c>
      <c r="C15" s="177">
        <v>469</v>
      </c>
      <c r="D15" s="173">
        <v>707.31999999999994</v>
      </c>
      <c r="E15" s="80">
        <f t="shared" si="1"/>
        <v>0.11964772159829813</v>
      </c>
      <c r="F15" s="112" t="s">
        <v>108</v>
      </c>
      <c r="G15" s="190">
        <v>204007.80300000001</v>
      </c>
      <c r="H15" s="190">
        <v>190629.128</v>
      </c>
      <c r="I15" s="57">
        <f t="shared" ref="I15:I23" si="2">+H15/G15</f>
        <v>0.93442076820953746</v>
      </c>
    </row>
    <row r="16" spans="1:10" ht="15" customHeight="1" x14ac:dyDescent="0.25">
      <c r="A16" s="164"/>
      <c r="B16" s="169" t="s">
        <v>43</v>
      </c>
      <c r="C16" s="177">
        <v>132</v>
      </c>
      <c r="D16" s="173">
        <v>199.08</v>
      </c>
      <c r="E16" s="80">
        <f t="shared" si="1"/>
        <v>3.3675660826484752E-2</v>
      </c>
      <c r="F16" s="112" t="s">
        <v>109</v>
      </c>
      <c r="G16" s="190">
        <v>186305.94399999996</v>
      </c>
      <c r="H16" s="190">
        <v>182874.285</v>
      </c>
      <c r="I16" s="57">
        <f t="shared" si="2"/>
        <v>0.9815805179033904</v>
      </c>
    </row>
    <row r="17" spans="1:10" ht="15" customHeight="1" x14ac:dyDescent="0.25">
      <c r="A17" s="164"/>
      <c r="B17" s="169" t="s">
        <v>49</v>
      </c>
      <c r="C17" s="177">
        <v>80</v>
      </c>
      <c r="D17" s="173">
        <v>120.66999999999999</v>
      </c>
      <c r="E17" s="80">
        <f t="shared" si="1"/>
        <v>2.041210564562947E-2</v>
      </c>
      <c r="F17" s="112" t="s">
        <v>110</v>
      </c>
      <c r="G17" s="190">
        <v>199570.19199999989</v>
      </c>
      <c r="H17" s="190">
        <v>197224.22099999999</v>
      </c>
      <c r="I17" s="57">
        <f t="shared" si="2"/>
        <v>0.98824488278289624</v>
      </c>
    </row>
    <row r="18" spans="1:10" ht="15" customHeight="1" x14ac:dyDescent="0.25">
      <c r="A18" s="164"/>
      <c r="B18" s="169" t="s">
        <v>41</v>
      </c>
      <c r="C18" s="177">
        <v>145</v>
      </c>
      <c r="D18" s="173">
        <v>218.51000000000002</v>
      </c>
      <c r="E18" s="80">
        <f t="shared" si="1"/>
        <v>3.6962370138613546E-2</v>
      </c>
      <c r="F18" s="112" t="s">
        <v>111</v>
      </c>
      <c r="G18" s="190">
        <v>205343.72800000012</v>
      </c>
      <c r="H18" s="190">
        <v>198970.75799999986</v>
      </c>
      <c r="I18" s="57">
        <f t="shared" si="2"/>
        <v>0.96896437956945902</v>
      </c>
    </row>
    <row r="19" spans="1:10" ht="15" customHeight="1" x14ac:dyDescent="0.25">
      <c r="A19" s="164"/>
      <c r="B19" s="169" t="s">
        <v>40</v>
      </c>
      <c r="C19" s="177"/>
      <c r="D19" s="173">
        <v>334.11</v>
      </c>
      <c r="E19" s="80">
        <f t="shared" si="1"/>
        <v>5.6516852716178526E-2</v>
      </c>
      <c r="F19" s="112" t="s">
        <v>102</v>
      </c>
      <c r="G19" s="190">
        <v>209473.77399999995</v>
      </c>
      <c r="H19" s="190">
        <v>212393.17300000001</v>
      </c>
      <c r="I19" s="236">
        <f t="shared" si="2"/>
        <v>1.0139368234230604</v>
      </c>
    </row>
    <row r="20" spans="1:10" ht="15" customHeight="1" x14ac:dyDescent="0.25">
      <c r="A20" s="164"/>
      <c r="B20" s="169" t="s">
        <v>9</v>
      </c>
      <c r="C20" s="177"/>
      <c r="D20" s="173">
        <v>30.95</v>
      </c>
      <c r="E20" s="80">
        <f t="shared" si="1"/>
        <v>5.2353913129380304E-3</v>
      </c>
      <c r="F20" s="112" t="s">
        <v>125</v>
      </c>
      <c r="G20" s="190">
        <v>196506.86</v>
      </c>
      <c r="H20" s="190">
        <v>204590</v>
      </c>
      <c r="I20" s="236">
        <f t="shared" si="2"/>
        <v>1.0411341364876525</v>
      </c>
      <c r="J20" s="108">
        <v>-14526.736000000266</v>
      </c>
    </row>
    <row r="21" spans="1:10" ht="15" customHeight="1" thickBot="1" x14ac:dyDescent="0.3">
      <c r="A21" s="164"/>
      <c r="B21" s="169" t="s">
        <v>46</v>
      </c>
      <c r="C21" s="177"/>
      <c r="D21" s="173">
        <v>63.36</v>
      </c>
      <c r="E21" s="80">
        <f>+D21/$D$4</f>
        <v>1.0717751004450844E-2</v>
      </c>
      <c r="F21" s="112" t="s">
        <v>132</v>
      </c>
      <c r="G21" s="190">
        <v>219516.23899999997</v>
      </c>
      <c r="H21" s="190">
        <v>222445.37700000001</v>
      </c>
      <c r="I21" s="98">
        <f t="shared" si="2"/>
        <v>1.0133436050715139</v>
      </c>
      <c r="J21" s="108">
        <v>-11597.598000000231</v>
      </c>
    </row>
    <row r="22" spans="1:10" ht="15" customHeight="1" thickBot="1" x14ac:dyDescent="0.3">
      <c r="B22" s="178" t="s">
        <v>0</v>
      </c>
      <c r="C22" s="170"/>
      <c r="D22" s="171">
        <f>SUM(D5:D21)</f>
        <v>5911.6880000000001</v>
      </c>
      <c r="E22" s="80">
        <f t="shared" si="1"/>
        <v>1</v>
      </c>
      <c r="F22" s="112" t="s">
        <v>135</v>
      </c>
      <c r="G22" s="272">
        <v>232937.965</v>
      </c>
      <c r="H22" s="272">
        <v>233567.97099999999</v>
      </c>
      <c r="I22" s="98">
        <f t="shared" si="2"/>
        <v>1.0027046084995204</v>
      </c>
      <c r="J22" s="108">
        <v>-10967.592000000412</v>
      </c>
    </row>
    <row r="23" spans="1:10" ht="15" customHeight="1" x14ac:dyDescent="0.25">
      <c r="B23" s="166" t="s">
        <v>1</v>
      </c>
      <c r="C23" s="167"/>
      <c r="D23" s="233">
        <v>54240.950999999994</v>
      </c>
      <c r="E23" s="98">
        <f>+D23/$E$3</f>
        <v>0.23414842522404294</v>
      </c>
      <c r="F23" s="112" t="s">
        <v>160</v>
      </c>
      <c r="G23" s="272">
        <v>231021.16800000001</v>
      </c>
      <c r="H23" s="272">
        <f>+D23</f>
        <v>54240.950999999994</v>
      </c>
      <c r="I23" s="98">
        <f t="shared" si="2"/>
        <v>0.23478779658840609</v>
      </c>
    </row>
    <row r="24" spans="1:10" ht="15" customHeight="1" x14ac:dyDescent="0.25">
      <c r="B24" s="287"/>
      <c r="C24" s="288"/>
      <c r="D24" s="289"/>
      <c r="E24" s="80"/>
      <c r="F24" s="112" t="s">
        <v>161</v>
      </c>
      <c r="G24" s="112"/>
      <c r="H24" s="112"/>
    </row>
    <row r="25" spans="1:10" ht="15" customHeight="1" x14ac:dyDescent="0.25">
      <c r="B25" s="287"/>
      <c r="C25" s="290"/>
      <c r="D25" s="291"/>
      <c r="E25" s="80"/>
      <c r="G25" s="273">
        <f>+SUM(G15:G23)</f>
        <v>1884683.6730000002</v>
      </c>
      <c r="H25" s="273">
        <f>+SUM(H15:H23)</f>
        <v>1696935.8639999996</v>
      </c>
      <c r="I25" s="274">
        <f>+H25/G25</f>
        <v>0.90038232320379386</v>
      </c>
      <c r="J25" s="275">
        <f>+H25-G25</f>
        <v>-187747.80900000059</v>
      </c>
    </row>
    <row r="26" spans="1:10" x14ac:dyDescent="0.25">
      <c r="D26" s="108">
        <f>+(E3/30)*7</f>
        <v>54052.133333333331</v>
      </c>
      <c r="E26" s="98">
        <f>+D26/E3</f>
        <v>0.23333333333333334</v>
      </c>
    </row>
    <row r="27" spans="1:10" x14ac:dyDescent="0.25">
      <c r="D27" s="138">
        <f>+D26-D23</f>
        <v>-188.81766666666226</v>
      </c>
      <c r="E27" s="251">
        <f>+E26-E23</f>
        <v>-8.1509189070960719E-4</v>
      </c>
    </row>
    <row r="29" spans="1:10" x14ac:dyDescent="0.25">
      <c r="B29" s="66" t="s">
        <v>60</v>
      </c>
      <c r="D29" s="109" t="s">
        <v>105</v>
      </c>
      <c r="E29" s="109" t="s">
        <v>80</v>
      </c>
      <c r="G29" s="163"/>
      <c r="H29" s="237" t="s">
        <v>157</v>
      </c>
      <c r="I29" s="237" t="s">
        <v>92</v>
      </c>
      <c r="J29" s="71"/>
    </row>
    <row r="30" spans="1:10" x14ac:dyDescent="0.25">
      <c r="B30" s="162" t="s">
        <v>61</v>
      </c>
      <c r="C30" s="162">
        <v>1050</v>
      </c>
      <c r="D30" s="108">
        <v>2142</v>
      </c>
      <c r="E30" s="57">
        <f>+C30/D30</f>
        <v>0.49019607843137253</v>
      </c>
      <c r="G30" s="86" t="s">
        <v>86</v>
      </c>
      <c r="H30" s="87">
        <v>6379</v>
      </c>
      <c r="I30" s="88">
        <v>159.47500000000002</v>
      </c>
      <c r="J30" s="228"/>
    </row>
    <row r="31" spans="1:10" ht="15" customHeight="1" x14ac:dyDescent="0.25">
      <c r="B31" s="162" t="s">
        <v>62</v>
      </c>
      <c r="C31" s="162">
        <v>1057</v>
      </c>
      <c r="D31" s="108">
        <v>1890</v>
      </c>
      <c r="E31" s="57">
        <f>+C31/D31</f>
        <v>0.55925925925925923</v>
      </c>
      <c r="G31" s="86" t="s">
        <v>171</v>
      </c>
      <c r="H31" s="87">
        <v>14</v>
      </c>
      <c r="I31" s="88">
        <v>0.35000000000000003</v>
      </c>
      <c r="J31" s="228"/>
    </row>
    <row r="32" spans="1:10" ht="15" customHeight="1" x14ac:dyDescent="0.25">
      <c r="B32" s="162" t="s">
        <v>63</v>
      </c>
      <c r="C32" s="67">
        <v>2350</v>
      </c>
      <c r="D32" s="108">
        <v>3006</v>
      </c>
      <c r="E32" s="57">
        <f>+C32/D32</f>
        <v>0.78176979374584166</v>
      </c>
      <c r="G32" s="89" t="s">
        <v>169</v>
      </c>
      <c r="H32" s="87">
        <v>64</v>
      </c>
      <c r="I32" s="88">
        <v>96</v>
      </c>
      <c r="J32" s="228"/>
    </row>
    <row r="33" spans="1:11" x14ac:dyDescent="0.25">
      <c r="C33" s="162">
        <f>+SUM(C30:C32)</f>
        <v>4457</v>
      </c>
      <c r="D33" s="110">
        <f>+SUM(D30:D32)</f>
        <v>7038</v>
      </c>
      <c r="E33" s="57">
        <f>+C33/D33</f>
        <v>0.63327649900539928</v>
      </c>
      <c r="G33" s="89" t="s">
        <v>168</v>
      </c>
      <c r="H33" s="87">
        <v>102</v>
      </c>
      <c r="I33" s="88">
        <v>153</v>
      </c>
      <c r="J33" s="228"/>
    </row>
    <row r="34" spans="1:11" x14ac:dyDescent="0.25">
      <c r="G34" s="231" t="s">
        <v>123</v>
      </c>
      <c r="H34" s="138">
        <v>231</v>
      </c>
      <c r="I34" s="232">
        <v>346.5</v>
      </c>
      <c r="J34" s="218" t="s">
        <v>146</v>
      </c>
    </row>
    <row r="35" spans="1:11" x14ac:dyDescent="0.25">
      <c r="B35" s="162" t="s">
        <v>66</v>
      </c>
      <c r="D35" s="162"/>
      <c r="G35" s="89" t="s">
        <v>170</v>
      </c>
      <c r="H35" s="87">
        <v>22</v>
      </c>
      <c r="I35" s="88">
        <v>33</v>
      </c>
      <c r="J35" s="218" t="s">
        <v>146</v>
      </c>
    </row>
    <row r="36" spans="1:11" x14ac:dyDescent="0.25">
      <c r="B36" s="76" t="s">
        <v>67</v>
      </c>
      <c r="C36" s="77" t="s">
        <v>68</v>
      </c>
      <c r="D36" s="78" t="s">
        <v>69</v>
      </c>
      <c r="E36" s="79" t="s">
        <v>33</v>
      </c>
      <c r="G36" s="89" t="s">
        <v>107</v>
      </c>
      <c r="H36" s="87">
        <v>239</v>
      </c>
      <c r="I36" s="88">
        <f>+H36*1.5</f>
        <v>358.5</v>
      </c>
      <c r="J36" s="224" t="s">
        <v>152</v>
      </c>
    </row>
    <row r="37" spans="1:11" x14ac:dyDescent="0.25">
      <c r="B37" s="73">
        <v>1</v>
      </c>
      <c r="C37" s="74">
        <v>0</v>
      </c>
      <c r="D37" s="74">
        <v>10</v>
      </c>
      <c r="E37" s="75">
        <f>+SUM(B37:D37)</f>
        <v>11</v>
      </c>
      <c r="J37" s="218"/>
    </row>
    <row r="38" spans="1:11" x14ac:dyDescent="0.25">
      <c r="E38" s="198" t="s">
        <v>76</v>
      </c>
      <c r="F38" s="198" t="s">
        <v>137</v>
      </c>
      <c r="H38" s="144" t="s">
        <v>124</v>
      </c>
      <c r="I38" s="220" t="s">
        <v>148</v>
      </c>
      <c r="J38" s="218" t="s">
        <v>146</v>
      </c>
    </row>
    <row r="39" spans="1:11" x14ac:dyDescent="0.25">
      <c r="D39" s="162"/>
      <c r="G39" s="71" t="s">
        <v>90</v>
      </c>
      <c r="H39" s="144" t="s">
        <v>120</v>
      </c>
      <c r="I39" s="145">
        <v>0</v>
      </c>
      <c r="J39" s="218"/>
    </row>
    <row r="40" spans="1:11" x14ac:dyDescent="0.25">
      <c r="A40" s="207" t="s">
        <v>70</v>
      </c>
      <c r="B40" s="199">
        <v>0</v>
      </c>
      <c r="C40" s="199">
        <v>0</v>
      </c>
      <c r="D40" s="200">
        <v>2400</v>
      </c>
      <c r="E40" s="201">
        <f t="shared" ref="E40:E45" si="3">+C40/D40</f>
        <v>0</v>
      </c>
      <c r="F40" s="201">
        <f t="shared" ref="F40:F45" si="4">+B40/24</f>
        <v>0</v>
      </c>
      <c r="G40" s="202">
        <v>7</v>
      </c>
      <c r="H40" s="144" t="s">
        <v>121</v>
      </c>
      <c r="I40" s="220" t="s">
        <v>149</v>
      </c>
      <c r="J40" s="218" t="s">
        <v>146</v>
      </c>
    </row>
    <row r="41" spans="1:11" x14ac:dyDescent="0.25">
      <c r="A41" s="207" t="s">
        <v>71</v>
      </c>
      <c r="B41" s="199">
        <v>8.7899999999999991</v>
      </c>
      <c r="C41" s="199">
        <v>1682</v>
      </c>
      <c r="D41" s="200">
        <v>3600</v>
      </c>
      <c r="E41" s="201">
        <f t="shared" si="3"/>
        <v>0.46722222222222221</v>
      </c>
      <c r="F41" s="201">
        <f t="shared" si="4"/>
        <v>0.36624999999999996</v>
      </c>
      <c r="G41" s="202">
        <v>12</v>
      </c>
      <c r="H41" s="71"/>
    </row>
    <row r="42" spans="1:11" x14ac:dyDescent="0.25">
      <c r="A42" s="207" t="s">
        <v>72</v>
      </c>
      <c r="B42" s="199">
        <v>7.72</v>
      </c>
      <c r="C42" s="199">
        <v>1353</v>
      </c>
      <c r="D42" s="200">
        <v>3900</v>
      </c>
      <c r="E42" s="201">
        <f t="shared" si="3"/>
        <v>0.34692307692307695</v>
      </c>
      <c r="F42" s="201">
        <f t="shared" si="4"/>
        <v>0.32166666666666666</v>
      </c>
      <c r="G42" s="202">
        <v>12</v>
      </c>
      <c r="H42" s="237" t="s">
        <v>182</v>
      </c>
    </row>
    <row r="43" spans="1:11" x14ac:dyDescent="0.25">
      <c r="A43" s="207" t="s">
        <v>73</v>
      </c>
      <c r="B43" s="199">
        <v>12.24</v>
      </c>
      <c r="C43" s="199">
        <v>2675</v>
      </c>
      <c r="D43" s="200">
        <v>3900</v>
      </c>
      <c r="E43" s="201">
        <f t="shared" si="3"/>
        <v>0.6858974358974359</v>
      </c>
      <c r="F43" s="201">
        <f t="shared" si="4"/>
        <v>0.51</v>
      </c>
      <c r="G43" s="202">
        <v>12</v>
      </c>
      <c r="H43" s="282">
        <v>45899</v>
      </c>
      <c r="I43" s="283" t="s">
        <v>175</v>
      </c>
      <c r="J43" s="283">
        <v>63</v>
      </c>
      <c r="K43" s="283" t="s">
        <v>177</v>
      </c>
    </row>
    <row r="44" spans="1:11" x14ac:dyDescent="0.25">
      <c r="A44" s="207" t="s">
        <v>74</v>
      </c>
      <c r="B44" s="199">
        <v>5.81</v>
      </c>
      <c r="C44" s="199">
        <v>2702</v>
      </c>
      <c r="D44" s="200">
        <v>3900</v>
      </c>
      <c r="E44" s="201">
        <f t="shared" si="3"/>
        <v>0.69282051282051282</v>
      </c>
      <c r="F44" s="201">
        <f t="shared" si="4"/>
        <v>0.24208333333333332</v>
      </c>
      <c r="G44" s="202">
        <v>12</v>
      </c>
      <c r="H44" s="282">
        <v>45899</v>
      </c>
      <c r="I44" s="283" t="s">
        <v>176</v>
      </c>
      <c r="J44" s="283">
        <v>171</v>
      </c>
      <c r="K44" s="283" t="s">
        <v>177</v>
      </c>
    </row>
    <row r="45" spans="1:11" x14ac:dyDescent="0.25">
      <c r="A45" s="259" t="s">
        <v>75</v>
      </c>
      <c r="B45" s="260">
        <v>14.76</v>
      </c>
      <c r="C45" s="261">
        <v>2272</v>
      </c>
      <c r="D45" s="262">
        <v>4300</v>
      </c>
      <c r="E45" s="263">
        <f t="shared" si="3"/>
        <v>0.52837209302325583</v>
      </c>
      <c r="F45" s="201">
        <f t="shared" si="4"/>
        <v>0.61499999999999999</v>
      </c>
      <c r="G45" s="202">
        <v>16</v>
      </c>
      <c r="H45" s="282">
        <v>45900</v>
      </c>
      <c r="I45" s="283" t="s">
        <v>175</v>
      </c>
      <c r="J45" s="283">
        <v>225</v>
      </c>
      <c r="K45" s="283" t="s">
        <v>177</v>
      </c>
    </row>
    <row r="46" spans="1:11" x14ac:dyDescent="0.25">
      <c r="C46" s="71" t="s">
        <v>83</v>
      </c>
      <c r="D46" s="72" t="s">
        <v>79</v>
      </c>
      <c r="H46" s="282">
        <v>45900</v>
      </c>
      <c r="I46" s="283" t="s">
        <v>176</v>
      </c>
      <c r="J46" s="283">
        <v>175</v>
      </c>
      <c r="K46" s="283" t="s">
        <v>177</v>
      </c>
    </row>
    <row r="47" spans="1:11" x14ac:dyDescent="0.25">
      <c r="B47" s="162" t="s">
        <v>78</v>
      </c>
      <c r="H47" s="71"/>
      <c r="I47" s="284" t="s">
        <v>178</v>
      </c>
      <c r="J47" s="284">
        <f>+SUM(J43:J46)</f>
        <v>634</v>
      </c>
      <c r="K47" s="284" t="s">
        <v>177</v>
      </c>
    </row>
    <row r="48" spans="1:11" x14ac:dyDescent="0.25">
      <c r="C48" s="71">
        <v>1</v>
      </c>
      <c r="D48" s="225" t="s">
        <v>153</v>
      </c>
      <c r="H48" s="71"/>
      <c r="I48" s="284" t="s">
        <v>179</v>
      </c>
      <c r="J48" s="284">
        <f>+J47*1.5</f>
        <v>951</v>
      </c>
      <c r="K48" s="284" t="s">
        <v>92</v>
      </c>
    </row>
    <row r="49" spans="3:8" x14ac:dyDescent="0.25">
      <c r="C49" s="71">
        <v>2</v>
      </c>
      <c r="D49" s="225" t="s">
        <v>153</v>
      </c>
      <c r="H49" s="71"/>
    </row>
    <row r="50" spans="3:8" x14ac:dyDescent="0.25">
      <c r="C50" s="71">
        <v>3</v>
      </c>
      <c r="D50" s="225" t="s">
        <v>154</v>
      </c>
      <c r="H50" s="71"/>
    </row>
    <row r="51" spans="3:8" x14ac:dyDescent="0.25">
      <c r="C51" s="71">
        <v>4</v>
      </c>
      <c r="D51" s="108">
        <v>0</v>
      </c>
      <c r="H51" s="71"/>
    </row>
    <row r="52" spans="3:8" x14ac:dyDescent="0.25">
      <c r="C52" s="71">
        <v>5</v>
      </c>
      <c r="D52" s="108">
        <v>3</v>
      </c>
    </row>
    <row r="53" spans="3:8" x14ac:dyDescent="0.25">
      <c r="C53" s="71">
        <v>6</v>
      </c>
      <c r="D53" s="108">
        <v>3</v>
      </c>
    </row>
    <row r="54" spans="3:8" x14ac:dyDescent="0.25">
      <c r="C54" s="71">
        <v>7</v>
      </c>
      <c r="D54" s="225" t="s">
        <v>153</v>
      </c>
    </row>
    <row r="55" spans="3:8" x14ac:dyDescent="0.25">
      <c r="C55" s="71">
        <v>8</v>
      </c>
      <c r="D55" s="225" t="s">
        <v>153</v>
      </c>
    </row>
  </sheetData>
  <protectedRanges>
    <protectedRange password="D554" sqref="I38:I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activeCell="D4" sqref="D4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85546875" style="163" bestFit="1" customWidth="1"/>
    <col min="5" max="16384" width="11.42578125" style="162"/>
  </cols>
  <sheetData>
    <row r="1" spans="1:10" ht="15" customHeight="1" x14ac:dyDescent="0.25">
      <c r="A1" s="161"/>
      <c r="B1" s="518">
        <v>45908</v>
      </c>
      <c r="C1" s="518"/>
      <c r="D1" s="518"/>
    </row>
    <row r="2" spans="1:10" x14ac:dyDescent="0.25">
      <c r="E2" s="61" t="s">
        <v>181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231652</v>
      </c>
      <c r="F3" s="61"/>
    </row>
    <row r="4" spans="1:10" ht="19.5" customHeight="1" thickBot="1" x14ac:dyDescent="0.4">
      <c r="A4" s="164"/>
      <c r="B4" s="285"/>
      <c r="C4" s="285"/>
      <c r="D4" s="165">
        <f>D22</f>
        <v>6981.0470000000005</v>
      </c>
      <c r="E4" s="108">
        <f>+E3/30</f>
        <v>7721.7333333333336</v>
      </c>
      <c r="F4" s="62"/>
    </row>
    <row r="5" spans="1:10" ht="15" customHeight="1" x14ac:dyDescent="0.25">
      <c r="A5" s="164"/>
      <c r="B5" s="168" t="s">
        <v>6</v>
      </c>
      <c r="C5" s="176">
        <v>5615</v>
      </c>
      <c r="D5" s="172">
        <v>239.67400000000001</v>
      </c>
      <c r="E5" s="80">
        <f>+D5/$D$4</f>
        <v>3.433209946874731E-2</v>
      </c>
      <c r="F5" s="57"/>
      <c r="H5" s="69" t="s">
        <v>58</v>
      </c>
      <c r="I5" s="278" t="s">
        <v>59</v>
      </c>
      <c r="J5" s="69" t="s">
        <v>80</v>
      </c>
    </row>
    <row r="6" spans="1:10" ht="15" customHeight="1" x14ac:dyDescent="0.25">
      <c r="A6" s="164"/>
      <c r="B6" s="169" t="s">
        <v>10</v>
      </c>
      <c r="C6" s="177">
        <v>9219</v>
      </c>
      <c r="D6" s="173">
        <v>392.86400000000009</v>
      </c>
      <c r="E6" s="80">
        <f>+D6/$D$4</f>
        <v>5.6275799317781428E-2</v>
      </c>
      <c r="F6" s="58" t="s">
        <v>51</v>
      </c>
      <c r="G6" s="59">
        <v>45901</v>
      </c>
      <c r="H6" s="190">
        <v>7492</v>
      </c>
      <c r="I6" s="141">
        <v>6082.7990000000027</v>
      </c>
      <c r="J6" s="60">
        <f t="shared" ref="J6:J13" si="0">+I6/H6</f>
        <v>0.81190589962626836</v>
      </c>
    </row>
    <row r="7" spans="1:10" ht="15" customHeight="1" x14ac:dyDescent="0.25">
      <c r="A7" s="164"/>
      <c r="B7" s="169" t="s">
        <v>35</v>
      </c>
      <c r="C7" s="177">
        <v>21898</v>
      </c>
      <c r="D7" s="173">
        <v>933.77499999999986</v>
      </c>
      <c r="E7" s="245">
        <f>+D7/$D$4</f>
        <v>0.13375858950670291</v>
      </c>
      <c r="F7" s="58" t="s">
        <v>52</v>
      </c>
      <c r="G7" s="59">
        <v>45902</v>
      </c>
      <c r="H7" s="190">
        <v>9391</v>
      </c>
      <c r="I7" s="141">
        <v>9195.6810000000023</v>
      </c>
      <c r="J7" s="60">
        <f t="shared" si="0"/>
        <v>0.9792014694920671</v>
      </c>
    </row>
    <row r="8" spans="1:10" ht="15" customHeight="1" x14ac:dyDescent="0.25">
      <c r="A8" s="164"/>
      <c r="B8" s="169" t="s">
        <v>4</v>
      </c>
      <c r="C8" s="177">
        <v>2250</v>
      </c>
      <c r="D8" s="173">
        <v>96.084000000000003</v>
      </c>
      <c r="E8" s="80">
        <f t="shared" ref="E8:E22" si="1">+D8/$D$4</f>
        <v>1.3763551513118304E-2</v>
      </c>
      <c r="F8" s="58" t="s">
        <v>53</v>
      </c>
      <c r="G8" s="59">
        <v>45903</v>
      </c>
      <c r="H8" s="190">
        <v>10128</v>
      </c>
      <c r="I8" s="141">
        <v>8957.757999999998</v>
      </c>
      <c r="J8" s="60">
        <f t="shared" si="0"/>
        <v>0.88445477883096346</v>
      </c>
    </row>
    <row r="9" spans="1:10" ht="15" customHeight="1" x14ac:dyDescent="0.25">
      <c r="A9" s="164"/>
      <c r="B9" s="169" t="s">
        <v>37</v>
      </c>
      <c r="C9" s="177">
        <v>28910</v>
      </c>
      <c r="D9" s="173">
        <v>1233.1559999999999</v>
      </c>
      <c r="E9" s="245">
        <f t="shared" si="1"/>
        <v>0.17664341752748547</v>
      </c>
      <c r="F9" s="58" t="s">
        <v>54</v>
      </c>
      <c r="G9" s="59">
        <v>45904</v>
      </c>
      <c r="H9" s="190">
        <v>9317</v>
      </c>
      <c r="I9" s="141">
        <v>8460.0869999999995</v>
      </c>
      <c r="J9" s="60">
        <f t="shared" si="0"/>
        <v>0.90802694000214657</v>
      </c>
    </row>
    <row r="10" spans="1:10" ht="15" customHeight="1" x14ac:dyDescent="0.25">
      <c r="A10" s="164"/>
      <c r="B10" s="169" t="s">
        <v>38</v>
      </c>
      <c r="C10" s="177">
        <v>35299</v>
      </c>
      <c r="D10" s="173">
        <v>1505.318</v>
      </c>
      <c r="E10" s="245">
        <f t="shared" si="1"/>
        <v>0.21562926019549788</v>
      </c>
      <c r="F10" s="58" t="s">
        <v>55</v>
      </c>
      <c r="G10" s="59">
        <v>45905</v>
      </c>
      <c r="H10" s="190">
        <v>6072</v>
      </c>
      <c r="I10" s="141">
        <v>8663.42</v>
      </c>
      <c r="J10" s="60">
        <f t="shared" si="0"/>
        <v>1.4267819499341239</v>
      </c>
    </row>
    <row r="11" spans="1:10" ht="15" customHeight="1" x14ac:dyDescent="0.25">
      <c r="A11" s="164"/>
      <c r="B11" s="169" t="s">
        <v>42</v>
      </c>
      <c r="C11" s="177">
        <v>7870</v>
      </c>
      <c r="D11" s="173">
        <v>336.08600000000001</v>
      </c>
      <c r="E11" s="80">
        <f t="shared" si="1"/>
        <v>4.8142635338223619E-2</v>
      </c>
      <c r="F11" s="58" t="s">
        <v>56</v>
      </c>
      <c r="G11" s="59">
        <v>45906</v>
      </c>
      <c r="H11" s="190">
        <v>7023</v>
      </c>
      <c r="I11" s="141">
        <v>6879.58</v>
      </c>
      <c r="J11" s="60">
        <f t="shared" si="0"/>
        <v>0.97957852769471732</v>
      </c>
    </row>
    <row r="12" spans="1:10" ht="15" customHeight="1" x14ac:dyDescent="0.25">
      <c r="A12" s="164"/>
      <c r="B12" s="169" t="s">
        <v>44</v>
      </c>
      <c r="C12" s="177">
        <v>42</v>
      </c>
      <c r="D12" s="173">
        <v>63.44</v>
      </c>
      <c r="E12" s="80">
        <f t="shared" si="1"/>
        <v>9.087462095585374E-3</v>
      </c>
      <c r="F12" s="58" t="s">
        <v>57</v>
      </c>
      <c r="G12" s="59">
        <v>45907</v>
      </c>
      <c r="H12" s="190">
        <v>4661</v>
      </c>
      <c r="I12" s="141">
        <v>5911.6880000000001</v>
      </c>
      <c r="J12" s="60">
        <f t="shared" si="0"/>
        <v>1.2683304012014589</v>
      </c>
    </row>
    <row r="13" spans="1:10" ht="15" customHeight="1" x14ac:dyDescent="0.25">
      <c r="A13" s="164"/>
      <c r="B13" s="169" t="s">
        <v>39</v>
      </c>
      <c r="C13" s="177">
        <v>356</v>
      </c>
      <c r="D13" s="173">
        <v>537.39</v>
      </c>
      <c r="E13" s="80">
        <f t="shared" si="1"/>
        <v>7.6978424583017416E-2</v>
      </c>
      <c r="H13" s="139">
        <f>+SUM(H6:H12)</f>
        <v>54084</v>
      </c>
      <c r="I13" s="142">
        <f>+SUM(I6:I12)</f>
        <v>54151.013000000006</v>
      </c>
      <c r="J13" s="140">
        <f t="shared" si="0"/>
        <v>1.0012390540640486</v>
      </c>
    </row>
    <row r="14" spans="1:10" ht="15" customHeight="1" x14ac:dyDescent="0.25">
      <c r="A14" s="164"/>
      <c r="B14" s="169" t="s">
        <v>43</v>
      </c>
      <c r="C14" s="177">
        <v>384</v>
      </c>
      <c r="D14" s="173">
        <v>579.42000000000007</v>
      </c>
      <c r="E14" s="80">
        <f t="shared" si="1"/>
        <v>8.2999011466331638E-2</v>
      </c>
      <c r="F14" s="112"/>
      <c r="G14" s="113">
        <v>2024</v>
      </c>
      <c r="H14" s="113">
        <v>2025</v>
      </c>
      <c r="I14" s="71"/>
    </row>
    <row r="15" spans="1:10" ht="15" customHeight="1" x14ac:dyDescent="0.25">
      <c r="A15" s="164"/>
      <c r="B15" s="169" t="s">
        <v>49</v>
      </c>
      <c r="C15" s="177">
        <v>67</v>
      </c>
      <c r="D15" s="173">
        <v>100.97999999999999</v>
      </c>
      <c r="E15" s="80">
        <f t="shared" si="1"/>
        <v>1.4464878978754904E-2</v>
      </c>
      <c r="F15" s="112" t="s">
        <v>108</v>
      </c>
      <c r="G15" s="190">
        <v>204007.80300000001</v>
      </c>
      <c r="H15" s="190">
        <v>190629.128</v>
      </c>
      <c r="I15" s="57">
        <f t="shared" ref="I15:I23" si="2">+H15/G15</f>
        <v>0.93442076820953746</v>
      </c>
    </row>
    <row r="16" spans="1:10" ht="15" customHeight="1" x14ac:dyDescent="0.25">
      <c r="A16" s="164"/>
      <c r="B16" s="169" t="s">
        <v>45</v>
      </c>
      <c r="C16" s="177">
        <v>68</v>
      </c>
      <c r="D16" s="173">
        <v>102.35000000000001</v>
      </c>
      <c r="E16" s="80">
        <f t="shared" si="1"/>
        <v>1.4661124613542926E-2</v>
      </c>
      <c r="F16" s="112" t="s">
        <v>109</v>
      </c>
      <c r="G16" s="190">
        <v>186305.94399999996</v>
      </c>
      <c r="H16" s="190">
        <v>182874.285</v>
      </c>
      <c r="I16" s="57">
        <f t="shared" si="2"/>
        <v>0.9815805179033904</v>
      </c>
    </row>
    <row r="17" spans="1:10" ht="15" customHeight="1" x14ac:dyDescent="0.25">
      <c r="A17" s="164"/>
      <c r="B17" s="169" t="s">
        <v>41</v>
      </c>
      <c r="C17" s="177">
        <v>128</v>
      </c>
      <c r="D17" s="173">
        <v>192.83</v>
      </c>
      <c r="E17" s="80">
        <f t="shared" si="1"/>
        <v>2.7621931208886001E-2</v>
      </c>
      <c r="F17" s="112" t="s">
        <v>110</v>
      </c>
      <c r="G17" s="190">
        <v>199570.19199999989</v>
      </c>
      <c r="H17" s="190">
        <v>197224.22099999999</v>
      </c>
      <c r="I17" s="57">
        <f t="shared" si="2"/>
        <v>0.98824488278289624</v>
      </c>
    </row>
    <row r="18" spans="1:10" ht="15" customHeight="1" x14ac:dyDescent="0.25">
      <c r="A18" s="164"/>
      <c r="B18" s="169" t="s">
        <v>88</v>
      </c>
      <c r="C18" s="177">
        <v>20</v>
      </c>
      <c r="D18" s="173">
        <v>60.11</v>
      </c>
      <c r="E18" s="80">
        <f t="shared" si="1"/>
        <v>8.6104562825604809E-3</v>
      </c>
      <c r="F18" s="112" t="s">
        <v>111</v>
      </c>
      <c r="G18" s="190">
        <v>205343.72800000012</v>
      </c>
      <c r="H18" s="190">
        <v>198970.75799999986</v>
      </c>
      <c r="I18" s="57">
        <f t="shared" si="2"/>
        <v>0.96896437956945902</v>
      </c>
    </row>
    <row r="19" spans="1:10" ht="15" customHeight="1" x14ac:dyDescent="0.25">
      <c r="A19" s="164"/>
      <c r="B19" s="169" t="s">
        <v>40</v>
      </c>
      <c r="C19" s="177"/>
      <c r="D19" s="173">
        <v>517.04</v>
      </c>
      <c r="E19" s="80">
        <f t="shared" si="1"/>
        <v>7.4063389058976387E-2</v>
      </c>
      <c r="F19" s="112" t="s">
        <v>102</v>
      </c>
      <c r="G19" s="190">
        <v>209473.77399999995</v>
      </c>
      <c r="H19" s="190">
        <v>212393.17300000001</v>
      </c>
      <c r="I19" s="236">
        <f t="shared" si="2"/>
        <v>1.0139368234230604</v>
      </c>
    </row>
    <row r="20" spans="1:10" ht="15" customHeight="1" x14ac:dyDescent="0.25">
      <c r="A20" s="164"/>
      <c r="B20" s="169" t="s">
        <v>9</v>
      </c>
      <c r="C20" s="177"/>
      <c r="D20" s="173">
        <v>60.26</v>
      </c>
      <c r="E20" s="80">
        <f t="shared" si="1"/>
        <v>8.6319430308949355E-3</v>
      </c>
      <c r="F20" s="112" t="s">
        <v>125</v>
      </c>
      <c r="G20" s="190">
        <v>196506.86</v>
      </c>
      <c r="H20" s="190">
        <v>204590</v>
      </c>
      <c r="I20" s="236">
        <f t="shared" si="2"/>
        <v>1.0411341364876525</v>
      </c>
      <c r="J20" s="108">
        <v>-14526.736000000266</v>
      </c>
    </row>
    <row r="21" spans="1:10" ht="15" customHeight="1" thickBot="1" x14ac:dyDescent="0.3">
      <c r="A21" s="164"/>
      <c r="B21" s="169" t="s">
        <v>46</v>
      </c>
      <c r="C21" s="177"/>
      <c r="D21" s="173">
        <v>30.27</v>
      </c>
      <c r="E21" s="80">
        <f>+D21/$D$4</f>
        <v>4.3360258138929585E-3</v>
      </c>
      <c r="F21" s="112" t="s">
        <v>132</v>
      </c>
      <c r="G21" s="190">
        <v>219516.23899999997</v>
      </c>
      <c r="H21" s="190">
        <v>222445.37700000001</v>
      </c>
      <c r="I21" s="98">
        <f t="shared" si="2"/>
        <v>1.0133436050715139</v>
      </c>
      <c r="J21" s="108">
        <v>-11597.598000000231</v>
      </c>
    </row>
    <row r="22" spans="1:10" ht="15" customHeight="1" thickBot="1" x14ac:dyDescent="0.3">
      <c r="B22" s="178" t="s">
        <v>0</v>
      </c>
      <c r="C22" s="170"/>
      <c r="D22" s="171">
        <f>SUM(D5:D21)</f>
        <v>6981.0470000000005</v>
      </c>
      <c r="E22" s="80">
        <f t="shared" si="1"/>
        <v>1</v>
      </c>
      <c r="F22" s="112" t="s">
        <v>135</v>
      </c>
      <c r="G22" s="272">
        <v>232937.965</v>
      </c>
      <c r="H22" s="272">
        <v>233567.97099999999</v>
      </c>
      <c r="I22" s="98">
        <f t="shared" si="2"/>
        <v>1.0027046084995204</v>
      </c>
      <c r="J22" s="108">
        <v>-10967.592000000412</v>
      </c>
    </row>
    <row r="23" spans="1:10" ht="15" customHeight="1" x14ac:dyDescent="0.25">
      <c r="B23" s="166" t="s">
        <v>1</v>
      </c>
      <c r="C23" s="167"/>
      <c r="D23" s="233">
        <v>61284.807999999997</v>
      </c>
      <c r="E23" s="98">
        <f>+D23/$E$3</f>
        <v>0.2645554884050213</v>
      </c>
      <c r="F23" s="112" t="s">
        <v>160</v>
      </c>
      <c r="G23" s="272">
        <v>231021.16800000001</v>
      </c>
      <c r="H23" s="272">
        <f>+D23</f>
        <v>61284.807999999997</v>
      </c>
      <c r="I23" s="98">
        <f t="shared" si="2"/>
        <v>0.26527789003300334</v>
      </c>
    </row>
    <row r="24" spans="1:10" x14ac:dyDescent="0.25">
      <c r="E24" s="80"/>
      <c r="F24" s="112" t="s">
        <v>161</v>
      </c>
      <c r="G24" s="112"/>
      <c r="H24" s="112"/>
    </row>
    <row r="25" spans="1:10" x14ac:dyDescent="0.25">
      <c r="E25" s="80"/>
      <c r="G25" s="273">
        <f>+SUM(G15:G23)</f>
        <v>1884683.6730000002</v>
      </c>
      <c r="H25" s="273">
        <f>+SUM(H15:H23)</f>
        <v>1703979.7209999997</v>
      </c>
      <c r="I25" s="274">
        <f>+H25/G25</f>
        <v>0.90411974455513811</v>
      </c>
      <c r="J25" s="275">
        <f>+H25-G25</f>
        <v>-180703.95200000051</v>
      </c>
    </row>
    <row r="26" spans="1:10" x14ac:dyDescent="0.25">
      <c r="D26" s="108">
        <f>+(E3/30)*8</f>
        <v>61773.866666666669</v>
      </c>
      <c r="E26" s="98">
        <f>+D26/E3</f>
        <v>0.26666666666666666</v>
      </c>
    </row>
    <row r="27" spans="1:10" x14ac:dyDescent="0.25">
      <c r="D27" s="138">
        <f>+D23-D26</f>
        <v>-489.05866666667134</v>
      </c>
      <c r="E27" s="251">
        <f>+E23-E26</f>
        <v>-2.1111782616453634E-3</v>
      </c>
    </row>
    <row r="29" spans="1:10" x14ac:dyDescent="0.25">
      <c r="B29" s="66" t="s">
        <v>60</v>
      </c>
      <c r="D29" s="109" t="s">
        <v>105</v>
      </c>
      <c r="E29" s="109" t="s">
        <v>80</v>
      </c>
      <c r="G29" s="163"/>
      <c r="H29" s="237" t="s">
        <v>157</v>
      </c>
      <c r="I29" s="237" t="s">
        <v>92</v>
      </c>
      <c r="J29" s="71"/>
    </row>
    <row r="30" spans="1:10" x14ac:dyDescent="0.25">
      <c r="B30" s="162" t="s">
        <v>61</v>
      </c>
      <c r="C30" s="162">
        <v>1561</v>
      </c>
      <c r="D30" s="108">
        <v>2142</v>
      </c>
      <c r="E30" s="57">
        <f>+C30/D30</f>
        <v>0.72875816993464049</v>
      </c>
      <c r="G30" s="86" t="s">
        <v>86</v>
      </c>
      <c r="H30" s="87">
        <v>6329</v>
      </c>
      <c r="I30" s="88">
        <v>158.22500000000002</v>
      </c>
      <c r="J30" s="228"/>
    </row>
    <row r="31" spans="1:10" x14ac:dyDescent="0.25">
      <c r="B31" s="162" t="s">
        <v>62</v>
      </c>
      <c r="C31" s="162">
        <v>1226</v>
      </c>
      <c r="D31" s="108">
        <v>1890</v>
      </c>
      <c r="E31" s="57">
        <f>+C31/D31</f>
        <v>0.64867724867724863</v>
      </c>
      <c r="G31" s="86" t="s">
        <v>171</v>
      </c>
      <c r="H31" s="87">
        <v>14</v>
      </c>
      <c r="I31" s="88">
        <v>0.35000000000000003</v>
      </c>
      <c r="J31" s="228"/>
    </row>
    <row r="32" spans="1:10" x14ac:dyDescent="0.25">
      <c r="B32" s="162" t="s">
        <v>63</v>
      </c>
      <c r="C32" s="67">
        <v>1967</v>
      </c>
      <c r="D32" s="108">
        <v>3006</v>
      </c>
      <c r="E32" s="57">
        <f>+C32/D32</f>
        <v>0.65435795076513636</v>
      </c>
      <c r="G32" s="89" t="s">
        <v>169</v>
      </c>
      <c r="H32" s="87">
        <v>24</v>
      </c>
      <c r="I32" s="88">
        <v>36</v>
      </c>
      <c r="J32" s="228"/>
    </row>
    <row r="33" spans="1:11" ht="15" customHeight="1" x14ac:dyDescent="0.25">
      <c r="C33" s="162">
        <f>+SUM(C30:C32)</f>
        <v>4754</v>
      </c>
      <c r="D33" s="110">
        <f>+SUM(D30:D32)</f>
        <v>7038</v>
      </c>
      <c r="E33" s="57">
        <f>+C33/D33</f>
        <v>0.67547598749644788</v>
      </c>
      <c r="G33" s="89" t="s">
        <v>168</v>
      </c>
      <c r="H33" s="87">
        <v>102</v>
      </c>
      <c r="I33" s="88">
        <v>153</v>
      </c>
      <c r="J33" s="228"/>
    </row>
    <row r="34" spans="1:11" ht="15" customHeight="1" x14ac:dyDescent="0.25">
      <c r="G34" s="231" t="s">
        <v>123</v>
      </c>
      <c r="H34" s="138">
        <v>231</v>
      </c>
      <c r="I34" s="232">
        <v>346.5</v>
      </c>
      <c r="J34" s="218" t="s">
        <v>146</v>
      </c>
    </row>
    <row r="35" spans="1:11" x14ac:dyDescent="0.25">
      <c r="B35" s="162" t="s">
        <v>66</v>
      </c>
      <c r="D35" s="162"/>
      <c r="G35" s="89" t="s">
        <v>170</v>
      </c>
      <c r="H35" s="87">
        <v>22</v>
      </c>
      <c r="I35" s="88">
        <v>33</v>
      </c>
      <c r="J35" s="218" t="s">
        <v>146</v>
      </c>
    </row>
    <row r="36" spans="1:11" x14ac:dyDescent="0.25">
      <c r="B36" s="76" t="s">
        <v>67</v>
      </c>
      <c r="C36" s="77" t="s">
        <v>68</v>
      </c>
      <c r="D36" s="78" t="s">
        <v>69</v>
      </c>
      <c r="E36" s="79" t="s">
        <v>33</v>
      </c>
      <c r="G36" s="89" t="s">
        <v>107</v>
      </c>
      <c r="H36" s="87">
        <v>239</v>
      </c>
      <c r="I36" s="88">
        <f>+H36*1.5</f>
        <v>358.5</v>
      </c>
      <c r="J36" s="224" t="s">
        <v>152</v>
      </c>
    </row>
    <row r="37" spans="1:11" x14ac:dyDescent="0.25">
      <c r="B37" s="73">
        <v>3</v>
      </c>
      <c r="C37" s="74">
        <v>4</v>
      </c>
      <c r="D37" s="74">
        <v>18</v>
      </c>
      <c r="E37" s="75">
        <f>+SUM(B37:D37)</f>
        <v>25</v>
      </c>
      <c r="J37" s="218"/>
    </row>
    <row r="38" spans="1:11" x14ac:dyDescent="0.25">
      <c r="E38" s="198" t="s">
        <v>76</v>
      </c>
      <c r="F38" s="198" t="s">
        <v>137</v>
      </c>
      <c r="H38" s="144" t="s">
        <v>124</v>
      </c>
      <c r="I38" s="220" t="s">
        <v>148</v>
      </c>
      <c r="J38" s="218" t="s">
        <v>146</v>
      </c>
    </row>
    <row r="39" spans="1:11" x14ac:dyDescent="0.25">
      <c r="D39" s="162"/>
      <c r="G39" s="71" t="s">
        <v>90</v>
      </c>
      <c r="H39" s="144" t="s">
        <v>120</v>
      </c>
      <c r="I39" s="145">
        <v>0</v>
      </c>
      <c r="J39" s="218"/>
    </row>
    <row r="40" spans="1:11" x14ac:dyDescent="0.25">
      <c r="A40" s="207" t="s">
        <v>70</v>
      </c>
      <c r="B40" s="199">
        <v>0</v>
      </c>
      <c r="C40" s="199">
        <v>0</v>
      </c>
      <c r="D40" s="200">
        <v>2400</v>
      </c>
      <c r="E40" s="201">
        <f t="shared" ref="E40:E45" si="3">+C40/D40</f>
        <v>0</v>
      </c>
      <c r="F40" s="201">
        <f t="shared" ref="F40:F45" si="4">+B40/24</f>
        <v>0</v>
      </c>
      <c r="G40" s="202">
        <v>7</v>
      </c>
      <c r="H40" s="144" t="s">
        <v>121</v>
      </c>
      <c r="I40" s="220" t="s">
        <v>149</v>
      </c>
      <c r="J40" s="218" t="s">
        <v>146</v>
      </c>
    </row>
    <row r="41" spans="1:11" x14ac:dyDescent="0.25">
      <c r="A41" s="207" t="s">
        <v>71</v>
      </c>
      <c r="B41" s="199">
        <v>6.77</v>
      </c>
      <c r="C41" s="199">
        <v>1823</v>
      </c>
      <c r="D41" s="200">
        <v>3600</v>
      </c>
      <c r="E41" s="201">
        <f t="shared" si="3"/>
        <v>0.50638888888888889</v>
      </c>
      <c r="F41" s="201">
        <f t="shared" si="4"/>
        <v>0.2820833333333333</v>
      </c>
      <c r="G41" s="202">
        <v>12</v>
      </c>
      <c r="H41" s="71"/>
    </row>
    <row r="42" spans="1:11" x14ac:dyDescent="0.25">
      <c r="A42" s="207" t="s">
        <v>72</v>
      </c>
      <c r="B42" s="199">
        <v>6.89</v>
      </c>
      <c r="C42" s="199">
        <v>1539</v>
      </c>
      <c r="D42" s="200">
        <v>3900</v>
      </c>
      <c r="E42" s="201">
        <f t="shared" si="3"/>
        <v>0.39461538461538459</v>
      </c>
      <c r="F42" s="201">
        <f t="shared" si="4"/>
        <v>0.2870833333333333</v>
      </c>
      <c r="G42" s="202">
        <v>12</v>
      </c>
      <c r="H42" s="237" t="s">
        <v>182</v>
      </c>
    </row>
    <row r="43" spans="1:11" x14ac:dyDescent="0.25">
      <c r="A43" s="207" t="s">
        <v>73</v>
      </c>
      <c r="B43" s="199">
        <v>14.53</v>
      </c>
      <c r="C43" s="199">
        <v>2926</v>
      </c>
      <c r="D43" s="200">
        <v>3900</v>
      </c>
      <c r="E43" s="201">
        <f t="shared" si="3"/>
        <v>0.75025641025641021</v>
      </c>
      <c r="F43" s="201">
        <f t="shared" si="4"/>
        <v>0.6054166666666666</v>
      </c>
      <c r="G43" s="202">
        <v>12</v>
      </c>
      <c r="H43" s="282">
        <v>45899</v>
      </c>
      <c r="I43" s="283" t="s">
        <v>175</v>
      </c>
      <c r="J43" s="283">
        <v>63</v>
      </c>
      <c r="K43" s="283" t="s">
        <v>177</v>
      </c>
    </row>
    <row r="44" spans="1:11" x14ac:dyDescent="0.25">
      <c r="A44" s="207" t="s">
        <v>74</v>
      </c>
      <c r="B44" s="199">
        <v>12.99</v>
      </c>
      <c r="C44" s="199">
        <v>2676</v>
      </c>
      <c r="D44" s="200">
        <v>3900</v>
      </c>
      <c r="E44" s="201">
        <f t="shared" si="3"/>
        <v>0.68615384615384611</v>
      </c>
      <c r="F44" s="201">
        <f t="shared" si="4"/>
        <v>0.54125000000000001</v>
      </c>
      <c r="G44" s="202">
        <v>12</v>
      </c>
      <c r="H44" s="282">
        <v>45899</v>
      </c>
      <c r="I44" s="283" t="s">
        <v>176</v>
      </c>
      <c r="J44" s="283">
        <v>171</v>
      </c>
      <c r="K44" s="283" t="s">
        <v>177</v>
      </c>
    </row>
    <row r="45" spans="1:11" x14ac:dyDescent="0.25">
      <c r="A45" s="259" t="s">
        <v>75</v>
      </c>
      <c r="B45" s="260">
        <v>7.47</v>
      </c>
      <c r="C45" s="261">
        <v>2293</v>
      </c>
      <c r="D45" s="262">
        <v>4300</v>
      </c>
      <c r="E45" s="263">
        <f t="shared" si="3"/>
        <v>0.53325581395348842</v>
      </c>
      <c r="F45" s="201">
        <f t="shared" si="4"/>
        <v>0.31124999999999997</v>
      </c>
      <c r="G45" s="202">
        <v>16</v>
      </c>
      <c r="H45" s="282">
        <v>45900</v>
      </c>
      <c r="I45" s="283" t="s">
        <v>175</v>
      </c>
      <c r="J45" s="283">
        <v>225</v>
      </c>
      <c r="K45" s="283" t="s">
        <v>177</v>
      </c>
    </row>
    <row r="46" spans="1:11" x14ac:dyDescent="0.25">
      <c r="C46" s="71" t="s">
        <v>83</v>
      </c>
      <c r="D46" s="72" t="s">
        <v>79</v>
      </c>
      <c r="H46" s="282">
        <v>45900</v>
      </c>
      <c r="I46" s="283" t="s">
        <v>176</v>
      </c>
      <c r="J46" s="283">
        <v>175</v>
      </c>
      <c r="K46" s="283" t="s">
        <v>177</v>
      </c>
    </row>
    <row r="47" spans="1:11" x14ac:dyDescent="0.25">
      <c r="B47" s="162" t="s">
        <v>78</v>
      </c>
      <c r="H47" s="71"/>
      <c r="I47" s="284" t="s">
        <v>178</v>
      </c>
      <c r="J47" s="284">
        <f>+SUM(J43:J46)</f>
        <v>634</v>
      </c>
      <c r="K47" s="284" t="s">
        <v>177</v>
      </c>
    </row>
    <row r="48" spans="1:11" x14ac:dyDescent="0.25">
      <c r="C48" s="71">
        <v>1</v>
      </c>
      <c r="D48" s="225" t="s">
        <v>153</v>
      </c>
      <c r="H48" s="71"/>
      <c r="I48" s="284" t="s">
        <v>179</v>
      </c>
      <c r="J48" s="284">
        <f>+J47*1.5</f>
        <v>951</v>
      </c>
      <c r="K48" s="284" t="s">
        <v>92</v>
      </c>
    </row>
    <row r="49" spans="3:8" x14ac:dyDescent="0.25">
      <c r="C49" s="71">
        <v>2</v>
      </c>
      <c r="D49" s="225" t="s">
        <v>153</v>
      </c>
      <c r="H49" s="71"/>
    </row>
    <row r="50" spans="3:8" x14ac:dyDescent="0.25">
      <c r="C50" s="71">
        <v>3</v>
      </c>
      <c r="D50" s="225" t="s">
        <v>154</v>
      </c>
      <c r="H50" s="71"/>
    </row>
    <row r="51" spans="3:8" x14ac:dyDescent="0.25">
      <c r="C51" s="71">
        <v>4</v>
      </c>
      <c r="D51" s="108">
        <v>0</v>
      </c>
      <c r="H51" s="71"/>
    </row>
    <row r="52" spans="3:8" x14ac:dyDescent="0.25">
      <c r="C52" s="71">
        <v>5</v>
      </c>
      <c r="D52" s="108">
        <v>7</v>
      </c>
    </row>
    <row r="53" spans="3:8" x14ac:dyDescent="0.25">
      <c r="C53" s="71">
        <v>6</v>
      </c>
      <c r="D53" s="108">
        <v>7</v>
      </c>
    </row>
    <row r="54" spans="3:8" x14ac:dyDescent="0.25">
      <c r="C54" s="71">
        <v>7</v>
      </c>
      <c r="D54" s="225" t="s">
        <v>153</v>
      </c>
    </row>
    <row r="55" spans="3:8" x14ac:dyDescent="0.25">
      <c r="C55" s="71">
        <v>8</v>
      </c>
      <c r="D55" s="225" t="s">
        <v>153</v>
      </c>
    </row>
  </sheetData>
  <protectedRanges>
    <protectedRange password="D554" sqref="I38:I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activeCell="D4" sqref="D4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16384" width="11.42578125" style="162"/>
  </cols>
  <sheetData>
    <row r="1" spans="1:10" ht="15" customHeight="1" x14ac:dyDescent="0.25">
      <c r="A1" s="161"/>
      <c r="B1" s="518">
        <v>45909</v>
      </c>
      <c r="C1" s="518"/>
      <c r="D1" s="518"/>
    </row>
    <row r="2" spans="1:10" x14ac:dyDescent="0.25">
      <c r="E2" s="61" t="s">
        <v>181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62">
        <v>231652</v>
      </c>
      <c r="F3" s="61"/>
    </row>
    <row r="4" spans="1:10" ht="19.5" customHeight="1" thickBot="1" x14ac:dyDescent="0.4">
      <c r="A4" s="164"/>
      <c r="B4" s="285"/>
      <c r="C4" s="285"/>
      <c r="D4" s="165">
        <f>D22</f>
        <v>8974.3049999999985</v>
      </c>
      <c r="E4" s="108">
        <f>+E3/30</f>
        <v>7721.7333333333336</v>
      </c>
      <c r="F4" s="62"/>
    </row>
    <row r="5" spans="1:10" ht="15" customHeight="1" x14ac:dyDescent="0.25">
      <c r="A5" s="164"/>
      <c r="B5" s="168" t="s">
        <v>6</v>
      </c>
      <c r="C5" s="176">
        <v>8730</v>
      </c>
      <c r="D5" s="172">
        <v>372.57000000000005</v>
      </c>
      <c r="E5" s="80">
        <f>+D5/$D$4</f>
        <v>4.1515192541372301E-2</v>
      </c>
      <c r="F5" s="57"/>
      <c r="H5" s="69" t="s">
        <v>58</v>
      </c>
      <c r="I5" s="278" t="s">
        <v>59</v>
      </c>
      <c r="J5" s="69" t="s">
        <v>80</v>
      </c>
    </row>
    <row r="6" spans="1:10" ht="15" customHeight="1" x14ac:dyDescent="0.25">
      <c r="A6" s="164"/>
      <c r="B6" s="169" t="s">
        <v>10</v>
      </c>
      <c r="C6" s="177">
        <v>14848</v>
      </c>
      <c r="D6" s="173">
        <v>632.48099999999999</v>
      </c>
      <c r="E6" s="80">
        <f>+D6/$D$4</f>
        <v>7.0476878153795761E-2</v>
      </c>
      <c r="F6" s="58" t="s">
        <v>51</v>
      </c>
      <c r="G6" s="59">
        <v>45901</v>
      </c>
      <c r="H6" s="190">
        <v>7492</v>
      </c>
      <c r="I6" s="141">
        <v>6082.7990000000027</v>
      </c>
      <c r="J6" s="60">
        <f t="shared" ref="J6:J13" si="0">+I6/H6</f>
        <v>0.81190589962626836</v>
      </c>
    </row>
    <row r="7" spans="1:10" ht="15" customHeight="1" x14ac:dyDescent="0.25">
      <c r="A7" s="164"/>
      <c r="B7" s="169" t="s">
        <v>35</v>
      </c>
      <c r="C7" s="177">
        <v>26592</v>
      </c>
      <c r="D7" s="173">
        <v>1132.9099999999999</v>
      </c>
      <c r="E7" s="245">
        <f>+D7/$D$4</f>
        <v>0.12623930209637405</v>
      </c>
      <c r="F7" s="58" t="s">
        <v>52</v>
      </c>
      <c r="G7" s="59">
        <v>45902</v>
      </c>
      <c r="H7" s="190">
        <v>9391</v>
      </c>
      <c r="I7" s="141">
        <v>9195.6810000000023</v>
      </c>
      <c r="J7" s="60">
        <f t="shared" si="0"/>
        <v>0.9792014694920671</v>
      </c>
    </row>
    <row r="8" spans="1:10" ht="15" customHeight="1" x14ac:dyDescent="0.25">
      <c r="A8" s="164"/>
      <c r="B8" s="169" t="s">
        <v>4</v>
      </c>
      <c r="C8" s="177">
        <v>3043</v>
      </c>
      <c r="D8" s="173">
        <v>129.75</v>
      </c>
      <c r="E8" s="80">
        <f t="shared" ref="E8:E22" si="1">+D8/$D$4</f>
        <v>1.4457944097063786E-2</v>
      </c>
      <c r="F8" s="58" t="s">
        <v>53</v>
      </c>
      <c r="G8" s="59">
        <v>45903</v>
      </c>
      <c r="H8" s="190">
        <v>10128</v>
      </c>
      <c r="I8" s="141">
        <v>8957.757999999998</v>
      </c>
      <c r="J8" s="60">
        <f t="shared" si="0"/>
        <v>0.88445477883096346</v>
      </c>
    </row>
    <row r="9" spans="1:10" ht="15" customHeight="1" x14ac:dyDescent="0.25">
      <c r="A9" s="164"/>
      <c r="B9" s="169" t="s">
        <v>37</v>
      </c>
      <c r="C9" s="177">
        <v>43856</v>
      </c>
      <c r="D9" s="173">
        <v>1871.3199999999997</v>
      </c>
      <c r="E9" s="245">
        <f t="shared" si="1"/>
        <v>0.20851976838317843</v>
      </c>
      <c r="F9" s="58" t="s">
        <v>54</v>
      </c>
      <c r="G9" s="59">
        <v>45904</v>
      </c>
      <c r="H9" s="190">
        <v>9317</v>
      </c>
      <c r="I9" s="141">
        <v>8460.0869999999995</v>
      </c>
      <c r="J9" s="60">
        <f t="shared" si="0"/>
        <v>0.90802694000214657</v>
      </c>
    </row>
    <row r="10" spans="1:10" ht="15" customHeight="1" x14ac:dyDescent="0.25">
      <c r="A10" s="164"/>
      <c r="B10" s="169" t="s">
        <v>38</v>
      </c>
      <c r="C10" s="177">
        <v>46286</v>
      </c>
      <c r="D10" s="173">
        <v>1973.0030000000002</v>
      </c>
      <c r="E10" s="245">
        <f t="shared" si="1"/>
        <v>0.21985022795637105</v>
      </c>
      <c r="F10" s="58" t="s">
        <v>55</v>
      </c>
      <c r="G10" s="59">
        <v>45905</v>
      </c>
      <c r="H10" s="190">
        <v>6072</v>
      </c>
      <c r="I10" s="141">
        <v>8663.42</v>
      </c>
      <c r="J10" s="60">
        <f t="shared" si="0"/>
        <v>1.4267819499341239</v>
      </c>
    </row>
    <row r="11" spans="1:10" ht="15" customHeight="1" x14ac:dyDescent="0.25">
      <c r="A11" s="164"/>
      <c r="B11" s="169" t="s">
        <v>42</v>
      </c>
      <c r="C11" s="177">
        <v>8586</v>
      </c>
      <c r="D11" s="173">
        <v>367.06000000000006</v>
      </c>
      <c r="E11" s="80">
        <f t="shared" si="1"/>
        <v>4.0901217420179069E-2</v>
      </c>
      <c r="F11" s="58" t="s">
        <v>56</v>
      </c>
      <c r="G11" s="59">
        <v>45906</v>
      </c>
      <c r="H11" s="190">
        <v>7023</v>
      </c>
      <c r="I11" s="141">
        <v>6879.58</v>
      </c>
      <c r="J11" s="60">
        <f t="shared" si="0"/>
        <v>0.97957852769471732</v>
      </c>
    </row>
    <row r="12" spans="1:10" ht="15" customHeight="1" x14ac:dyDescent="0.25">
      <c r="A12" s="164"/>
      <c r="B12" s="169" t="s">
        <v>95</v>
      </c>
      <c r="C12" s="177">
        <v>50</v>
      </c>
      <c r="D12" s="173">
        <v>1.2609999999999999</v>
      </c>
      <c r="E12" s="80">
        <f t="shared" si="1"/>
        <v>1.405122736523887E-4</v>
      </c>
      <c r="F12" s="58" t="s">
        <v>57</v>
      </c>
      <c r="G12" s="59">
        <v>45907</v>
      </c>
      <c r="H12" s="190">
        <v>4661</v>
      </c>
      <c r="I12" s="141">
        <v>5911.6880000000001</v>
      </c>
      <c r="J12" s="60">
        <f t="shared" si="0"/>
        <v>1.2683304012014589</v>
      </c>
    </row>
    <row r="13" spans="1:10" ht="15" customHeight="1" x14ac:dyDescent="0.25">
      <c r="A13" s="164"/>
      <c r="B13" s="169" t="s">
        <v>44</v>
      </c>
      <c r="C13" s="177">
        <v>24</v>
      </c>
      <c r="D13" s="173">
        <v>36.28</v>
      </c>
      <c r="E13" s="80">
        <f t="shared" si="1"/>
        <v>4.0426528850980668E-3</v>
      </c>
      <c r="H13" s="139">
        <f>+SUM(H6:H12)</f>
        <v>54084</v>
      </c>
      <c r="I13" s="142">
        <f>+SUM(I6:I12)</f>
        <v>54151.013000000006</v>
      </c>
      <c r="J13" s="140">
        <f t="shared" si="0"/>
        <v>1.0012390540640486</v>
      </c>
    </row>
    <row r="14" spans="1:10" ht="15" customHeight="1" x14ac:dyDescent="0.25">
      <c r="A14" s="164"/>
      <c r="B14" s="169" t="s">
        <v>39</v>
      </c>
      <c r="C14" s="177">
        <v>452</v>
      </c>
      <c r="D14" s="173">
        <v>681.91</v>
      </c>
      <c r="E14" s="80">
        <f t="shared" si="1"/>
        <v>7.598471413663789E-2</v>
      </c>
      <c r="F14" s="112"/>
      <c r="G14" s="113">
        <v>2024</v>
      </c>
      <c r="H14" s="113">
        <v>2025</v>
      </c>
      <c r="I14" s="71"/>
    </row>
    <row r="15" spans="1:10" ht="15" customHeight="1" x14ac:dyDescent="0.25">
      <c r="A15" s="164"/>
      <c r="B15" s="169" t="s">
        <v>43</v>
      </c>
      <c r="C15" s="177">
        <v>427</v>
      </c>
      <c r="D15" s="173">
        <v>644.70999999999992</v>
      </c>
      <c r="E15" s="80">
        <f t="shared" si="1"/>
        <v>7.1839546349271616E-2</v>
      </c>
      <c r="F15" s="112" t="s">
        <v>108</v>
      </c>
      <c r="G15" s="190">
        <v>204007.80300000001</v>
      </c>
      <c r="H15" s="190">
        <v>190629.128</v>
      </c>
      <c r="I15" s="57">
        <f t="shared" ref="I15:I23" si="2">+H15/G15</f>
        <v>0.93442076820953746</v>
      </c>
    </row>
    <row r="16" spans="1:10" ht="15" customHeight="1" x14ac:dyDescent="0.25">
      <c r="A16" s="164"/>
      <c r="B16" s="169" t="s">
        <v>49</v>
      </c>
      <c r="C16" s="177">
        <v>42</v>
      </c>
      <c r="D16" s="173">
        <v>63.23</v>
      </c>
      <c r="E16" s="80">
        <f t="shared" si="1"/>
        <v>7.0456709461066908E-3</v>
      </c>
      <c r="F16" s="112" t="s">
        <v>109</v>
      </c>
      <c r="G16" s="190">
        <v>186305.94399999996</v>
      </c>
      <c r="H16" s="190">
        <v>182874.285</v>
      </c>
      <c r="I16" s="57">
        <f t="shared" si="2"/>
        <v>0.9815805179033904</v>
      </c>
    </row>
    <row r="17" spans="1:10" ht="15" customHeight="1" x14ac:dyDescent="0.25">
      <c r="A17" s="164"/>
      <c r="B17" s="169" t="s">
        <v>45</v>
      </c>
      <c r="C17" s="177">
        <v>88</v>
      </c>
      <c r="D17" s="173">
        <v>132.72</v>
      </c>
      <c r="E17" s="80">
        <f t="shared" si="1"/>
        <v>1.4788888944603512E-2</v>
      </c>
      <c r="F17" s="112" t="s">
        <v>110</v>
      </c>
      <c r="G17" s="190">
        <v>199570.19199999989</v>
      </c>
      <c r="H17" s="190">
        <v>197224.22099999999</v>
      </c>
      <c r="I17" s="57">
        <f t="shared" si="2"/>
        <v>0.98824488278289624</v>
      </c>
    </row>
    <row r="18" spans="1:10" ht="15" customHeight="1" x14ac:dyDescent="0.25">
      <c r="A18" s="164"/>
      <c r="B18" s="169" t="s">
        <v>41</v>
      </c>
      <c r="C18" s="177">
        <v>170</v>
      </c>
      <c r="D18" s="173">
        <v>256.46999999999997</v>
      </c>
      <c r="E18" s="80">
        <f t="shared" si="1"/>
        <v>2.857825759209209E-2</v>
      </c>
      <c r="F18" s="112" t="s">
        <v>111</v>
      </c>
      <c r="G18" s="190">
        <v>205343.72800000012</v>
      </c>
      <c r="H18" s="190">
        <v>198970.75799999986</v>
      </c>
      <c r="I18" s="57">
        <f t="shared" si="2"/>
        <v>0.96896437956945902</v>
      </c>
    </row>
    <row r="19" spans="1:10" ht="15" customHeight="1" x14ac:dyDescent="0.25">
      <c r="A19" s="164"/>
      <c r="B19" s="169" t="s">
        <v>118</v>
      </c>
      <c r="C19" s="177">
        <v>10</v>
      </c>
      <c r="D19" s="173">
        <v>15.15</v>
      </c>
      <c r="E19" s="80">
        <f t="shared" si="1"/>
        <v>1.6881530101773901E-3</v>
      </c>
      <c r="F19" s="112" t="s">
        <v>102</v>
      </c>
      <c r="G19" s="190">
        <v>209473.77399999995</v>
      </c>
      <c r="H19" s="190">
        <v>212393.17300000001</v>
      </c>
      <c r="I19" s="236">
        <f t="shared" si="2"/>
        <v>1.0139368234230604</v>
      </c>
    </row>
    <row r="20" spans="1:10" ht="15" customHeight="1" x14ac:dyDescent="0.25">
      <c r="A20" s="164"/>
      <c r="B20" s="169" t="s">
        <v>40</v>
      </c>
      <c r="C20" s="177"/>
      <c r="D20" s="173">
        <v>571.32000000000005</v>
      </c>
      <c r="E20" s="80">
        <f t="shared" si="1"/>
        <v>6.3661754308550936E-2</v>
      </c>
      <c r="F20" s="112" t="s">
        <v>125</v>
      </c>
      <c r="G20" s="190">
        <v>196506.86</v>
      </c>
      <c r="H20" s="190">
        <v>204590</v>
      </c>
      <c r="I20" s="236">
        <f t="shared" si="2"/>
        <v>1.0411341364876525</v>
      </c>
      <c r="J20" s="108">
        <v>-14526.736000000266</v>
      </c>
    </row>
    <row r="21" spans="1:10" ht="15" customHeight="1" thickBot="1" x14ac:dyDescent="0.3">
      <c r="A21" s="164"/>
      <c r="B21" s="169" t="s">
        <v>46</v>
      </c>
      <c r="C21" s="177"/>
      <c r="D21" s="173">
        <v>92.16</v>
      </c>
      <c r="E21" s="80">
        <f>+D21/$D$4</f>
        <v>1.0269318905475134E-2</v>
      </c>
      <c r="F21" s="112" t="s">
        <v>132</v>
      </c>
      <c r="G21" s="190">
        <v>219516.23899999997</v>
      </c>
      <c r="H21" s="190">
        <v>222445.37700000001</v>
      </c>
      <c r="I21" s="98">
        <f t="shared" si="2"/>
        <v>1.0133436050715139</v>
      </c>
      <c r="J21" s="108">
        <v>-11597.598000000231</v>
      </c>
    </row>
    <row r="22" spans="1:10" ht="15" customHeight="1" thickBot="1" x14ac:dyDescent="0.3">
      <c r="B22" s="178" t="s">
        <v>0</v>
      </c>
      <c r="C22" s="170"/>
      <c r="D22" s="171">
        <f>SUM(D5:D21)</f>
        <v>8974.3049999999985</v>
      </c>
      <c r="E22" s="80">
        <f t="shared" si="1"/>
        <v>1</v>
      </c>
      <c r="F22" s="112" t="s">
        <v>135</v>
      </c>
      <c r="G22" s="272">
        <v>232937.965</v>
      </c>
      <c r="H22" s="272">
        <v>233567.97099999999</v>
      </c>
      <c r="I22" s="98">
        <f t="shared" si="2"/>
        <v>1.0027046084995204</v>
      </c>
      <c r="J22" s="108">
        <v>-10967.592000000412</v>
      </c>
    </row>
    <row r="23" spans="1:10" ht="15" customHeight="1" x14ac:dyDescent="0.25">
      <c r="B23" s="166" t="s">
        <v>1</v>
      </c>
      <c r="C23" s="167"/>
      <c r="D23" s="233">
        <v>70259.112999999998</v>
      </c>
      <c r="E23" s="98">
        <f>+D23/$E$3</f>
        <v>0.30329594823269385</v>
      </c>
      <c r="F23" s="112" t="s">
        <v>160</v>
      </c>
      <c r="G23" s="272">
        <v>231021.16800000001</v>
      </c>
      <c r="H23" s="272">
        <f>+D23</f>
        <v>70259.112999999998</v>
      </c>
      <c r="I23" s="98">
        <f t="shared" si="2"/>
        <v>0.30412413549913314</v>
      </c>
    </row>
    <row r="24" spans="1:10" x14ac:dyDescent="0.25">
      <c r="E24" s="80"/>
      <c r="F24" s="112" t="s">
        <v>161</v>
      </c>
      <c r="G24" s="112"/>
      <c r="H24" s="112"/>
    </row>
    <row r="25" spans="1:10" x14ac:dyDescent="0.25">
      <c r="E25" s="80"/>
      <c r="G25" s="273">
        <f>+SUM(G15:G23)</f>
        <v>1884683.6730000002</v>
      </c>
      <c r="H25" s="273">
        <f>+SUM(H15:H23)</f>
        <v>1712954.0259999996</v>
      </c>
      <c r="I25" s="274">
        <f>+H25/G25</f>
        <v>0.9088814481389097</v>
      </c>
      <c r="J25" s="275">
        <f>+H25-G25</f>
        <v>-171729.64700000058</v>
      </c>
    </row>
    <row r="26" spans="1:10" x14ac:dyDescent="0.25">
      <c r="D26" s="108">
        <f>+(E3/30)*9</f>
        <v>69495.600000000006</v>
      </c>
      <c r="E26" s="98">
        <f>+D26/E3</f>
        <v>0.30000000000000004</v>
      </c>
    </row>
    <row r="27" spans="1:10" x14ac:dyDescent="0.25">
      <c r="D27" s="138">
        <f>+D23-D26</f>
        <v>763.51299999999173</v>
      </c>
      <c r="E27" s="251">
        <f>+E23-E26</f>
        <v>3.2959482326938017E-3</v>
      </c>
    </row>
    <row r="29" spans="1:10" ht="15" customHeight="1" x14ac:dyDescent="0.25">
      <c r="B29" s="66" t="s">
        <v>60</v>
      </c>
      <c r="D29" s="109" t="s">
        <v>105</v>
      </c>
      <c r="E29" s="109" t="s">
        <v>80</v>
      </c>
      <c r="G29" s="163"/>
      <c r="H29" s="237" t="s">
        <v>157</v>
      </c>
      <c r="I29" s="237" t="s">
        <v>92</v>
      </c>
      <c r="J29" s="71"/>
    </row>
    <row r="30" spans="1:10" x14ac:dyDescent="0.25">
      <c r="B30" s="162" t="s">
        <v>61</v>
      </c>
      <c r="C30" s="162">
        <v>1306</v>
      </c>
      <c r="D30" s="108">
        <v>2142</v>
      </c>
      <c r="E30" s="57">
        <f>+C30/D30</f>
        <v>0.60971055088702153</v>
      </c>
      <c r="G30" s="86" t="s">
        <v>86</v>
      </c>
      <c r="H30" s="87">
        <v>4529</v>
      </c>
      <c r="I30" s="88">
        <v>113.22500000000001</v>
      </c>
      <c r="J30" s="228"/>
    </row>
    <row r="31" spans="1:10" x14ac:dyDescent="0.25">
      <c r="B31" s="162" t="s">
        <v>62</v>
      </c>
      <c r="C31" s="162">
        <v>1259</v>
      </c>
      <c r="D31" s="108">
        <v>1890</v>
      </c>
      <c r="E31" s="57">
        <f>+C31/D31</f>
        <v>0.66613756613756614</v>
      </c>
      <c r="G31" s="86" t="s">
        <v>171</v>
      </c>
      <c r="H31" s="87">
        <v>14</v>
      </c>
      <c r="I31" s="88">
        <v>0.35000000000000003</v>
      </c>
      <c r="J31" s="228"/>
    </row>
    <row r="32" spans="1:10" ht="15" customHeight="1" x14ac:dyDescent="0.25">
      <c r="B32" s="162" t="s">
        <v>63</v>
      </c>
      <c r="C32" s="67">
        <v>1324</v>
      </c>
      <c r="D32" s="108">
        <v>3006</v>
      </c>
      <c r="E32" s="57">
        <f>+C32/D32</f>
        <v>0.44045242847638055</v>
      </c>
      <c r="G32" s="89" t="s">
        <v>169</v>
      </c>
      <c r="H32" s="87">
        <v>24</v>
      </c>
      <c r="I32" s="88">
        <v>36</v>
      </c>
      <c r="J32" s="228"/>
    </row>
    <row r="33" spans="1:11" ht="15" customHeight="1" x14ac:dyDescent="0.25">
      <c r="C33" s="162">
        <f>+SUM(C30:C32)</f>
        <v>3889</v>
      </c>
      <c r="D33" s="110">
        <f>+SUM(D30:D32)</f>
        <v>7038</v>
      </c>
      <c r="E33" s="57">
        <f>+C33/D33</f>
        <v>0.55257175333901676</v>
      </c>
      <c r="G33" s="89" t="s">
        <v>168</v>
      </c>
      <c r="H33" s="87">
        <v>102</v>
      </c>
      <c r="I33" s="88">
        <v>153</v>
      </c>
      <c r="J33" s="228"/>
    </row>
    <row r="34" spans="1:11" ht="15" customHeight="1" x14ac:dyDescent="0.25">
      <c r="G34" s="231" t="s">
        <v>123</v>
      </c>
      <c r="H34" s="138">
        <v>231</v>
      </c>
      <c r="I34" s="232">
        <v>346.5</v>
      </c>
      <c r="J34" s="218" t="s">
        <v>146</v>
      </c>
    </row>
    <row r="35" spans="1:11" x14ac:dyDescent="0.25">
      <c r="B35" s="162" t="s">
        <v>66</v>
      </c>
      <c r="D35" s="162"/>
      <c r="G35" s="89" t="s">
        <v>170</v>
      </c>
      <c r="H35" s="87">
        <v>22</v>
      </c>
      <c r="I35" s="88">
        <v>33</v>
      </c>
      <c r="J35" s="218" t="s">
        <v>146</v>
      </c>
    </row>
    <row r="36" spans="1:11" x14ac:dyDescent="0.25">
      <c r="B36" s="76" t="s">
        <v>67</v>
      </c>
      <c r="C36" s="77" t="s">
        <v>68</v>
      </c>
      <c r="D36" s="78" t="s">
        <v>69</v>
      </c>
      <c r="E36" s="79" t="s">
        <v>33</v>
      </c>
      <c r="G36" s="89" t="s">
        <v>107</v>
      </c>
      <c r="H36" s="87">
        <v>239</v>
      </c>
      <c r="I36" s="88">
        <f>+H36*1.5</f>
        <v>358.5</v>
      </c>
      <c r="J36" s="224" t="s">
        <v>152</v>
      </c>
    </row>
    <row r="37" spans="1:11" x14ac:dyDescent="0.25">
      <c r="B37" s="73">
        <v>16</v>
      </c>
      <c r="C37" s="74">
        <v>5</v>
      </c>
      <c r="D37" s="74">
        <v>14</v>
      </c>
      <c r="E37" s="75">
        <f>+SUM(B37:D37)</f>
        <v>35</v>
      </c>
      <c r="J37" s="218"/>
    </row>
    <row r="38" spans="1:11" x14ac:dyDescent="0.25">
      <c r="E38" s="198" t="s">
        <v>76</v>
      </c>
      <c r="F38" s="198" t="s">
        <v>137</v>
      </c>
      <c r="H38" s="144" t="s">
        <v>124</v>
      </c>
      <c r="I38" s="220" t="s">
        <v>148</v>
      </c>
      <c r="J38" s="218" t="s">
        <v>146</v>
      </c>
    </row>
    <row r="39" spans="1:11" x14ac:dyDescent="0.25">
      <c r="D39" s="162"/>
      <c r="G39" s="71" t="s">
        <v>90</v>
      </c>
      <c r="H39" s="144" t="s">
        <v>120</v>
      </c>
      <c r="I39" s="145">
        <v>0</v>
      </c>
      <c r="J39" s="218"/>
    </row>
    <row r="40" spans="1:11" x14ac:dyDescent="0.25">
      <c r="A40" s="207" t="s">
        <v>70</v>
      </c>
      <c r="B40" s="199">
        <v>0</v>
      </c>
      <c r="C40" s="199">
        <v>0</v>
      </c>
      <c r="D40" s="200">
        <v>2400</v>
      </c>
      <c r="E40" s="201">
        <f t="shared" ref="E40:E45" si="3">+C40/D40</f>
        <v>0</v>
      </c>
      <c r="F40" s="201">
        <f t="shared" ref="F40:F45" si="4">+B40/24</f>
        <v>0</v>
      </c>
      <c r="G40" s="202">
        <v>7</v>
      </c>
      <c r="H40" s="144" t="s">
        <v>121</v>
      </c>
      <c r="I40" s="220" t="s">
        <v>149</v>
      </c>
      <c r="J40" s="218" t="s">
        <v>146</v>
      </c>
    </row>
    <row r="41" spans="1:11" x14ac:dyDescent="0.25">
      <c r="A41" s="207" t="s">
        <v>71</v>
      </c>
      <c r="B41" s="199">
        <v>9.4700000000000006</v>
      </c>
      <c r="C41" s="199">
        <v>1725</v>
      </c>
      <c r="D41" s="200">
        <v>3600</v>
      </c>
      <c r="E41" s="201">
        <f t="shared" si="3"/>
        <v>0.47916666666666669</v>
      </c>
      <c r="F41" s="201">
        <f t="shared" si="4"/>
        <v>0.39458333333333334</v>
      </c>
      <c r="G41" s="202">
        <v>12</v>
      </c>
      <c r="H41" s="71"/>
    </row>
    <row r="42" spans="1:11" x14ac:dyDescent="0.25">
      <c r="A42" s="207" t="s">
        <v>72</v>
      </c>
      <c r="B42" s="199">
        <v>9.5399999999999991</v>
      </c>
      <c r="C42" s="199">
        <v>1527</v>
      </c>
      <c r="D42" s="200">
        <v>3900</v>
      </c>
      <c r="E42" s="201">
        <f t="shared" si="3"/>
        <v>0.39153846153846156</v>
      </c>
      <c r="F42" s="201">
        <f t="shared" si="4"/>
        <v>0.39749999999999996</v>
      </c>
      <c r="G42" s="202">
        <v>12</v>
      </c>
      <c r="H42" s="71"/>
    </row>
    <row r="43" spans="1:11" x14ac:dyDescent="0.25">
      <c r="A43" s="207" t="s">
        <v>73</v>
      </c>
      <c r="B43" s="199">
        <v>12.77</v>
      </c>
      <c r="C43" s="199">
        <v>2905</v>
      </c>
      <c r="D43" s="200">
        <v>3900</v>
      </c>
      <c r="E43" s="201">
        <f t="shared" si="3"/>
        <v>0.74487179487179489</v>
      </c>
      <c r="F43" s="201">
        <f t="shared" si="4"/>
        <v>0.53208333333333335</v>
      </c>
      <c r="G43" s="202">
        <v>12</v>
      </c>
      <c r="H43" s="71"/>
      <c r="K43" s="283"/>
    </row>
    <row r="44" spans="1:11" x14ac:dyDescent="0.25">
      <c r="A44" s="207" t="s">
        <v>74</v>
      </c>
      <c r="B44" s="199">
        <v>16.41</v>
      </c>
      <c r="C44" s="199">
        <v>2957</v>
      </c>
      <c r="D44" s="200">
        <v>3900</v>
      </c>
      <c r="E44" s="201">
        <f t="shared" si="3"/>
        <v>0.7582051282051282</v>
      </c>
      <c r="F44" s="201">
        <f t="shared" si="4"/>
        <v>0.68374999999999997</v>
      </c>
      <c r="G44" s="202">
        <v>12</v>
      </c>
      <c r="H44" s="71"/>
      <c r="K44" s="283"/>
    </row>
    <row r="45" spans="1:11" x14ac:dyDescent="0.25">
      <c r="A45" s="259" t="s">
        <v>75</v>
      </c>
      <c r="B45" s="260">
        <v>9.74</v>
      </c>
      <c r="C45" s="261">
        <v>3161</v>
      </c>
      <c r="D45" s="262">
        <v>4300</v>
      </c>
      <c r="E45" s="263">
        <f t="shared" si="3"/>
        <v>0.7351162790697674</v>
      </c>
      <c r="F45" s="201">
        <f t="shared" si="4"/>
        <v>0.40583333333333332</v>
      </c>
      <c r="G45" s="202">
        <v>16</v>
      </c>
      <c r="H45" s="71"/>
      <c r="K45" s="283"/>
    </row>
    <row r="46" spans="1:11" x14ac:dyDescent="0.25">
      <c r="C46" s="71" t="s">
        <v>83</v>
      </c>
      <c r="D46" s="72" t="s">
        <v>79</v>
      </c>
      <c r="H46" s="71"/>
      <c r="K46" s="283"/>
    </row>
    <row r="47" spans="1:11" x14ac:dyDescent="0.25">
      <c r="B47" s="162" t="s">
        <v>78</v>
      </c>
      <c r="H47" s="71"/>
      <c r="K47" s="284"/>
    </row>
    <row r="48" spans="1:11" x14ac:dyDescent="0.25">
      <c r="C48" s="71">
        <v>1</v>
      </c>
      <c r="D48" s="225" t="s">
        <v>153</v>
      </c>
      <c r="H48" s="71"/>
      <c r="K48" s="284"/>
    </row>
    <row r="49" spans="3:8" x14ac:dyDescent="0.25">
      <c r="C49" s="71">
        <v>2</v>
      </c>
      <c r="D49" s="225" t="s">
        <v>153</v>
      </c>
      <c r="H49" s="71"/>
    </row>
    <row r="50" spans="3:8" x14ac:dyDescent="0.25">
      <c r="C50" s="71">
        <v>3</v>
      </c>
      <c r="D50" s="225" t="s">
        <v>154</v>
      </c>
      <c r="H50" s="71"/>
    </row>
    <row r="51" spans="3:8" x14ac:dyDescent="0.25">
      <c r="C51" s="71">
        <v>4</v>
      </c>
      <c r="D51" s="108">
        <v>0</v>
      </c>
      <c r="H51" s="71"/>
    </row>
    <row r="52" spans="3:8" x14ac:dyDescent="0.25">
      <c r="C52" s="71">
        <v>5</v>
      </c>
      <c r="D52" s="108">
        <v>9</v>
      </c>
    </row>
    <row r="53" spans="3:8" x14ac:dyDescent="0.25">
      <c r="C53" s="71">
        <v>6</v>
      </c>
      <c r="D53" s="108">
        <v>8</v>
      </c>
    </row>
    <row r="54" spans="3:8" x14ac:dyDescent="0.25">
      <c r="C54" s="71">
        <v>7</v>
      </c>
      <c r="D54" s="225" t="s">
        <v>153</v>
      </c>
    </row>
    <row r="55" spans="3:8" x14ac:dyDescent="0.25">
      <c r="C55" s="71">
        <v>8</v>
      </c>
      <c r="D55" s="225" t="s">
        <v>153</v>
      </c>
    </row>
  </sheetData>
  <protectedRanges>
    <protectedRange password="D554" sqref="I38:I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opLeftCell="A33" workbookViewId="0">
      <selection activeCell="A28" sqref="A28:J57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22" style="162" customWidth="1"/>
    <col min="6" max="16384" width="11.42578125" style="162"/>
  </cols>
  <sheetData>
    <row r="1" spans="1:10" ht="15" customHeight="1" x14ac:dyDescent="0.25">
      <c r="A1" s="161"/>
      <c r="B1" s="518">
        <v>45910</v>
      </c>
      <c r="C1" s="518"/>
      <c r="D1" s="518"/>
      <c r="E1" s="61" t="s">
        <v>181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286"/>
      <c r="C4" s="286"/>
      <c r="D4" s="165">
        <f>D26</f>
        <v>9261.5160000000014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8365</v>
      </c>
      <c r="D5" s="172">
        <v>357.13400000000001</v>
      </c>
      <c r="E5" s="80">
        <f>+D5/$D$4</f>
        <v>3.856107358665687E-2</v>
      </c>
      <c r="F5" s="58" t="s">
        <v>51</v>
      </c>
      <c r="G5" s="59">
        <v>45908</v>
      </c>
      <c r="H5" s="190">
        <v>8456</v>
      </c>
      <c r="I5" s="141">
        <v>6981.0470000000005</v>
      </c>
      <c r="J5" s="60">
        <f t="shared" ref="J5:J12" si="0">+I5/H5</f>
        <v>0.82557320245979193</v>
      </c>
    </row>
    <row r="6" spans="1:10" ht="15" customHeight="1" x14ac:dyDescent="0.25">
      <c r="A6" s="164"/>
      <c r="B6" s="169" t="s">
        <v>10</v>
      </c>
      <c r="C6" s="177">
        <v>17091</v>
      </c>
      <c r="D6" s="173">
        <v>728.73800000000006</v>
      </c>
      <c r="E6" s="80">
        <f>+D6/$D$4</f>
        <v>7.8684526377754999E-2</v>
      </c>
      <c r="F6" s="58" t="s">
        <v>52</v>
      </c>
      <c r="G6" s="59">
        <v>45909</v>
      </c>
      <c r="H6" s="190">
        <v>10580</v>
      </c>
      <c r="I6" s="141">
        <v>8974.3049999999985</v>
      </c>
      <c r="J6" s="60">
        <f t="shared" si="0"/>
        <v>0.84823298676748571</v>
      </c>
    </row>
    <row r="7" spans="1:10" ht="15" customHeight="1" x14ac:dyDescent="0.25">
      <c r="A7" s="164"/>
      <c r="B7" s="169" t="s">
        <v>35</v>
      </c>
      <c r="C7" s="177">
        <v>26565</v>
      </c>
      <c r="D7" s="173">
        <v>1132.2059999999999</v>
      </c>
      <c r="E7" s="80">
        <f>+D7/$D$4</f>
        <v>0.12224845262913758</v>
      </c>
      <c r="F7" s="58" t="s">
        <v>53</v>
      </c>
      <c r="G7" s="59">
        <v>45910</v>
      </c>
      <c r="H7" s="190">
        <v>10897</v>
      </c>
      <c r="I7" s="141">
        <v>9261.5160000000014</v>
      </c>
      <c r="J7" s="60">
        <f t="shared" si="0"/>
        <v>0.8499142883362395</v>
      </c>
    </row>
    <row r="8" spans="1:10" ht="15" customHeight="1" x14ac:dyDescent="0.25">
      <c r="A8" s="164"/>
      <c r="B8" s="169" t="s">
        <v>4</v>
      </c>
      <c r="C8" s="177">
        <v>780</v>
      </c>
      <c r="D8" s="173">
        <v>33.29</v>
      </c>
      <c r="E8" s="80">
        <f>+D8/$D$4</f>
        <v>3.5944439333690072E-3</v>
      </c>
      <c r="F8" s="58" t="s">
        <v>54</v>
      </c>
      <c r="G8" s="59">
        <v>45911</v>
      </c>
      <c r="H8" s="190">
        <v>9638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38519</v>
      </c>
      <c r="D9" s="173">
        <v>1642.874</v>
      </c>
      <c r="E9" s="245">
        <f t="shared" ref="E9:E25" si="1">+D9/$D$4</f>
        <v>0.17738715778280789</v>
      </c>
      <c r="F9" s="58" t="s">
        <v>55</v>
      </c>
      <c r="G9" s="59">
        <v>45912</v>
      </c>
      <c r="H9" s="190">
        <v>5732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56930</v>
      </c>
      <c r="D10" s="173">
        <v>2426.85</v>
      </c>
      <c r="E10" s="245">
        <f t="shared" si="1"/>
        <v>0.26203593450575474</v>
      </c>
      <c r="F10" s="58" t="s">
        <v>56</v>
      </c>
      <c r="G10" s="59">
        <v>45913</v>
      </c>
      <c r="H10" s="190">
        <v>6779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10932</v>
      </c>
      <c r="D11" s="173">
        <v>467.084</v>
      </c>
      <c r="E11" s="80">
        <f t="shared" si="1"/>
        <v>5.0432780119367061E-2</v>
      </c>
      <c r="F11" s="58" t="s">
        <v>57</v>
      </c>
      <c r="G11" s="59">
        <v>45914</v>
      </c>
      <c r="H11" s="190">
        <v>4514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/>
      <c r="D12" s="173"/>
      <c r="E12" s="80">
        <f t="shared" si="1"/>
        <v>0</v>
      </c>
      <c r="H12" s="139">
        <f>+SUM(H5:H11)</f>
        <v>56596</v>
      </c>
      <c r="I12" s="142">
        <f>+SUM(I5:I11)</f>
        <v>25216.868000000002</v>
      </c>
      <c r="J12" s="140">
        <f t="shared" si="0"/>
        <v>0.44555919146229417</v>
      </c>
    </row>
    <row r="13" spans="1:10" ht="15" customHeight="1" x14ac:dyDescent="0.25">
      <c r="A13" s="164"/>
      <c r="B13" s="169" t="s">
        <v>44</v>
      </c>
      <c r="C13" s="177">
        <v>44</v>
      </c>
      <c r="D13" s="173">
        <v>66.47</v>
      </c>
      <c r="E13" s="80">
        <f t="shared" si="1"/>
        <v>7.1770107615211146E-3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399</v>
      </c>
      <c r="D14" s="173">
        <v>602.41</v>
      </c>
      <c r="E14" s="80">
        <f t="shared" si="1"/>
        <v>6.5044426851932222E-2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249</v>
      </c>
      <c r="D15" s="173">
        <v>375.95</v>
      </c>
      <c r="E15" s="80">
        <f t="shared" si="1"/>
        <v>4.0592706420849452E-2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84</v>
      </c>
      <c r="C16" s="177">
        <v>111</v>
      </c>
      <c r="D16" s="173">
        <v>167.41</v>
      </c>
      <c r="E16" s="80">
        <f t="shared" si="1"/>
        <v>1.8075874403283433E-2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21</v>
      </c>
      <c r="D17" s="173">
        <v>31.72</v>
      </c>
      <c r="E17" s="80">
        <f t="shared" si="1"/>
        <v>3.4249252498187114E-3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45</v>
      </c>
      <c r="C18" s="177">
        <v>66</v>
      </c>
      <c r="D18" s="173">
        <v>99.59</v>
      </c>
      <c r="E18" s="80">
        <f t="shared" si="1"/>
        <v>1.0753099168645823E-2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41</v>
      </c>
      <c r="C19" s="177">
        <v>174</v>
      </c>
      <c r="D19" s="173">
        <v>262.56</v>
      </c>
      <c r="E19" s="80">
        <f t="shared" si="1"/>
        <v>2.8349570415901668E-2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165</v>
      </c>
      <c r="C20" s="177">
        <v>22</v>
      </c>
      <c r="D20" s="173">
        <v>33.17</v>
      </c>
      <c r="E20" s="80">
        <f>+D20/$D$4</f>
        <v>3.5814870913142079E-3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183</v>
      </c>
      <c r="C21" s="177">
        <v>10</v>
      </c>
      <c r="D21" s="173">
        <v>15</v>
      </c>
      <c r="E21" s="80">
        <f t="shared" si="1"/>
        <v>1.6196052568499583E-3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x14ac:dyDescent="0.25">
      <c r="A22" s="164"/>
      <c r="B22" s="169" t="s">
        <v>106</v>
      </c>
      <c r="C22" s="177"/>
      <c r="D22" s="173">
        <v>90.12</v>
      </c>
      <c r="E22" s="80">
        <f t="shared" si="1"/>
        <v>9.7305883831545498E-3</v>
      </c>
      <c r="F22" s="112" t="s">
        <v>160</v>
      </c>
      <c r="G22" s="272">
        <v>231021.16800000001</v>
      </c>
      <c r="H22" s="272">
        <f>+D27</f>
        <v>79520.626000000004</v>
      </c>
      <c r="I22" s="98">
        <f t="shared" si="2"/>
        <v>0.344213591717275</v>
      </c>
    </row>
    <row r="23" spans="1:10" ht="15" customHeight="1" x14ac:dyDescent="0.25">
      <c r="A23" s="164"/>
      <c r="B23" s="169" t="s">
        <v>9</v>
      </c>
      <c r="C23" s="177"/>
      <c r="D23" s="173">
        <v>186.18</v>
      </c>
      <c r="E23" s="80">
        <f t="shared" si="1"/>
        <v>2.0102540448021681E-2</v>
      </c>
      <c r="F23" s="112" t="s">
        <v>161</v>
      </c>
      <c r="G23" s="112"/>
      <c r="H23" s="112"/>
    </row>
    <row r="24" spans="1:10" ht="15" customHeight="1" x14ac:dyDescent="0.25">
      <c r="A24" s="164"/>
      <c r="B24" s="169" t="s">
        <v>40</v>
      </c>
      <c r="C24" s="177"/>
      <c r="D24" s="173">
        <v>483.84</v>
      </c>
      <c r="E24" s="80">
        <f t="shared" si="1"/>
        <v>5.224198716495225E-2</v>
      </c>
      <c r="G24" s="273">
        <f>+SUM(G14:G22)</f>
        <v>1884683.6730000002</v>
      </c>
      <c r="H24" s="273">
        <f>+SUM(H14:H22)</f>
        <v>1722215.5389999996</v>
      </c>
      <c r="I24" s="274">
        <f>+H24/G24</f>
        <v>0.91379554228249504</v>
      </c>
      <c r="J24" s="275">
        <f>+H24-G24</f>
        <v>-162468.13400000054</v>
      </c>
    </row>
    <row r="25" spans="1:10" ht="15" customHeight="1" thickBot="1" x14ac:dyDescent="0.3">
      <c r="A25" s="164"/>
      <c r="B25" s="169" t="s">
        <v>46</v>
      </c>
      <c r="C25" s="177"/>
      <c r="D25" s="173">
        <v>58.92</v>
      </c>
      <c r="E25" s="80">
        <f t="shared" si="1"/>
        <v>6.3618094489066362E-3</v>
      </c>
    </row>
    <row r="26" spans="1:10" ht="15" customHeight="1" thickBot="1" x14ac:dyDescent="0.3">
      <c r="B26" s="178" t="s">
        <v>0</v>
      </c>
      <c r="C26" s="170"/>
      <c r="D26" s="171">
        <f>SUM(D5:D25)</f>
        <v>9261.5160000000014</v>
      </c>
      <c r="E26" s="179"/>
    </row>
    <row r="27" spans="1:10" ht="15" customHeight="1" x14ac:dyDescent="0.25">
      <c r="B27" s="166" t="s">
        <v>1</v>
      </c>
      <c r="C27" s="167"/>
      <c r="D27" s="233">
        <v>79520.626000000004</v>
      </c>
      <c r="E27" s="98">
        <f>+D27/E2</f>
        <v>0.34327623331549051</v>
      </c>
      <c r="F27" s="163"/>
    </row>
    <row r="28" spans="1:10" x14ac:dyDescent="0.25">
      <c r="D28" s="108">
        <f>+(E2/30)*10</f>
        <v>77217.333333333343</v>
      </c>
      <c r="E28" s="98">
        <f>+D28/E2</f>
        <v>0.33333333333333337</v>
      </c>
    </row>
    <row r="29" spans="1:10" x14ac:dyDescent="0.25">
      <c r="D29" s="138">
        <f>+D27-D28</f>
        <v>2303.2926666666608</v>
      </c>
      <c r="E29" s="251">
        <f>+E27-E28</f>
        <v>9.9428999821571384E-3</v>
      </c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</row>
    <row r="32" spans="1:10" ht="15" customHeight="1" x14ac:dyDescent="0.25">
      <c r="B32" s="162" t="s">
        <v>61</v>
      </c>
      <c r="C32" s="162">
        <v>947</v>
      </c>
      <c r="D32" s="108">
        <v>2142</v>
      </c>
      <c r="E32" s="57">
        <f>+C32/D32</f>
        <v>0.44211017740429503</v>
      </c>
      <c r="G32" s="86" t="s">
        <v>86</v>
      </c>
      <c r="H32" s="87">
        <v>4236</v>
      </c>
      <c r="I32" s="88">
        <v>105.9</v>
      </c>
      <c r="J32" s="228"/>
    </row>
    <row r="33" spans="1:10" x14ac:dyDescent="0.25">
      <c r="B33" s="162" t="s">
        <v>62</v>
      </c>
      <c r="C33" s="162">
        <v>1113</v>
      </c>
      <c r="D33" s="108">
        <v>1890</v>
      </c>
      <c r="E33" s="57">
        <f>+C33/D33</f>
        <v>0.58888888888888891</v>
      </c>
      <c r="G33" s="86" t="s">
        <v>171</v>
      </c>
      <c r="H33" s="87">
        <v>14</v>
      </c>
      <c r="I33" s="88">
        <v>0.35000000000000003</v>
      </c>
      <c r="J33" s="228"/>
    </row>
    <row r="34" spans="1:10" x14ac:dyDescent="0.25">
      <c r="B34" s="162" t="s">
        <v>63</v>
      </c>
      <c r="C34" s="67">
        <v>1991</v>
      </c>
      <c r="D34" s="108">
        <v>3006</v>
      </c>
      <c r="E34" s="57">
        <f>+C34/D34</f>
        <v>0.6623419827012641</v>
      </c>
      <c r="G34" s="89" t="s">
        <v>169</v>
      </c>
      <c r="H34" s="87">
        <v>162</v>
      </c>
      <c r="I34" s="88">
        <v>243</v>
      </c>
      <c r="J34" s="228"/>
    </row>
    <row r="35" spans="1:10" ht="15" customHeight="1" x14ac:dyDescent="0.25">
      <c r="C35" s="162">
        <f>+SUM(C32:C34)</f>
        <v>4051</v>
      </c>
      <c r="D35" s="110">
        <f>+SUM(D32:D34)</f>
        <v>7038</v>
      </c>
      <c r="E35" s="57">
        <f>+C35/D35</f>
        <v>0.57558965615231605</v>
      </c>
      <c r="G35" s="89" t="s">
        <v>168</v>
      </c>
      <c r="H35" s="87">
        <v>64</v>
      </c>
      <c r="I35" s="88">
        <v>96</v>
      </c>
      <c r="J35" s="228"/>
    </row>
    <row r="36" spans="1:10" ht="15" customHeight="1" x14ac:dyDescent="0.25">
      <c r="G36" s="231" t="s">
        <v>123</v>
      </c>
      <c r="H36" s="138">
        <v>231</v>
      </c>
      <c r="I36" s="232">
        <v>346.5</v>
      </c>
      <c r="J36" s="218" t="s">
        <v>146</v>
      </c>
    </row>
    <row r="37" spans="1:10" ht="15" customHeight="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</row>
    <row r="38" spans="1:10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229</v>
      </c>
      <c r="I38" s="88">
        <f>+H38*1.5</f>
        <v>343.5</v>
      </c>
      <c r="J38" s="224" t="s">
        <v>152</v>
      </c>
    </row>
    <row r="39" spans="1:10" x14ac:dyDescent="0.25">
      <c r="B39" s="73">
        <v>12</v>
      </c>
      <c r="C39" s="74">
        <v>5</v>
      </c>
      <c r="D39" s="74">
        <v>11</v>
      </c>
      <c r="E39" s="75">
        <f>+SUM(B39:D39)</f>
        <v>28</v>
      </c>
      <c r="J39" s="218"/>
    </row>
    <row r="40" spans="1:10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</row>
    <row r="41" spans="1:10" x14ac:dyDescent="0.25">
      <c r="D41" s="162"/>
      <c r="G41" s="71" t="s">
        <v>90</v>
      </c>
      <c r="H41" s="144" t="s">
        <v>120</v>
      </c>
      <c r="I41" s="145">
        <v>0</v>
      </c>
      <c r="J41" s="218"/>
    </row>
    <row r="42" spans="1:10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</row>
    <row r="43" spans="1:10" x14ac:dyDescent="0.25">
      <c r="A43" s="207" t="s">
        <v>71</v>
      </c>
      <c r="B43" s="199">
        <v>7.95</v>
      </c>
      <c r="C43" s="199">
        <v>1595</v>
      </c>
      <c r="D43" s="200">
        <v>3600</v>
      </c>
      <c r="E43" s="201">
        <f t="shared" si="3"/>
        <v>0.44305555555555554</v>
      </c>
      <c r="F43" s="201">
        <f t="shared" si="4"/>
        <v>0.33124999999999999</v>
      </c>
      <c r="G43" s="202">
        <v>12</v>
      </c>
      <c r="H43" s="71"/>
    </row>
    <row r="44" spans="1:10" x14ac:dyDescent="0.25">
      <c r="A44" s="207" t="s">
        <v>72</v>
      </c>
      <c r="B44" s="199">
        <v>12.1</v>
      </c>
      <c r="C44" s="199">
        <v>1528</v>
      </c>
      <c r="D44" s="200">
        <v>3900</v>
      </c>
      <c r="E44" s="201">
        <f t="shared" si="3"/>
        <v>0.39179487179487177</v>
      </c>
      <c r="F44" s="201">
        <f t="shared" si="4"/>
        <v>0.50416666666666665</v>
      </c>
      <c r="G44" s="202">
        <v>12</v>
      </c>
      <c r="H44" s="71"/>
    </row>
    <row r="45" spans="1:10" x14ac:dyDescent="0.25">
      <c r="A45" s="207" t="s">
        <v>73</v>
      </c>
      <c r="B45" s="199">
        <v>8.6</v>
      </c>
      <c r="C45" s="199">
        <v>2647</v>
      </c>
      <c r="D45" s="200">
        <v>3900</v>
      </c>
      <c r="E45" s="201">
        <f t="shared" si="3"/>
        <v>0.67871794871794877</v>
      </c>
      <c r="F45" s="201">
        <f t="shared" si="4"/>
        <v>0.35833333333333334</v>
      </c>
      <c r="G45" s="202">
        <v>12</v>
      </c>
      <c r="H45" s="71"/>
    </row>
    <row r="46" spans="1:10" x14ac:dyDescent="0.25">
      <c r="A46" s="207" t="s">
        <v>74</v>
      </c>
      <c r="B46" s="199">
        <v>17.61</v>
      </c>
      <c r="C46" s="199">
        <v>3040</v>
      </c>
      <c r="D46" s="200">
        <v>3900</v>
      </c>
      <c r="E46" s="201">
        <f t="shared" si="3"/>
        <v>0.77948717948717949</v>
      </c>
      <c r="F46" s="201">
        <f t="shared" si="4"/>
        <v>0.73375000000000001</v>
      </c>
      <c r="G46" s="202">
        <v>12</v>
      </c>
      <c r="H46" s="71"/>
    </row>
    <row r="47" spans="1:10" x14ac:dyDescent="0.25">
      <c r="A47" s="259" t="s">
        <v>75</v>
      </c>
      <c r="B47" s="260">
        <v>12.92</v>
      </c>
      <c r="C47" s="261">
        <v>3281</v>
      </c>
      <c r="D47" s="262">
        <v>4300</v>
      </c>
      <c r="E47" s="263">
        <f t="shared" si="3"/>
        <v>0.76302325581395347</v>
      </c>
      <c r="F47" s="201">
        <f t="shared" si="4"/>
        <v>0.53833333333333333</v>
      </c>
      <c r="G47" s="202">
        <v>16</v>
      </c>
      <c r="H47" s="71"/>
    </row>
    <row r="48" spans="1:10" x14ac:dyDescent="0.25">
      <c r="C48" s="71" t="s">
        <v>83</v>
      </c>
      <c r="D48" s="72" t="s">
        <v>79</v>
      </c>
      <c r="H48" s="71"/>
    </row>
    <row r="49" spans="2:8" x14ac:dyDescent="0.25">
      <c r="B49" s="162" t="s">
        <v>78</v>
      </c>
      <c r="H49" s="71"/>
    </row>
    <row r="50" spans="2:8" x14ac:dyDescent="0.25">
      <c r="C50" s="71">
        <v>1</v>
      </c>
      <c r="D50" s="225" t="s">
        <v>153</v>
      </c>
      <c r="H50" s="71"/>
    </row>
    <row r="51" spans="2:8" x14ac:dyDescent="0.25">
      <c r="C51" s="71">
        <v>2</v>
      </c>
      <c r="D51" s="225" t="s">
        <v>153</v>
      </c>
      <c r="H51" s="71"/>
    </row>
    <row r="52" spans="2:8" x14ac:dyDescent="0.25">
      <c r="C52" s="71">
        <v>3</v>
      </c>
      <c r="D52" s="225" t="s">
        <v>154</v>
      </c>
      <c r="H52" s="71"/>
    </row>
    <row r="53" spans="2:8" x14ac:dyDescent="0.25">
      <c r="C53" s="71">
        <v>4</v>
      </c>
      <c r="D53" s="108">
        <v>0</v>
      </c>
      <c r="H53" s="71"/>
    </row>
    <row r="54" spans="2:8" x14ac:dyDescent="0.25">
      <c r="C54" s="71">
        <v>5</v>
      </c>
      <c r="D54" s="108">
        <v>10</v>
      </c>
    </row>
    <row r="55" spans="2:8" x14ac:dyDescent="0.25">
      <c r="C55" s="71">
        <v>6</v>
      </c>
      <c r="D55" s="108">
        <v>10</v>
      </c>
    </row>
    <row r="56" spans="2:8" x14ac:dyDescent="0.25">
      <c r="C56" s="71">
        <v>7</v>
      </c>
      <c r="D56" s="225" t="s">
        <v>153</v>
      </c>
    </row>
    <row r="57" spans="2:8" x14ac:dyDescent="0.25">
      <c r="C57" s="71">
        <v>8</v>
      </c>
      <c r="D57" s="225" t="s">
        <v>153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opLeftCell="A33" workbookViewId="0">
      <selection activeCell="A27" sqref="A27:J5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22" style="162" customWidth="1"/>
    <col min="6" max="16384" width="11.42578125" style="162"/>
  </cols>
  <sheetData>
    <row r="1" spans="1:10" ht="15" customHeight="1" x14ac:dyDescent="0.25">
      <c r="A1" s="161"/>
      <c r="B1" s="518">
        <v>45911</v>
      </c>
      <c r="C1" s="518"/>
      <c r="D1" s="518"/>
      <c r="E1" s="61" t="s">
        <v>181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286"/>
      <c r="C4" s="286"/>
      <c r="D4" s="165">
        <f>D25</f>
        <v>9613.9089999999997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6311</v>
      </c>
      <c r="D5" s="172">
        <v>269.34800000000001</v>
      </c>
      <c r="E5" s="80">
        <f>+D5/$D$4</f>
        <v>2.8016491522855066E-2</v>
      </c>
      <c r="F5" s="58" t="s">
        <v>51</v>
      </c>
      <c r="G5" s="59">
        <v>45908</v>
      </c>
      <c r="H5" s="190">
        <v>8456</v>
      </c>
      <c r="I5" s="141">
        <v>6981.0470000000005</v>
      </c>
      <c r="J5" s="60">
        <f t="shared" ref="J5:J12" si="0">+I5/H5</f>
        <v>0.82557320245979193</v>
      </c>
    </row>
    <row r="6" spans="1:10" ht="15" customHeight="1" x14ac:dyDescent="0.25">
      <c r="A6" s="164"/>
      <c r="B6" s="169" t="s">
        <v>10</v>
      </c>
      <c r="C6" s="177">
        <v>19763</v>
      </c>
      <c r="D6" s="173">
        <v>842.86</v>
      </c>
      <c r="E6" s="80">
        <f t="shared" ref="E6:E25" si="1">+D6/$D$4</f>
        <v>8.7670894326126875E-2</v>
      </c>
      <c r="F6" s="58" t="s">
        <v>52</v>
      </c>
      <c r="G6" s="59">
        <v>45909</v>
      </c>
      <c r="H6" s="190">
        <v>10580</v>
      </c>
      <c r="I6" s="141">
        <v>8974.3049999999985</v>
      </c>
      <c r="J6" s="60">
        <f t="shared" si="0"/>
        <v>0.84823298676748571</v>
      </c>
    </row>
    <row r="7" spans="1:10" ht="15" customHeight="1" x14ac:dyDescent="0.25">
      <c r="A7" s="164"/>
      <c r="B7" s="169" t="s">
        <v>35</v>
      </c>
      <c r="C7" s="177">
        <v>28628</v>
      </c>
      <c r="D7" s="173">
        <v>1219.396</v>
      </c>
      <c r="E7" s="80">
        <f t="shared" si="1"/>
        <v>0.12683664885948057</v>
      </c>
      <c r="F7" s="58" t="s">
        <v>53</v>
      </c>
      <c r="G7" s="59">
        <v>45910</v>
      </c>
      <c r="H7" s="190">
        <v>10897</v>
      </c>
      <c r="I7" s="141">
        <v>9261.5160000000014</v>
      </c>
      <c r="J7" s="60">
        <f t="shared" si="0"/>
        <v>0.8499142883362395</v>
      </c>
    </row>
    <row r="8" spans="1:10" ht="15" customHeight="1" x14ac:dyDescent="0.25">
      <c r="A8" s="164"/>
      <c r="B8" s="169" t="s">
        <v>4</v>
      </c>
      <c r="C8" s="177">
        <v>4566</v>
      </c>
      <c r="D8" s="173">
        <v>194.73</v>
      </c>
      <c r="E8" s="80">
        <f t="shared" si="1"/>
        <v>2.0255028417681092E-2</v>
      </c>
      <c r="F8" s="58" t="s">
        <v>54</v>
      </c>
      <c r="G8" s="59">
        <v>45911</v>
      </c>
      <c r="H8" s="190">
        <v>9638</v>
      </c>
      <c r="I8" s="141">
        <v>9613.9089999999997</v>
      </c>
      <c r="J8" s="60">
        <f t="shared" si="0"/>
        <v>0.99750041502386388</v>
      </c>
    </row>
    <row r="9" spans="1:10" ht="15" customHeight="1" x14ac:dyDescent="0.25">
      <c r="A9" s="164"/>
      <c r="B9" s="169" t="s">
        <v>37</v>
      </c>
      <c r="C9" s="177">
        <v>42220</v>
      </c>
      <c r="D9" s="173">
        <v>1801.07</v>
      </c>
      <c r="E9" s="245">
        <f t="shared" si="1"/>
        <v>0.18734002995035631</v>
      </c>
      <c r="F9" s="58" t="s">
        <v>55</v>
      </c>
      <c r="G9" s="59">
        <v>45912</v>
      </c>
      <c r="H9" s="190">
        <v>5732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50956</v>
      </c>
      <c r="D10" s="173">
        <v>2171.9940000000001</v>
      </c>
      <c r="E10" s="245">
        <f t="shared" si="1"/>
        <v>0.22592204690100565</v>
      </c>
      <c r="F10" s="58" t="s">
        <v>56</v>
      </c>
      <c r="G10" s="59">
        <v>45913</v>
      </c>
      <c r="H10" s="190">
        <v>6779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11120</v>
      </c>
      <c r="D11" s="173">
        <v>475.08</v>
      </c>
      <c r="E11" s="80">
        <f t="shared" si="1"/>
        <v>4.9415903562224271E-2</v>
      </c>
      <c r="F11" s="58" t="s">
        <v>57</v>
      </c>
      <c r="G11" s="59">
        <v>45914</v>
      </c>
      <c r="H11" s="190">
        <v>4514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>
        <v>50</v>
      </c>
      <c r="D12" s="173">
        <v>1.2609999999999999</v>
      </c>
      <c r="E12" s="80">
        <f t="shared" si="1"/>
        <v>1.3116412897188853E-4</v>
      </c>
      <c r="H12" s="139">
        <f>+SUM(H5:H11)</f>
        <v>56596</v>
      </c>
      <c r="I12" s="142">
        <f>+SUM(I5:I11)</f>
        <v>34830.777000000002</v>
      </c>
      <c r="J12" s="140">
        <f t="shared" si="0"/>
        <v>0.61542824581242495</v>
      </c>
    </row>
    <row r="13" spans="1:10" ht="15" customHeight="1" x14ac:dyDescent="0.25">
      <c r="A13" s="164"/>
      <c r="B13" s="169" t="s">
        <v>44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605</v>
      </c>
      <c r="D14" s="173">
        <v>914.14</v>
      </c>
      <c r="E14" s="80">
        <f t="shared" si="1"/>
        <v>9.5085152147789204E-2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178</v>
      </c>
      <c r="D15" s="173">
        <v>268.89999999999998</v>
      </c>
      <c r="E15" s="80">
        <f t="shared" si="1"/>
        <v>2.7969892371562909E-2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84</v>
      </c>
      <c r="C16" s="177">
        <v>23</v>
      </c>
      <c r="D16" s="173">
        <v>34.68</v>
      </c>
      <c r="E16" s="80">
        <f t="shared" si="1"/>
        <v>3.6072735866336993E-3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68</v>
      </c>
      <c r="D17" s="173">
        <v>102.29</v>
      </c>
      <c r="E17" s="80">
        <f t="shared" si="1"/>
        <v>1.0639792825166122E-2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45</v>
      </c>
      <c r="C18" s="177">
        <v>69</v>
      </c>
      <c r="D18" s="173">
        <v>103.95</v>
      </c>
      <c r="E18" s="80">
        <f t="shared" si="1"/>
        <v>1.0812459323257586E-2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41</v>
      </c>
      <c r="C19" s="177">
        <v>290</v>
      </c>
      <c r="D19" s="173">
        <v>436.91</v>
      </c>
      <c r="E19" s="80">
        <f t="shared" si="1"/>
        <v>4.5445614265747683E-2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106</v>
      </c>
      <c r="C20" s="177"/>
      <c r="D20" s="173">
        <v>60.4</v>
      </c>
      <c r="E20" s="80">
        <f>+D20/$D$4</f>
        <v>6.2825641474243202E-3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184</v>
      </c>
      <c r="C21" s="177"/>
      <c r="D21" s="173">
        <v>28.64</v>
      </c>
      <c r="E21" s="80">
        <f t="shared" si="1"/>
        <v>2.9790171718912673E-3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x14ac:dyDescent="0.25">
      <c r="A22" s="164"/>
      <c r="B22" s="169" t="s">
        <v>9</v>
      </c>
      <c r="C22" s="177"/>
      <c r="D22" s="173">
        <v>153.22</v>
      </c>
      <c r="E22" s="80">
        <f t="shared" si="1"/>
        <v>1.5937325805767458E-2</v>
      </c>
      <c r="F22" s="112" t="s">
        <v>160</v>
      </c>
      <c r="G22" s="272">
        <v>231021.16800000001</v>
      </c>
      <c r="H22" s="272">
        <f>+D26</f>
        <v>89145.885999999999</v>
      </c>
      <c r="I22" s="98">
        <f t="shared" si="2"/>
        <v>0.38587756598997019</v>
      </c>
    </row>
    <row r="23" spans="1:10" ht="15" customHeight="1" x14ac:dyDescent="0.25">
      <c r="A23" s="164"/>
      <c r="B23" s="169" t="s">
        <v>40</v>
      </c>
      <c r="C23" s="177"/>
      <c r="D23" s="173">
        <v>389.48</v>
      </c>
      <c r="E23" s="80">
        <f t="shared" si="1"/>
        <v>4.0512137154616303E-2</v>
      </c>
      <c r="F23" s="112" t="s">
        <v>161</v>
      </c>
      <c r="G23" s="112"/>
      <c r="H23" s="112"/>
    </row>
    <row r="24" spans="1:10" ht="15" customHeight="1" thickBot="1" x14ac:dyDescent="0.3">
      <c r="A24" s="164"/>
      <c r="B24" s="169" t="s">
        <v>46</v>
      </c>
      <c r="C24" s="177"/>
      <c r="D24" s="173">
        <v>145.56</v>
      </c>
      <c r="E24" s="80">
        <f t="shared" si="1"/>
        <v>1.5140563531441789E-2</v>
      </c>
      <c r="G24" s="273">
        <f>+SUM(G14:G22)</f>
        <v>1884683.6730000002</v>
      </c>
      <c r="H24" s="273">
        <f>+SUM(H14:H22)</f>
        <v>1731840.7989999996</v>
      </c>
      <c r="I24" s="274">
        <f>+H24/G24</f>
        <v>0.9189026380449784</v>
      </c>
      <c r="J24" s="275">
        <f>+H24-G24</f>
        <v>-152842.87400000053</v>
      </c>
    </row>
    <row r="25" spans="1:10" ht="15" customHeight="1" thickBot="1" x14ac:dyDescent="0.3">
      <c r="B25" s="178" t="s">
        <v>0</v>
      </c>
      <c r="C25" s="170"/>
      <c r="D25" s="171">
        <f>SUM(D5:D24)</f>
        <v>9613.9089999999997</v>
      </c>
      <c r="E25" s="80">
        <f t="shared" si="1"/>
        <v>1</v>
      </c>
    </row>
    <row r="26" spans="1:10" ht="15" customHeight="1" x14ac:dyDescent="0.25">
      <c r="B26" s="166" t="s">
        <v>1</v>
      </c>
      <c r="C26" s="167"/>
      <c r="D26" s="233">
        <v>89145.885999999999</v>
      </c>
      <c r="E26" s="98">
        <f>+D26/E2</f>
        <v>0.38482674874380535</v>
      </c>
    </row>
    <row r="27" spans="1:10" x14ac:dyDescent="0.25">
      <c r="D27" s="108">
        <f>+(E2/30)*11</f>
        <v>84939.066666666666</v>
      </c>
      <c r="E27" s="98">
        <f>+D27/E2</f>
        <v>0.36666666666666664</v>
      </c>
    </row>
    <row r="28" spans="1:10" x14ac:dyDescent="0.25">
      <c r="D28" s="138">
        <f>+D26-D27</f>
        <v>4206.8193333333329</v>
      </c>
      <c r="E28" s="251">
        <f>+E26-E27</f>
        <v>1.8160082077138706E-2</v>
      </c>
    </row>
    <row r="30" spans="1:10" x14ac:dyDescent="0.25">
      <c r="B30" s="66" t="s">
        <v>60</v>
      </c>
      <c r="D30" s="109" t="s">
        <v>105</v>
      </c>
      <c r="E30" s="109" t="s">
        <v>80</v>
      </c>
      <c r="G30" s="163"/>
      <c r="H30" s="237" t="s">
        <v>157</v>
      </c>
      <c r="I30" s="237" t="s">
        <v>92</v>
      </c>
      <c r="J30" s="71"/>
    </row>
    <row r="31" spans="1:10" ht="15" customHeight="1" x14ac:dyDescent="0.25">
      <c r="B31" s="162" t="s">
        <v>61</v>
      </c>
      <c r="C31" s="162">
        <v>1328</v>
      </c>
      <c r="D31" s="108">
        <v>2142</v>
      </c>
      <c r="E31" s="57">
        <f>+C31/D31</f>
        <v>0.61998132586367882</v>
      </c>
      <c r="G31" s="86" t="s">
        <v>86</v>
      </c>
      <c r="H31" s="87">
        <v>4236</v>
      </c>
      <c r="I31" s="88">
        <v>105.9</v>
      </c>
      <c r="J31" s="228"/>
    </row>
    <row r="32" spans="1:10" x14ac:dyDescent="0.25">
      <c r="B32" s="162" t="s">
        <v>62</v>
      </c>
      <c r="C32" s="162">
        <v>1310</v>
      </c>
      <c r="D32" s="108">
        <v>1890</v>
      </c>
      <c r="E32" s="57">
        <f>+C32/D32</f>
        <v>0.69312169312169314</v>
      </c>
      <c r="G32" s="86" t="s">
        <v>171</v>
      </c>
      <c r="H32" s="87">
        <v>14</v>
      </c>
      <c r="I32" s="88">
        <v>0.35000000000000003</v>
      </c>
      <c r="J32" s="228"/>
    </row>
    <row r="33" spans="1:10" x14ac:dyDescent="0.25">
      <c r="B33" s="162" t="s">
        <v>63</v>
      </c>
      <c r="C33" s="67">
        <v>2008</v>
      </c>
      <c r="D33" s="108">
        <v>3006</v>
      </c>
      <c r="E33" s="57">
        <f>+C33/D33</f>
        <v>0.66799733865602129</v>
      </c>
      <c r="G33" s="89" t="s">
        <v>169</v>
      </c>
      <c r="H33" s="87">
        <v>142</v>
      </c>
      <c r="I33" s="88">
        <v>213</v>
      </c>
      <c r="J33" s="228"/>
    </row>
    <row r="34" spans="1:10" ht="15" customHeight="1" x14ac:dyDescent="0.25">
      <c r="C34" s="162">
        <f>+SUM(C31:C33)</f>
        <v>4646</v>
      </c>
      <c r="D34" s="110">
        <f>+SUM(D31:D33)</f>
        <v>7038</v>
      </c>
      <c r="E34" s="57">
        <f>+C34/D34</f>
        <v>0.66013071895424835</v>
      </c>
      <c r="G34" s="89" t="s">
        <v>168</v>
      </c>
      <c r="H34" s="87">
        <v>64</v>
      </c>
      <c r="I34" s="88">
        <v>96</v>
      </c>
      <c r="J34" s="228"/>
    </row>
    <row r="35" spans="1:10" ht="15" customHeight="1" x14ac:dyDescent="0.25">
      <c r="G35" s="231" t="s">
        <v>123</v>
      </c>
      <c r="H35" s="138">
        <v>231</v>
      </c>
      <c r="I35" s="232">
        <v>346.5</v>
      </c>
      <c r="J35" s="218" t="s">
        <v>146</v>
      </c>
    </row>
    <row r="36" spans="1:10" ht="15" customHeight="1" x14ac:dyDescent="0.25">
      <c r="B36" s="162" t="s">
        <v>66</v>
      </c>
      <c r="D36" s="162"/>
      <c r="G36" s="89" t="s">
        <v>170</v>
      </c>
      <c r="H36" s="87">
        <v>22</v>
      </c>
      <c r="I36" s="88">
        <v>33</v>
      </c>
      <c r="J36" s="218" t="s">
        <v>146</v>
      </c>
    </row>
    <row r="37" spans="1:10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229</v>
      </c>
      <c r="I37" s="88">
        <f>+H37*1.5</f>
        <v>343.5</v>
      </c>
      <c r="J37" s="224" t="s">
        <v>152</v>
      </c>
    </row>
    <row r="38" spans="1:10" x14ac:dyDescent="0.25">
      <c r="B38" s="73">
        <v>8</v>
      </c>
      <c r="C38" s="74">
        <v>2</v>
      </c>
      <c r="D38" s="74">
        <v>6</v>
      </c>
      <c r="E38" s="75">
        <f>+SUM(B38:D38)</f>
        <v>16</v>
      </c>
      <c r="J38" s="218"/>
    </row>
    <row r="39" spans="1:10" x14ac:dyDescent="0.25">
      <c r="E39" s="198" t="s">
        <v>76</v>
      </c>
      <c r="F39" s="198" t="s">
        <v>137</v>
      </c>
      <c r="H39" s="144" t="s">
        <v>124</v>
      </c>
      <c r="I39" s="220" t="s">
        <v>148</v>
      </c>
      <c r="J39" s="218" t="s">
        <v>146</v>
      </c>
    </row>
    <row r="40" spans="1:10" x14ac:dyDescent="0.25">
      <c r="D40" s="162"/>
      <c r="G40" s="71" t="s">
        <v>90</v>
      </c>
      <c r="H40" s="144" t="s">
        <v>120</v>
      </c>
      <c r="I40" s="145">
        <v>0</v>
      </c>
      <c r="J40" s="218"/>
    </row>
    <row r="41" spans="1:10" x14ac:dyDescent="0.25">
      <c r="A41" s="207" t="s">
        <v>70</v>
      </c>
      <c r="B41" s="199">
        <v>0</v>
      </c>
      <c r="C41" s="199">
        <v>0</v>
      </c>
      <c r="D41" s="200">
        <v>2400</v>
      </c>
      <c r="E41" s="201">
        <f t="shared" ref="E41:E46" si="3">+C41/D41</f>
        <v>0</v>
      </c>
      <c r="F41" s="201">
        <f t="shared" ref="F41:F46" si="4">+B41/24</f>
        <v>0</v>
      </c>
      <c r="G41" s="202">
        <v>7</v>
      </c>
      <c r="H41" s="144" t="s">
        <v>121</v>
      </c>
      <c r="I41" s="220" t="s">
        <v>149</v>
      </c>
      <c r="J41" s="218" t="s">
        <v>146</v>
      </c>
    </row>
    <row r="42" spans="1:10" x14ac:dyDescent="0.25">
      <c r="A42" s="207" t="s">
        <v>71</v>
      </c>
      <c r="B42" s="199">
        <v>7.78</v>
      </c>
      <c r="C42" s="199">
        <v>1810</v>
      </c>
      <c r="D42" s="200">
        <v>3600</v>
      </c>
      <c r="E42" s="201">
        <f t="shared" si="3"/>
        <v>0.50277777777777777</v>
      </c>
      <c r="F42" s="201">
        <f t="shared" si="4"/>
        <v>0.32416666666666666</v>
      </c>
      <c r="G42" s="202">
        <v>12</v>
      </c>
      <c r="H42" s="71"/>
    </row>
    <row r="43" spans="1:10" x14ac:dyDescent="0.25">
      <c r="A43" s="207" t="s">
        <v>72</v>
      </c>
      <c r="B43" s="199">
        <v>8.7100000000000009</v>
      </c>
      <c r="C43" s="199">
        <v>1436</v>
      </c>
      <c r="D43" s="200">
        <v>3900</v>
      </c>
      <c r="E43" s="201">
        <f t="shared" si="3"/>
        <v>0.36820512820512818</v>
      </c>
      <c r="F43" s="201">
        <f t="shared" si="4"/>
        <v>0.36291666666666672</v>
      </c>
      <c r="G43" s="202">
        <v>12</v>
      </c>
      <c r="H43" s="71"/>
    </row>
    <row r="44" spans="1:10" x14ac:dyDescent="0.25">
      <c r="A44" s="207" t="s">
        <v>73</v>
      </c>
      <c r="B44" s="199">
        <v>14.68</v>
      </c>
      <c r="C44" s="199">
        <v>3002</v>
      </c>
      <c r="D44" s="200">
        <v>3900</v>
      </c>
      <c r="E44" s="201">
        <f t="shared" si="3"/>
        <v>0.7697435897435897</v>
      </c>
      <c r="F44" s="201">
        <f t="shared" si="4"/>
        <v>0.61166666666666669</v>
      </c>
      <c r="G44" s="202">
        <v>12</v>
      </c>
      <c r="H44" s="71"/>
    </row>
    <row r="45" spans="1:10" x14ac:dyDescent="0.25">
      <c r="A45" s="207" t="s">
        <v>74</v>
      </c>
      <c r="B45" s="199">
        <v>17.47</v>
      </c>
      <c r="C45" s="199">
        <v>2854</v>
      </c>
      <c r="D45" s="200">
        <v>3900</v>
      </c>
      <c r="E45" s="201">
        <f t="shared" si="3"/>
        <v>0.73179487179487179</v>
      </c>
      <c r="F45" s="201">
        <f t="shared" si="4"/>
        <v>0.72791666666666666</v>
      </c>
      <c r="G45" s="202">
        <v>12</v>
      </c>
      <c r="H45" s="71"/>
    </row>
    <row r="46" spans="1:10" x14ac:dyDescent="0.25">
      <c r="A46" s="259" t="s">
        <v>75</v>
      </c>
      <c r="B46" s="260">
        <v>12.57</v>
      </c>
      <c r="C46" s="261">
        <v>3680</v>
      </c>
      <c r="D46" s="262">
        <v>4300</v>
      </c>
      <c r="E46" s="263">
        <f t="shared" si="3"/>
        <v>0.85581395348837208</v>
      </c>
      <c r="F46" s="201">
        <f t="shared" si="4"/>
        <v>0.52375000000000005</v>
      </c>
      <c r="G46" s="202">
        <v>16</v>
      </c>
      <c r="H46" s="71"/>
    </row>
    <row r="47" spans="1:10" x14ac:dyDescent="0.25">
      <c r="C47" s="71" t="s">
        <v>83</v>
      </c>
      <c r="D47" s="72" t="s">
        <v>79</v>
      </c>
      <c r="H47" s="71"/>
    </row>
    <row r="48" spans="1:10" x14ac:dyDescent="0.25">
      <c r="B48" s="162" t="s">
        <v>78</v>
      </c>
      <c r="H48" s="71"/>
    </row>
    <row r="49" spans="3:8" x14ac:dyDescent="0.25">
      <c r="C49" s="71">
        <v>1</v>
      </c>
      <c r="D49" s="225" t="s">
        <v>153</v>
      </c>
      <c r="H49" s="71"/>
    </row>
    <row r="50" spans="3:8" x14ac:dyDescent="0.25">
      <c r="C50" s="71">
        <v>2</v>
      </c>
      <c r="D50" s="225" t="s">
        <v>153</v>
      </c>
      <c r="H50" s="71"/>
    </row>
    <row r="51" spans="3:8" x14ac:dyDescent="0.25">
      <c r="C51" s="71">
        <v>3</v>
      </c>
      <c r="D51" s="225" t="s">
        <v>154</v>
      </c>
      <c r="H51" s="71"/>
    </row>
    <row r="52" spans="3:8" x14ac:dyDescent="0.25">
      <c r="C52" s="71">
        <v>4</v>
      </c>
      <c r="D52" s="108">
        <v>0</v>
      </c>
      <c r="H52" s="71"/>
    </row>
    <row r="53" spans="3:8" x14ac:dyDescent="0.25">
      <c r="C53" s="71">
        <v>5</v>
      </c>
      <c r="D53" s="108">
        <v>9</v>
      </c>
    </row>
    <row r="54" spans="3:8" x14ac:dyDescent="0.25">
      <c r="C54" s="71">
        <v>6</v>
      </c>
      <c r="D54" s="108">
        <v>9</v>
      </c>
    </row>
    <row r="55" spans="3:8" x14ac:dyDescent="0.25">
      <c r="C55" s="71">
        <v>7</v>
      </c>
      <c r="D55" s="225" t="s">
        <v>153</v>
      </c>
    </row>
    <row r="56" spans="3:8" x14ac:dyDescent="0.25">
      <c r="C56" s="71">
        <v>8</v>
      </c>
      <c r="D56" s="225" t="s">
        <v>153</v>
      </c>
    </row>
  </sheetData>
  <protectedRanges>
    <protectedRange password="D554" sqref="I39:I41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selection activeCell="D15" sqref="D15:D1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2.7109375" style="162" customWidth="1"/>
    <col min="6" max="6" width="15.5703125" style="162" customWidth="1"/>
    <col min="7" max="7" width="15.140625" style="162" customWidth="1"/>
    <col min="8" max="16384" width="11.42578125" style="162"/>
  </cols>
  <sheetData>
    <row r="1" spans="1:10" ht="15" customHeight="1" x14ac:dyDescent="0.25">
      <c r="A1" s="161"/>
      <c r="B1" s="518">
        <v>45914</v>
      </c>
      <c r="C1" s="518"/>
      <c r="D1" s="518"/>
      <c r="E1" s="61" t="s">
        <v>181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286"/>
      <c r="C4" s="286"/>
      <c r="D4" s="165">
        <f>D26</f>
        <v>5476.1220000000003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2265</v>
      </c>
      <c r="D5" s="172">
        <v>96.738</v>
      </c>
      <c r="E5" s="80">
        <f>+D5/$D$4</f>
        <v>1.7665420894567359E-2</v>
      </c>
      <c r="F5" s="58" t="s">
        <v>51</v>
      </c>
      <c r="G5" s="59">
        <v>45908</v>
      </c>
      <c r="H5" s="190">
        <v>8456</v>
      </c>
      <c r="I5" s="141">
        <v>6981.0470000000005</v>
      </c>
      <c r="J5" s="60">
        <f t="shared" ref="J5:J12" si="0">+I5/H5</f>
        <v>0.82557320245979193</v>
      </c>
    </row>
    <row r="6" spans="1:10" ht="15" customHeight="1" x14ac:dyDescent="0.25">
      <c r="A6" s="164"/>
      <c r="B6" s="169" t="s">
        <v>10</v>
      </c>
      <c r="C6" s="177">
        <v>9958</v>
      </c>
      <c r="D6" s="173">
        <v>424.50799999999998</v>
      </c>
      <c r="E6" s="80">
        <f t="shared" ref="E6:E26" si="1">+D6/$D$4</f>
        <v>7.7519821508724593E-2</v>
      </c>
      <c r="F6" s="58" t="s">
        <v>52</v>
      </c>
      <c r="G6" s="59">
        <v>45909</v>
      </c>
      <c r="H6" s="190">
        <v>10580</v>
      </c>
      <c r="I6" s="141">
        <v>8974.3049999999985</v>
      </c>
      <c r="J6" s="60">
        <f t="shared" si="0"/>
        <v>0.84823298676748571</v>
      </c>
    </row>
    <row r="7" spans="1:10" ht="15" customHeight="1" x14ac:dyDescent="0.25">
      <c r="A7" s="164"/>
      <c r="B7" s="169" t="s">
        <v>35</v>
      </c>
      <c r="C7" s="177">
        <v>17855</v>
      </c>
      <c r="D7" s="173">
        <v>760.87199999999996</v>
      </c>
      <c r="E7" s="80">
        <f t="shared" si="1"/>
        <v>0.13894358087712436</v>
      </c>
      <c r="F7" s="58" t="s">
        <v>53</v>
      </c>
      <c r="G7" s="59">
        <v>45910</v>
      </c>
      <c r="H7" s="190">
        <v>10897</v>
      </c>
      <c r="I7" s="141">
        <v>9261.5160000000014</v>
      </c>
      <c r="J7" s="60">
        <f t="shared" si="0"/>
        <v>0.8499142883362395</v>
      </c>
    </row>
    <row r="8" spans="1:10" ht="15" customHeight="1" x14ac:dyDescent="0.25">
      <c r="A8" s="164"/>
      <c r="B8" s="169" t="s">
        <v>4</v>
      </c>
      <c r="C8" s="177">
        <v>4576</v>
      </c>
      <c r="D8" s="173">
        <v>195.22</v>
      </c>
      <c r="E8" s="80">
        <f t="shared" si="1"/>
        <v>3.5649315336656121E-2</v>
      </c>
      <c r="F8" s="58" t="s">
        <v>54</v>
      </c>
      <c r="G8" s="59">
        <v>45911</v>
      </c>
      <c r="H8" s="190">
        <v>9638</v>
      </c>
      <c r="I8" s="141">
        <v>9613.9089999999997</v>
      </c>
      <c r="J8" s="60">
        <f t="shared" si="0"/>
        <v>0.99750041502386388</v>
      </c>
    </row>
    <row r="9" spans="1:10" ht="15" customHeight="1" x14ac:dyDescent="0.25">
      <c r="A9" s="164"/>
      <c r="B9" s="169" t="s">
        <v>37</v>
      </c>
      <c r="C9" s="177">
        <v>22515</v>
      </c>
      <c r="D9" s="173">
        <v>961.10799999999995</v>
      </c>
      <c r="E9" s="245">
        <f t="shared" si="1"/>
        <v>0.17550887288486267</v>
      </c>
      <c r="F9" s="58" t="s">
        <v>55</v>
      </c>
      <c r="G9" s="59">
        <v>45912</v>
      </c>
      <c r="H9" s="190">
        <v>5732</v>
      </c>
      <c r="I9" s="141">
        <v>8580.7800000000007</v>
      </c>
      <c r="J9" s="60">
        <f t="shared" si="0"/>
        <v>1.4969958129797629</v>
      </c>
    </row>
    <row r="10" spans="1:10" ht="15" customHeight="1" x14ac:dyDescent="0.25">
      <c r="A10" s="164"/>
      <c r="B10" s="169" t="s">
        <v>38</v>
      </c>
      <c r="C10" s="177">
        <v>24430</v>
      </c>
      <c r="D10" s="173">
        <v>1041.328</v>
      </c>
      <c r="E10" s="245">
        <f t="shared" si="1"/>
        <v>0.19015792562693087</v>
      </c>
      <c r="F10" s="58" t="s">
        <v>56</v>
      </c>
      <c r="G10" s="59">
        <v>45913</v>
      </c>
      <c r="H10" s="190">
        <v>6779</v>
      </c>
      <c r="I10" s="141">
        <v>6687.48</v>
      </c>
      <c r="J10" s="60">
        <f t="shared" si="0"/>
        <v>0.98649948369966067</v>
      </c>
    </row>
    <row r="11" spans="1:10" ht="15" customHeight="1" x14ac:dyDescent="0.25">
      <c r="A11" s="164"/>
      <c r="B11" s="169" t="s">
        <v>42</v>
      </c>
      <c r="C11" s="177">
        <v>7719</v>
      </c>
      <c r="D11" s="173">
        <v>329.66800000000001</v>
      </c>
      <c r="E11" s="80">
        <f t="shared" si="1"/>
        <v>6.0200996252457485E-2</v>
      </c>
      <c r="F11" s="58" t="s">
        <v>57</v>
      </c>
      <c r="G11" s="59">
        <v>45914</v>
      </c>
      <c r="H11" s="190">
        <v>4514</v>
      </c>
      <c r="I11" s="141">
        <v>5476.1220000000003</v>
      </c>
      <c r="J11" s="60">
        <f t="shared" si="0"/>
        <v>1.2131417811253877</v>
      </c>
    </row>
    <row r="12" spans="1:10" ht="15" customHeight="1" x14ac:dyDescent="0.25">
      <c r="A12" s="164"/>
      <c r="B12" s="169" t="s">
        <v>81</v>
      </c>
      <c r="C12" s="177">
        <v>2310</v>
      </c>
      <c r="D12" s="173">
        <v>98.792000000000002</v>
      </c>
      <c r="E12" s="80">
        <f t="shared" si="1"/>
        <v>1.8040503845604607E-2</v>
      </c>
      <c r="H12" s="139">
        <f>+SUM(H5:H11)</f>
        <v>56596</v>
      </c>
      <c r="I12" s="142">
        <f>+SUM(I5:I11)</f>
        <v>55575.159</v>
      </c>
      <c r="J12" s="140">
        <f t="shared" si="0"/>
        <v>0.9819626652060216</v>
      </c>
    </row>
    <row r="13" spans="1:10" ht="15" customHeight="1" x14ac:dyDescent="0.25">
      <c r="A13" s="164"/>
      <c r="B13" s="169" t="s">
        <v>47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67</v>
      </c>
      <c r="D14" s="173">
        <v>101.02</v>
      </c>
      <c r="E14" s="80">
        <f t="shared" si="1"/>
        <v>1.8447361107002361E-2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347</v>
      </c>
      <c r="D15" s="173">
        <v>522.87300000000005</v>
      </c>
      <c r="E15" s="80">
        <f t="shared" si="1"/>
        <v>9.5482350466260621E-2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184</v>
      </c>
      <c r="D16" s="173">
        <v>277.48</v>
      </c>
      <c r="E16" s="80">
        <f t="shared" si="1"/>
        <v>5.0670894476054405E-2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42</v>
      </c>
      <c r="D17" s="173">
        <v>63.23</v>
      </c>
      <c r="E17" s="80">
        <f t="shared" si="1"/>
        <v>1.1546492207441689E-2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45</v>
      </c>
      <c r="C18" s="177">
        <v>24</v>
      </c>
      <c r="D18" s="173">
        <v>36.119999999999997</v>
      </c>
      <c r="E18" s="80">
        <f t="shared" si="1"/>
        <v>6.5959085644914407E-3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41</v>
      </c>
      <c r="C19" s="177">
        <v>21</v>
      </c>
      <c r="D19" s="173">
        <v>31.72</v>
      </c>
      <c r="E19" s="80">
        <f t="shared" si="1"/>
        <v>5.7924202565245988E-3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185</v>
      </c>
      <c r="C20" s="177"/>
      <c r="D20" s="173"/>
      <c r="E20" s="80">
        <f>+D20/$D$4</f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106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x14ac:dyDescent="0.25">
      <c r="A22" s="164"/>
      <c r="B22" s="169" t="s">
        <v>165</v>
      </c>
      <c r="C22" s="177">
        <v>15</v>
      </c>
      <c r="D22" s="173">
        <v>22.635000000000002</v>
      </c>
      <c r="E22" s="80">
        <f t="shared" si="1"/>
        <v>4.1333995115521533E-3</v>
      </c>
      <c r="F22" s="112" t="s">
        <v>160</v>
      </c>
      <c r="G22" s="272">
        <v>231021.16800000001</v>
      </c>
      <c r="H22" s="272">
        <f>+D27</f>
        <v>109927.283</v>
      </c>
      <c r="I22" s="98">
        <f t="shared" si="2"/>
        <v>0.47583208046112896</v>
      </c>
    </row>
    <row r="23" spans="1:10" ht="15" customHeight="1" x14ac:dyDescent="0.25">
      <c r="A23" s="164"/>
      <c r="B23" s="169" t="s">
        <v>9</v>
      </c>
      <c r="C23" s="177"/>
      <c r="D23" s="173">
        <v>90.28</v>
      </c>
      <c r="E23" s="80">
        <f t="shared" si="1"/>
        <v>1.6486119191646935E-2</v>
      </c>
      <c r="F23" s="112" t="s">
        <v>161</v>
      </c>
      <c r="G23" s="112"/>
      <c r="H23" s="112"/>
    </row>
    <row r="24" spans="1:10" ht="15" customHeight="1" x14ac:dyDescent="0.25">
      <c r="A24" s="164"/>
      <c r="B24" s="169" t="s">
        <v>40</v>
      </c>
      <c r="C24" s="177"/>
      <c r="D24" s="173">
        <v>333.43</v>
      </c>
      <c r="E24" s="80">
        <f t="shared" si="1"/>
        <v>6.0887978755769137E-2</v>
      </c>
      <c r="G24" s="273">
        <f>+SUM(G14:G22)</f>
        <v>1884683.6730000002</v>
      </c>
      <c r="H24" s="273">
        <f>+SUM(H14:H22)</f>
        <v>1752622.1959999998</v>
      </c>
      <c r="I24" s="274">
        <f>+H24/G24</f>
        <v>0.92992910221916036</v>
      </c>
      <c r="J24" s="275">
        <f>+H24-G24</f>
        <v>-132061.47700000042</v>
      </c>
    </row>
    <row r="25" spans="1:10" ht="15" customHeight="1" thickBot="1" x14ac:dyDescent="0.3">
      <c r="A25" s="164"/>
      <c r="B25" s="169" t="s">
        <v>46</v>
      </c>
      <c r="C25" s="177"/>
      <c r="D25" s="173">
        <v>89.1</v>
      </c>
      <c r="E25" s="80">
        <f t="shared" si="1"/>
        <v>1.6270638236328554E-2</v>
      </c>
    </row>
    <row r="26" spans="1:10" ht="15" customHeight="1" thickBot="1" x14ac:dyDescent="0.3">
      <c r="B26" s="178" t="s">
        <v>0</v>
      </c>
      <c r="C26" s="170"/>
      <c r="D26" s="269">
        <f>SUM(D5:D25)</f>
        <v>5476.1220000000003</v>
      </c>
      <c r="E26" s="80">
        <f t="shared" si="1"/>
        <v>1</v>
      </c>
    </row>
    <row r="27" spans="1:10" ht="15" customHeight="1" thickBot="1" x14ac:dyDescent="0.3">
      <c r="B27" s="166" t="s">
        <v>1</v>
      </c>
      <c r="C27" s="167"/>
      <c r="D27" s="293">
        <v>109927.283</v>
      </c>
      <c r="E27" s="294">
        <f>+D27/E2</f>
        <v>0.47453630013986497</v>
      </c>
      <c r="F27" s="163"/>
      <c r="G27" s="179"/>
    </row>
    <row r="28" spans="1:10" x14ac:dyDescent="0.25">
      <c r="D28" s="108">
        <f>+(E2/30)*14</f>
        <v>108104.26666666666</v>
      </c>
      <c r="E28" s="98">
        <f>+D28/E2</f>
        <v>0.46666666666666667</v>
      </c>
    </row>
    <row r="29" spans="1:10" x14ac:dyDescent="0.25">
      <c r="D29" s="138">
        <f>+D27-D28</f>
        <v>1823.016333333333</v>
      </c>
      <c r="E29" s="251">
        <f>E27-E28</f>
        <v>7.8696334731983009E-3</v>
      </c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</row>
    <row r="32" spans="1:10" x14ac:dyDescent="0.25">
      <c r="B32" s="162" t="s">
        <v>61</v>
      </c>
      <c r="C32" s="162">
        <v>1021</v>
      </c>
      <c r="D32" s="108">
        <v>2142</v>
      </c>
      <c r="E32" s="57">
        <f>+C32/D32</f>
        <v>0.4766573295985061</v>
      </c>
      <c r="G32" s="86" t="s">
        <v>86</v>
      </c>
      <c r="H32" s="87">
        <v>9025</v>
      </c>
      <c r="I32" s="88">
        <v>225.625</v>
      </c>
      <c r="J32" s="87">
        <f>9025-H32</f>
        <v>0</v>
      </c>
    </row>
    <row r="33" spans="1:10" ht="15" customHeight="1" x14ac:dyDescent="0.25">
      <c r="B33" s="162" t="s">
        <v>62</v>
      </c>
      <c r="C33" s="162">
        <v>1520</v>
      </c>
      <c r="D33" s="108">
        <v>1890</v>
      </c>
      <c r="E33" s="57">
        <f>+C33/D33</f>
        <v>0.80423280423280419</v>
      </c>
      <c r="G33" s="86" t="s">
        <v>171</v>
      </c>
      <c r="H33" s="87">
        <v>14</v>
      </c>
      <c r="I33" s="88">
        <v>0.35000000000000003</v>
      </c>
      <c r="J33" s="228"/>
    </row>
    <row r="34" spans="1:10" x14ac:dyDescent="0.25">
      <c r="B34" s="162" t="s">
        <v>63</v>
      </c>
      <c r="C34" s="67">
        <v>2892</v>
      </c>
      <c r="D34" s="108">
        <v>3006</v>
      </c>
      <c r="E34" s="57">
        <f>+C34/D34</f>
        <v>0.96207584830339321</v>
      </c>
      <c r="G34" s="89" t="s">
        <v>169</v>
      </c>
      <c r="H34" s="87">
        <v>464</v>
      </c>
      <c r="I34" s="88">
        <v>696</v>
      </c>
      <c r="J34" s="228"/>
    </row>
    <row r="35" spans="1:10" x14ac:dyDescent="0.25">
      <c r="C35" s="162">
        <f>+SUM(C32:C34)</f>
        <v>5433</v>
      </c>
      <c r="D35" s="110">
        <f>+SUM(D32:D34)</f>
        <v>7038</v>
      </c>
      <c r="E35" s="57">
        <f>+C35/D35</f>
        <v>0.77195225916453536</v>
      </c>
      <c r="G35" s="89" t="s">
        <v>168</v>
      </c>
      <c r="H35" s="87">
        <v>20</v>
      </c>
      <c r="I35" s="88">
        <v>30</v>
      </c>
      <c r="J35" s="228"/>
    </row>
    <row r="36" spans="1:10" ht="15" customHeight="1" x14ac:dyDescent="0.25">
      <c r="G36" s="231" t="s">
        <v>123</v>
      </c>
      <c r="H36" s="138">
        <v>231</v>
      </c>
      <c r="I36" s="232">
        <v>346.5</v>
      </c>
      <c r="J36" s="218" t="s">
        <v>146</v>
      </c>
    </row>
    <row r="37" spans="1:10" ht="15" customHeight="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</row>
    <row r="38" spans="1:10" ht="15" customHeight="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229</v>
      </c>
      <c r="I38" s="88">
        <f>+H38*1.5</f>
        <v>343.5</v>
      </c>
      <c r="J38" s="224" t="s">
        <v>152</v>
      </c>
    </row>
    <row r="39" spans="1:10" x14ac:dyDescent="0.25">
      <c r="B39" s="73">
        <v>5</v>
      </c>
      <c r="C39" s="74">
        <v>0</v>
      </c>
      <c r="D39" s="74">
        <v>4</v>
      </c>
      <c r="E39" s="75">
        <f>+SUM(B39:D39)</f>
        <v>9</v>
      </c>
      <c r="J39" s="218"/>
    </row>
    <row r="40" spans="1:10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</row>
    <row r="41" spans="1:10" x14ac:dyDescent="0.25">
      <c r="D41" s="162"/>
      <c r="G41" s="71" t="s">
        <v>90</v>
      </c>
      <c r="H41" s="144" t="s">
        <v>120</v>
      </c>
      <c r="I41" s="145">
        <v>0</v>
      </c>
      <c r="J41" s="218"/>
    </row>
    <row r="42" spans="1:10" x14ac:dyDescent="0.25">
      <c r="A42" s="207" t="s">
        <v>70</v>
      </c>
      <c r="B42" s="199">
        <v>0.6</v>
      </c>
      <c r="C42" s="199">
        <v>1244</v>
      </c>
      <c r="D42" s="200">
        <v>2400</v>
      </c>
      <c r="E42" s="201">
        <f t="shared" ref="E42:E47" si="3">+C42/D42</f>
        <v>0.51833333333333331</v>
      </c>
      <c r="F42" s="201">
        <f t="shared" ref="F42:F47" si="4">+B42/24</f>
        <v>2.4999999999999998E-2</v>
      </c>
      <c r="G42" s="202">
        <v>7</v>
      </c>
      <c r="H42" s="144" t="s">
        <v>121</v>
      </c>
      <c r="I42" s="220" t="s">
        <v>149</v>
      </c>
      <c r="J42" s="218" t="s">
        <v>146</v>
      </c>
    </row>
    <row r="43" spans="1:10" x14ac:dyDescent="0.25">
      <c r="A43" s="207" t="s">
        <v>71</v>
      </c>
      <c r="B43" s="199">
        <v>9.82</v>
      </c>
      <c r="C43" s="199">
        <v>1018</v>
      </c>
      <c r="D43" s="200">
        <v>3600</v>
      </c>
      <c r="E43" s="201">
        <f t="shared" si="3"/>
        <v>0.28277777777777779</v>
      </c>
      <c r="F43" s="201">
        <f t="shared" si="4"/>
        <v>0.40916666666666668</v>
      </c>
      <c r="G43" s="202">
        <v>12</v>
      </c>
      <c r="H43" s="71"/>
    </row>
    <row r="44" spans="1:10" x14ac:dyDescent="0.25">
      <c r="A44" s="207" t="s">
        <v>72</v>
      </c>
      <c r="B44" s="199">
        <v>10.37</v>
      </c>
      <c r="C44" s="199">
        <v>1821</v>
      </c>
      <c r="D44" s="200">
        <v>3900</v>
      </c>
      <c r="E44" s="201">
        <f t="shared" si="3"/>
        <v>0.46692307692307694</v>
      </c>
      <c r="F44" s="201">
        <f t="shared" si="4"/>
        <v>0.43208333333333332</v>
      </c>
      <c r="G44" s="202">
        <v>12</v>
      </c>
      <c r="H44" s="71"/>
    </row>
    <row r="45" spans="1:10" x14ac:dyDescent="0.25">
      <c r="A45" s="207" t="s">
        <v>73</v>
      </c>
      <c r="B45" s="199">
        <v>7.98</v>
      </c>
      <c r="C45" s="199">
        <v>2535</v>
      </c>
      <c r="D45" s="200">
        <v>3900</v>
      </c>
      <c r="E45" s="201">
        <f t="shared" si="3"/>
        <v>0.65</v>
      </c>
      <c r="F45" s="201">
        <f t="shared" si="4"/>
        <v>0.33250000000000002</v>
      </c>
      <c r="G45" s="202">
        <v>12</v>
      </c>
      <c r="H45" s="71"/>
    </row>
    <row r="46" spans="1:10" x14ac:dyDescent="0.25">
      <c r="A46" s="207" t="s">
        <v>74</v>
      </c>
      <c r="B46" s="199">
        <v>16.829999999999998</v>
      </c>
      <c r="C46" s="199">
        <v>2937</v>
      </c>
      <c r="D46" s="200">
        <v>3900</v>
      </c>
      <c r="E46" s="201">
        <f t="shared" si="3"/>
        <v>0.75307692307692309</v>
      </c>
      <c r="F46" s="201">
        <f t="shared" si="4"/>
        <v>0.70124999999999993</v>
      </c>
      <c r="G46" s="202">
        <v>12</v>
      </c>
      <c r="H46" s="71"/>
    </row>
    <row r="47" spans="1:10" x14ac:dyDescent="0.25">
      <c r="A47" s="259" t="s">
        <v>75</v>
      </c>
      <c r="B47" s="260">
        <v>1.1200000000000001</v>
      </c>
      <c r="C47" s="261">
        <v>1512</v>
      </c>
      <c r="D47" s="262">
        <v>4300</v>
      </c>
      <c r="E47" s="263">
        <f t="shared" si="3"/>
        <v>0.35162790697674418</v>
      </c>
      <c r="F47" s="201">
        <f t="shared" si="4"/>
        <v>4.6666666666666669E-2</v>
      </c>
      <c r="G47" s="202">
        <v>16</v>
      </c>
      <c r="H47" s="71"/>
    </row>
    <row r="48" spans="1:10" x14ac:dyDescent="0.25">
      <c r="C48" s="71" t="s">
        <v>83</v>
      </c>
      <c r="D48" s="72" t="s">
        <v>79</v>
      </c>
      <c r="H48" s="71"/>
    </row>
    <row r="49" spans="2:8" x14ac:dyDescent="0.25">
      <c r="B49" s="162" t="s">
        <v>78</v>
      </c>
      <c r="H49" s="71"/>
    </row>
    <row r="50" spans="2:8" x14ac:dyDescent="0.25">
      <c r="C50" s="71">
        <v>1</v>
      </c>
      <c r="D50" s="225" t="s">
        <v>153</v>
      </c>
      <c r="H50" s="71"/>
    </row>
    <row r="51" spans="2:8" x14ac:dyDescent="0.25">
      <c r="C51" s="71">
        <v>2</v>
      </c>
      <c r="D51" s="225" t="s">
        <v>153</v>
      </c>
      <c r="H51" s="71"/>
    </row>
    <row r="52" spans="2:8" x14ac:dyDescent="0.25">
      <c r="C52" s="71">
        <v>3</v>
      </c>
      <c r="D52" s="225" t="s">
        <v>154</v>
      </c>
      <c r="H52" s="71"/>
    </row>
    <row r="53" spans="2:8" x14ac:dyDescent="0.25">
      <c r="C53" s="71">
        <v>4</v>
      </c>
      <c r="D53" s="108">
        <v>0</v>
      </c>
      <c r="H53" s="71"/>
    </row>
    <row r="54" spans="2:8" x14ac:dyDescent="0.25">
      <c r="C54" s="71">
        <v>5</v>
      </c>
      <c r="D54" s="108">
        <v>2</v>
      </c>
    </row>
    <row r="55" spans="2:8" x14ac:dyDescent="0.25">
      <c r="C55" s="71">
        <v>6</v>
      </c>
      <c r="D55" s="108">
        <v>2</v>
      </c>
    </row>
    <row r="56" spans="2:8" x14ac:dyDescent="0.25">
      <c r="C56" s="71">
        <v>7</v>
      </c>
      <c r="D56" s="225" t="s">
        <v>153</v>
      </c>
    </row>
    <row r="57" spans="2:8" x14ac:dyDescent="0.25">
      <c r="C57" s="71">
        <v>8</v>
      </c>
      <c r="D57" s="225" t="s">
        <v>153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selection activeCell="G5" sqref="G5:H11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2.7109375" style="162" customWidth="1"/>
    <col min="6" max="6" width="15.5703125" style="162" customWidth="1"/>
    <col min="7" max="7" width="15.140625" style="162" customWidth="1"/>
    <col min="8" max="16384" width="11.42578125" style="162"/>
  </cols>
  <sheetData>
    <row r="1" spans="1:10" ht="15" customHeight="1" x14ac:dyDescent="0.25">
      <c r="A1" s="161"/>
      <c r="B1" s="518">
        <v>45915</v>
      </c>
      <c r="C1" s="518"/>
      <c r="D1" s="518"/>
      <c r="E1" s="61" t="s">
        <v>181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292"/>
      <c r="C4" s="292"/>
      <c r="D4" s="165">
        <f>D26</f>
        <v>7193.2899999999991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2395</v>
      </c>
      <c r="D5" s="172">
        <v>102.26</v>
      </c>
      <c r="E5" s="80">
        <f>+D5/$D$4</f>
        <v>1.4216026324533004E-2</v>
      </c>
      <c r="F5" s="58" t="s">
        <v>51</v>
      </c>
      <c r="G5" s="59">
        <v>45915</v>
      </c>
      <c r="H5" s="190">
        <v>6819</v>
      </c>
      <c r="I5" s="141">
        <v>7193.2899999999991</v>
      </c>
      <c r="J5" s="60">
        <f t="shared" ref="J5:J12" si="0">+I5/H5</f>
        <v>1.0548892799530722</v>
      </c>
    </row>
    <row r="6" spans="1:10" ht="15" customHeight="1" x14ac:dyDescent="0.25">
      <c r="A6" s="164"/>
      <c r="B6" s="169" t="s">
        <v>10</v>
      </c>
      <c r="C6" s="177">
        <v>11531</v>
      </c>
      <c r="D6" s="173">
        <v>492.47199999999998</v>
      </c>
      <c r="E6" s="80">
        <f t="shared" ref="E6:E26" si="1">+D6/$D$4</f>
        <v>6.8462692314643234E-2</v>
      </c>
      <c r="F6" s="58" t="s">
        <v>52</v>
      </c>
      <c r="G6" s="59">
        <v>45916</v>
      </c>
      <c r="H6" s="190">
        <v>9251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16420</v>
      </c>
      <c r="D7" s="173">
        <v>700.08</v>
      </c>
      <c r="E7" s="80">
        <f t="shared" si="1"/>
        <v>9.7324033926061662E-2</v>
      </c>
      <c r="F7" s="58" t="s">
        <v>53</v>
      </c>
      <c r="G7" s="59">
        <v>45917</v>
      </c>
      <c r="H7" s="190">
        <v>9467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2388</v>
      </c>
      <c r="D8" s="173">
        <v>102.09</v>
      </c>
      <c r="E8" s="80">
        <f t="shared" si="1"/>
        <v>1.4192393188652204E-2</v>
      </c>
      <c r="F8" s="58" t="s">
        <v>54</v>
      </c>
      <c r="G8" s="59">
        <v>45918</v>
      </c>
      <c r="H8" s="190">
        <v>9343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39595</v>
      </c>
      <c r="D9" s="173">
        <v>1688.432</v>
      </c>
      <c r="E9" s="245">
        <f t="shared" si="1"/>
        <v>0.23472319342053499</v>
      </c>
      <c r="F9" s="58" t="s">
        <v>55</v>
      </c>
      <c r="G9" s="59">
        <v>45919</v>
      </c>
      <c r="H9" s="190">
        <v>8436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37837</v>
      </c>
      <c r="D10" s="173">
        <v>1612.2819999999999</v>
      </c>
      <c r="E10" s="245">
        <f t="shared" si="1"/>
        <v>0.22413693873040016</v>
      </c>
      <c r="F10" s="58" t="s">
        <v>56</v>
      </c>
      <c r="G10" s="59">
        <v>45920</v>
      </c>
      <c r="H10" s="190">
        <v>6847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12800</v>
      </c>
      <c r="D11" s="173">
        <v>546.76400000000001</v>
      </c>
      <c r="E11" s="80">
        <f t="shared" si="1"/>
        <v>7.6010281804292618E-2</v>
      </c>
      <c r="F11" s="58" t="s">
        <v>57</v>
      </c>
      <c r="G11" s="59">
        <v>45921</v>
      </c>
      <c r="H11" s="190">
        <v>5631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81</v>
      </c>
      <c r="C12" s="177">
        <v>840</v>
      </c>
      <c r="D12" s="173">
        <v>35.909999999999997</v>
      </c>
      <c r="E12" s="80">
        <f t="shared" si="1"/>
        <v>4.992152408703111E-3</v>
      </c>
      <c r="H12" s="139">
        <f>+SUM(H5:H11)</f>
        <v>55794</v>
      </c>
      <c r="I12" s="142">
        <f>+SUM(I5:I11)</f>
        <v>7193.2899999999991</v>
      </c>
      <c r="J12" s="140">
        <f t="shared" si="0"/>
        <v>0.12892587016525073</v>
      </c>
    </row>
    <row r="13" spans="1:10" ht="15" customHeight="1" x14ac:dyDescent="0.25">
      <c r="A13" s="164"/>
      <c r="B13" s="169" t="s">
        <v>47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22</v>
      </c>
      <c r="D14" s="173">
        <v>33.21</v>
      </c>
      <c r="E14" s="80">
        <f t="shared" si="1"/>
        <v>4.6168026035374645E-3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424</v>
      </c>
      <c r="D15" s="173">
        <v>638.34</v>
      </c>
      <c r="E15" s="80">
        <f t="shared" si="1"/>
        <v>8.8741035047940522E-2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225</v>
      </c>
      <c r="D16" s="173">
        <v>339.34</v>
      </c>
      <c r="E16" s="80">
        <f t="shared" si="1"/>
        <v>4.7174519587003999E-2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22</v>
      </c>
      <c r="D17" s="173">
        <v>33.03</v>
      </c>
      <c r="E17" s="80">
        <f t="shared" si="1"/>
        <v>4.5917792831930877E-3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45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41</v>
      </c>
      <c r="C19" s="177">
        <v>236</v>
      </c>
      <c r="D19" s="173">
        <v>355.28</v>
      </c>
      <c r="E19" s="80">
        <f t="shared" si="1"/>
        <v>4.9390473621944896E-2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185</v>
      </c>
      <c r="C20" s="177"/>
      <c r="D20" s="173"/>
      <c r="E20" s="80">
        <f>+D20/$D$4</f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106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x14ac:dyDescent="0.25">
      <c r="A22" s="164"/>
      <c r="B22" s="169" t="s">
        <v>165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f>+D27</f>
        <v>117116.853</v>
      </c>
      <c r="I22" s="98">
        <f t="shared" si="2"/>
        <v>0.5069529083153107</v>
      </c>
    </row>
    <row r="23" spans="1:10" ht="15" customHeight="1" x14ac:dyDescent="0.25">
      <c r="A23" s="164"/>
      <c r="B23" s="169" t="s">
        <v>9</v>
      </c>
      <c r="C23" s="177"/>
      <c r="D23" s="173">
        <v>59.69</v>
      </c>
      <c r="E23" s="80">
        <f t="shared" si="1"/>
        <v>8.2980110630879612E-3</v>
      </c>
      <c r="F23" s="112" t="s">
        <v>161</v>
      </c>
      <c r="G23" s="112"/>
      <c r="H23" s="112"/>
    </row>
    <row r="24" spans="1:10" ht="15" customHeight="1" x14ac:dyDescent="0.25">
      <c r="A24" s="164"/>
      <c r="B24" s="169" t="s">
        <v>40</v>
      </c>
      <c r="C24" s="177"/>
      <c r="D24" s="173">
        <v>454.11</v>
      </c>
      <c r="E24" s="80">
        <f t="shared" si="1"/>
        <v>6.312966667547118E-2</v>
      </c>
      <c r="G24" s="273">
        <f>+SUM(G14:G22)</f>
        <v>1884683.6730000002</v>
      </c>
      <c r="H24" s="273">
        <f>+SUM(H14:H22)</f>
        <v>1759811.7659999998</v>
      </c>
      <c r="I24" s="274">
        <f>+H24/G24</f>
        <v>0.9337438378710885</v>
      </c>
      <c r="J24" s="275">
        <f>+H24-G24</f>
        <v>-124871.90700000036</v>
      </c>
    </row>
    <row r="25" spans="1:10" ht="15" customHeight="1" thickBot="1" x14ac:dyDescent="0.3">
      <c r="A25" s="164"/>
      <c r="B25" s="169" t="s">
        <v>46</v>
      </c>
      <c r="C25" s="177"/>
      <c r="D25" s="173"/>
      <c r="E25" s="80">
        <f t="shared" si="1"/>
        <v>0</v>
      </c>
    </row>
    <row r="26" spans="1:10" ht="15" customHeight="1" thickBot="1" x14ac:dyDescent="0.3">
      <c r="B26" s="178" t="s">
        <v>0</v>
      </c>
      <c r="C26" s="170"/>
      <c r="D26" s="171">
        <f>SUM(D5:D25)</f>
        <v>7193.2899999999991</v>
      </c>
      <c r="E26" s="80">
        <f t="shared" si="1"/>
        <v>1</v>
      </c>
    </row>
    <row r="27" spans="1:10" ht="15" customHeight="1" thickBot="1" x14ac:dyDescent="0.3">
      <c r="B27" s="166" t="s">
        <v>1</v>
      </c>
      <c r="C27" s="167"/>
      <c r="D27" s="233">
        <v>117116.853</v>
      </c>
      <c r="E27" s="294">
        <f>+D27/E2</f>
        <v>0.50557238012190697</v>
      </c>
      <c r="F27" s="163"/>
      <c r="G27" s="179"/>
    </row>
    <row r="28" spans="1:10" x14ac:dyDescent="0.25">
      <c r="D28" s="108">
        <f>+(E2/30)*15</f>
        <v>115826</v>
      </c>
      <c r="E28" s="98">
        <f>+D28/E2</f>
        <v>0.5</v>
      </c>
    </row>
    <row r="29" spans="1:10" x14ac:dyDescent="0.25">
      <c r="D29" s="138">
        <f>+D27-D28</f>
        <v>1290.8530000000028</v>
      </c>
      <c r="E29" s="251">
        <f>E27-E28</f>
        <v>5.5723801219069724E-3</v>
      </c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</row>
    <row r="32" spans="1:10" x14ac:dyDescent="0.25">
      <c r="B32" s="162" t="s">
        <v>61</v>
      </c>
      <c r="C32" s="162">
        <v>1135</v>
      </c>
      <c r="D32" s="108">
        <v>2142</v>
      </c>
      <c r="E32" s="57">
        <f>+C32/D32</f>
        <v>0.52987861811391224</v>
      </c>
      <c r="G32" s="86" t="s">
        <v>86</v>
      </c>
      <c r="H32" s="87">
        <v>9025</v>
      </c>
      <c r="I32" s="88">
        <v>225.625</v>
      </c>
      <c r="J32" s="87">
        <f>9025-H32</f>
        <v>0</v>
      </c>
    </row>
    <row r="33" spans="1:10" ht="15" customHeight="1" x14ac:dyDescent="0.25">
      <c r="B33" s="162" t="s">
        <v>62</v>
      </c>
      <c r="C33" s="162">
        <v>1912</v>
      </c>
      <c r="D33" s="108">
        <v>1890</v>
      </c>
      <c r="E33" s="57">
        <f>+C33/D33</f>
        <v>1.0116402116402117</v>
      </c>
      <c r="G33" s="86" t="s">
        <v>171</v>
      </c>
      <c r="H33" s="87">
        <v>14</v>
      </c>
      <c r="I33" s="88">
        <v>0.35000000000000003</v>
      </c>
      <c r="J33" s="228"/>
    </row>
    <row r="34" spans="1:10" x14ac:dyDescent="0.25">
      <c r="B34" s="162" t="s">
        <v>63</v>
      </c>
      <c r="C34" s="67">
        <v>2045</v>
      </c>
      <c r="D34" s="108">
        <v>3006</v>
      </c>
      <c r="E34" s="57">
        <f>+C34/D34</f>
        <v>0.68030605455755155</v>
      </c>
      <c r="G34" s="89" t="s">
        <v>169</v>
      </c>
      <c r="H34" s="87">
        <v>426</v>
      </c>
      <c r="I34" s="88">
        <v>639</v>
      </c>
      <c r="J34" s="228"/>
    </row>
    <row r="35" spans="1:10" x14ac:dyDescent="0.25">
      <c r="C35" s="162">
        <f>+SUM(C32:C34)</f>
        <v>5092</v>
      </c>
      <c r="D35" s="110">
        <f>+SUM(D32:D34)</f>
        <v>7038</v>
      </c>
      <c r="E35" s="57">
        <f>+C35/D35</f>
        <v>0.7235009946007388</v>
      </c>
      <c r="G35" s="89" t="s">
        <v>168</v>
      </c>
      <c r="H35" s="87">
        <v>20</v>
      </c>
      <c r="I35" s="88">
        <v>30</v>
      </c>
      <c r="J35" s="228"/>
    </row>
    <row r="36" spans="1:10" ht="15" customHeight="1" x14ac:dyDescent="0.25">
      <c r="G36" s="231" t="s">
        <v>123</v>
      </c>
      <c r="H36" s="138">
        <v>231</v>
      </c>
      <c r="I36" s="232">
        <v>346.5</v>
      </c>
      <c r="J36" s="218" t="s">
        <v>146</v>
      </c>
    </row>
    <row r="37" spans="1:10" ht="15" customHeight="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</row>
    <row r="38" spans="1:10" ht="15" customHeight="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229</v>
      </c>
      <c r="I38" s="88">
        <f>+H38*1.5</f>
        <v>343.5</v>
      </c>
      <c r="J38" s="224" t="s">
        <v>152</v>
      </c>
    </row>
    <row r="39" spans="1:10" x14ac:dyDescent="0.25">
      <c r="B39" s="73">
        <v>9</v>
      </c>
      <c r="C39" s="74">
        <v>4</v>
      </c>
      <c r="D39" s="74">
        <v>18</v>
      </c>
      <c r="E39" s="75">
        <f>+SUM(B39:D39)</f>
        <v>31</v>
      </c>
      <c r="J39" s="218"/>
    </row>
    <row r="40" spans="1:10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</row>
    <row r="41" spans="1:10" x14ac:dyDescent="0.25">
      <c r="D41" s="162"/>
      <c r="G41" s="71" t="s">
        <v>90</v>
      </c>
      <c r="H41" s="144" t="s">
        <v>120</v>
      </c>
      <c r="I41" s="145">
        <v>0</v>
      </c>
      <c r="J41" s="218"/>
    </row>
    <row r="42" spans="1:10" x14ac:dyDescent="0.25">
      <c r="A42" s="207" t="s">
        <v>70</v>
      </c>
      <c r="B42" s="199">
        <v>0.6</v>
      </c>
      <c r="C42" s="199">
        <v>1244</v>
      </c>
      <c r="D42" s="200">
        <v>2400</v>
      </c>
      <c r="E42" s="201">
        <f t="shared" ref="E42:E47" si="3">+C42/D42</f>
        <v>0.51833333333333331</v>
      </c>
      <c r="F42" s="201">
        <f t="shared" ref="F42:F47" si="4">+B42/24</f>
        <v>2.4999999999999998E-2</v>
      </c>
      <c r="G42" s="202">
        <v>7</v>
      </c>
      <c r="H42" s="144" t="s">
        <v>121</v>
      </c>
      <c r="I42" s="220" t="s">
        <v>149</v>
      </c>
      <c r="J42" s="218" t="s">
        <v>146</v>
      </c>
    </row>
    <row r="43" spans="1:10" x14ac:dyDescent="0.25">
      <c r="A43" s="207" t="s">
        <v>71</v>
      </c>
      <c r="B43" s="199">
        <v>9.39</v>
      </c>
      <c r="C43" s="199">
        <v>1795</v>
      </c>
      <c r="D43" s="200">
        <v>3600</v>
      </c>
      <c r="E43" s="201">
        <f t="shared" si="3"/>
        <v>0.49861111111111112</v>
      </c>
      <c r="F43" s="201">
        <f t="shared" si="4"/>
        <v>0.39125000000000004</v>
      </c>
      <c r="G43" s="202">
        <v>12</v>
      </c>
      <c r="H43" s="71"/>
    </row>
    <row r="44" spans="1:10" x14ac:dyDescent="0.25">
      <c r="A44" s="207" t="s">
        <v>72</v>
      </c>
      <c r="B44" s="199">
        <v>6.65</v>
      </c>
      <c r="C44" s="199">
        <v>1637</v>
      </c>
      <c r="D44" s="200">
        <v>3900</v>
      </c>
      <c r="E44" s="201">
        <f t="shared" si="3"/>
        <v>0.41974358974358972</v>
      </c>
      <c r="F44" s="201">
        <f t="shared" si="4"/>
        <v>0.27708333333333335</v>
      </c>
      <c r="G44" s="202">
        <v>12</v>
      </c>
      <c r="H44" s="71"/>
    </row>
    <row r="45" spans="1:10" x14ac:dyDescent="0.25">
      <c r="A45" s="207" t="s">
        <v>73</v>
      </c>
      <c r="B45" s="199">
        <v>8.33</v>
      </c>
      <c r="C45" s="199">
        <v>2553</v>
      </c>
      <c r="D45" s="200">
        <v>3900</v>
      </c>
      <c r="E45" s="201">
        <f t="shared" si="3"/>
        <v>0.6546153846153846</v>
      </c>
      <c r="F45" s="201">
        <f t="shared" si="4"/>
        <v>0.34708333333333335</v>
      </c>
      <c r="G45" s="202">
        <v>12</v>
      </c>
      <c r="H45" s="71"/>
    </row>
    <row r="46" spans="1:10" x14ac:dyDescent="0.25">
      <c r="A46" s="207" t="s">
        <v>74</v>
      </c>
      <c r="B46" s="199">
        <v>9.73</v>
      </c>
      <c r="C46" s="199">
        <v>2903</v>
      </c>
      <c r="D46" s="200">
        <v>3900</v>
      </c>
      <c r="E46" s="201">
        <f t="shared" si="3"/>
        <v>0.74435897435897436</v>
      </c>
      <c r="F46" s="201">
        <f t="shared" si="4"/>
        <v>0.4054166666666667</v>
      </c>
      <c r="G46" s="202">
        <v>12</v>
      </c>
      <c r="H46" s="71"/>
    </row>
    <row r="47" spans="1:10" x14ac:dyDescent="0.25">
      <c r="A47" s="259" t="s">
        <v>75</v>
      </c>
      <c r="B47" s="260">
        <v>7.29</v>
      </c>
      <c r="C47" s="261">
        <v>2836</v>
      </c>
      <c r="D47" s="262">
        <v>4300</v>
      </c>
      <c r="E47" s="263">
        <f t="shared" si="3"/>
        <v>0.65953488372093028</v>
      </c>
      <c r="F47" s="201">
        <f t="shared" si="4"/>
        <v>0.30375000000000002</v>
      </c>
      <c r="G47" s="202">
        <v>16</v>
      </c>
      <c r="H47" s="71"/>
    </row>
    <row r="48" spans="1:10" x14ac:dyDescent="0.25">
      <c r="C48" s="71" t="s">
        <v>83</v>
      </c>
      <c r="D48" s="72" t="s">
        <v>79</v>
      </c>
      <c r="H48" s="71"/>
    </row>
    <row r="49" spans="2:8" x14ac:dyDescent="0.25">
      <c r="B49" s="162" t="s">
        <v>78</v>
      </c>
      <c r="H49" s="71"/>
    </row>
    <row r="50" spans="2:8" x14ac:dyDescent="0.25">
      <c r="C50" s="71">
        <v>1</v>
      </c>
      <c r="D50" s="225" t="s">
        <v>153</v>
      </c>
      <c r="H50" s="71"/>
    </row>
    <row r="51" spans="2:8" x14ac:dyDescent="0.25">
      <c r="C51" s="71">
        <v>2</v>
      </c>
      <c r="D51" s="225" t="s">
        <v>153</v>
      </c>
      <c r="H51" s="71"/>
    </row>
    <row r="52" spans="2:8" x14ac:dyDescent="0.25">
      <c r="C52" s="71">
        <v>3</v>
      </c>
      <c r="D52" s="225" t="s">
        <v>154</v>
      </c>
      <c r="H52" s="71"/>
    </row>
    <row r="53" spans="2:8" x14ac:dyDescent="0.25">
      <c r="C53" s="71">
        <v>4</v>
      </c>
      <c r="D53" s="108">
        <v>0</v>
      </c>
      <c r="H53" s="71"/>
    </row>
    <row r="54" spans="2:8" x14ac:dyDescent="0.25">
      <c r="C54" s="71">
        <v>5</v>
      </c>
      <c r="D54" s="108">
        <v>4</v>
      </c>
    </row>
    <row r="55" spans="2:8" x14ac:dyDescent="0.25">
      <c r="C55" s="71">
        <v>6</v>
      </c>
      <c r="D55" s="108">
        <v>6</v>
      </c>
    </row>
    <row r="56" spans="2:8" x14ac:dyDescent="0.25">
      <c r="C56" s="71">
        <v>7</v>
      </c>
      <c r="D56" s="225" t="s">
        <v>153</v>
      </c>
    </row>
    <row r="57" spans="2:8" x14ac:dyDescent="0.25">
      <c r="C57" s="71">
        <v>8</v>
      </c>
      <c r="D57" s="225" t="s">
        <v>153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selection activeCell="E19" sqref="E1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2.7109375" style="162" customWidth="1"/>
    <col min="6" max="6" width="15.5703125" style="162" customWidth="1"/>
    <col min="7" max="7" width="15.140625" style="162" customWidth="1"/>
    <col min="8" max="16384" width="11.42578125" style="162"/>
  </cols>
  <sheetData>
    <row r="1" spans="1:10" ht="15" customHeight="1" x14ac:dyDescent="0.25">
      <c r="A1" s="161"/>
      <c r="B1" s="518">
        <v>45918</v>
      </c>
      <c r="C1" s="518"/>
      <c r="D1" s="518"/>
      <c r="E1" s="61" t="s">
        <v>181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292"/>
      <c r="C4" s="292"/>
      <c r="D4" s="165">
        <f>D23</f>
        <v>8873.4019999999982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4750</v>
      </c>
      <c r="D5" s="172">
        <v>202.57400000000001</v>
      </c>
      <c r="E5" s="80">
        <f>+D5/$D$4</f>
        <v>2.2829350005781329E-2</v>
      </c>
      <c r="F5" s="58" t="s">
        <v>51</v>
      </c>
      <c r="G5" s="59">
        <v>45915</v>
      </c>
      <c r="H5" s="190">
        <v>6819</v>
      </c>
      <c r="I5" s="141">
        <v>7193.2899999999991</v>
      </c>
      <c r="J5" s="60">
        <f t="shared" ref="J5:J12" si="0">+I5/H5</f>
        <v>1.0548892799530722</v>
      </c>
    </row>
    <row r="6" spans="1:10" ht="15" customHeight="1" x14ac:dyDescent="0.25">
      <c r="A6" s="164"/>
      <c r="B6" s="169" t="s">
        <v>10</v>
      </c>
      <c r="C6" s="177">
        <v>13375</v>
      </c>
      <c r="D6" s="173">
        <v>570.70600000000002</v>
      </c>
      <c r="E6" s="80">
        <f t="shared" ref="E6:E23" si="1">+D6/$D$4</f>
        <v>6.4316481998674249E-2</v>
      </c>
      <c r="F6" s="58" t="s">
        <v>52</v>
      </c>
      <c r="G6" s="59">
        <v>45916</v>
      </c>
      <c r="H6" s="190">
        <v>9251</v>
      </c>
      <c r="I6" s="141">
        <v>8873.4019999999982</v>
      </c>
      <c r="J6" s="60">
        <f t="shared" si="0"/>
        <v>0.95918300724246008</v>
      </c>
    </row>
    <row r="7" spans="1:10" ht="15" customHeight="1" x14ac:dyDescent="0.25">
      <c r="A7" s="164"/>
      <c r="B7" s="169" t="s">
        <v>35</v>
      </c>
      <c r="C7" s="177">
        <v>26767</v>
      </c>
      <c r="D7" s="173">
        <v>1141.3499999999999</v>
      </c>
      <c r="E7" s="80">
        <f t="shared" si="1"/>
        <v>0.12862597682377064</v>
      </c>
      <c r="F7" s="58" t="s">
        <v>53</v>
      </c>
      <c r="G7" s="59">
        <v>45917</v>
      </c>
      <c r="H7" s="190">
        <v>9467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2460</v>
      </c>
      <c r="D8" s="173">
        <v>105.05</v>
      </c>
      <c r="E8" s="80">
        <f t="shared" si="1"/>
        <v>1.1838751360526664E-2</v>
      </c>
      <c r="F8" s="58" t="s">
        <v>54</v>
      </c>
      <c r="G8" s="59">
        <v>45918</v>
      </c>
      <c r="H8" s="190">
        <v>9343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46361</v>
      </c>
      <c r="D9" s="173">
        <v>1977.376</v>
      </c>
      <c r="E9" s="245">
        <f t="shared" si="1"/>
        <v>0.22284305388170178</v>
      </c>
      <c r="F9" s="58" t="s">
        <v>55</v>
      </c>
      <c r="G9" s="59">
        <v>45919</v>
      </c>
      <c r="H9" s="190">
        <v>8436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56009</v>
      </c>
      <c r="D10" s="173">
        <v>2385.5459999999998</v>
      </c>
      <c r="E10" s="245">
        <f t="shared" si="1"/>
        <v>0.26884232225701038</v>
      </c>
      <c r="F10" s="58" t="s">
        <v>56</v>
      </c>
      <c r="G10" s="59">
        <v>45920</v>
      </c>
      <c r="H10" s="190">
        <v>6847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13855</v>
      </c>
      <c r="D11" s="173">
        <v>591.54999999999995</v>
      </c>
      <c r="E11" s="80">
        <f t="shared" si="1"/>
        <v>6.6665524677006635E-2</v>
      </c>
      <c r="F11" s="58" t="s">
        <v>57</v>
      </c>
      <c r="G11" s="59">
        <v>45921</v>
      </c>
      <c r="H11" s="190">
        <v>5631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186</v>
      </c>
      <c r="C12" s="177">
        <v>1200</v>
      </c>
      <c r="D12" s="173">
        <v>30.13</v>
      </c>
      <c r="E12" s="80">
        <f t="shared" si="1"/>
        <v>3.3955409661367763E-3</v>
      </c>
      <c r="H12" s="139">
        <f>+SUM(H5:H11)</f>
        <v>55794</v>
      </c>
      <c r="I12" s="142">
        <f>+SUM(I5:I11)</f>
        <v>16066.691999999997</v>
      </c>
      <c r="J12" s="140">
        <f t="shared" si="0"/>
        <v>0.2879645123131519</v>
      </c>
    </row>
    <row r="13" spans="1:10" ht="15" customHeight="1" x14ac:dyDescent="0.25">
      <c r="A13" s="164"/>
      <c r="B13" s="169" t="s">
        <v>44</v>
      </c>
      <c r="C13" s="177">
        <v>93</v>
      </c>
      <c r="D13" s="173">
        <v>140.37</v>
      </c>
      <c r="E13" s="80">
        <f t="shared" si="1"/>
        <v>1.5819186372937916E-2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369</v>
      </c>
      <c r="D14" s="173">
        <v>556.89</v>
      </c>
      <c r="E14" s="80">
        <f t="shared" si="1"/>
        <v>6.2759469254295042E-2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269</v>
      </c>
      <c r="D15" s="173">
        <v>405.32</v>
      </c>
      <c r="E15" s="80">
        <f t="shared" si="1"/>
        <v>4.5678083783423772E-2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41</v>
      </c>
      <c r="D16" s="173">
        <v>61.59</v>
      </c>
      <c r="E16" s="80">
        <f t="shared" si="1"/>
        <v>6.9409680751531394E-3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41</v>
      </c>
      <c r="C17" s="177">
        <v>146</v>
      </c>
      <c r="D17" s="173">
        <v>219.77</v>
      </c>
      <c r="E17" s="80">
        <f t="shared" si="1"/>
        <v>2.4767276406501143E-2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106</v>
      </c>
      <c r="C18" s="177"/>
      <c r="D18" s="173">
        <v>121.49</v>
      </c>
      <c r="E18" s="80">
        <f t="shared" si="1"/>
        <v>1.3691479322135977E-2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165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9</v>
      </c>
      <c r="C20" s="177"/>
      <c r="D20" s="173">
        <v>123.3</v>
      </c>
      <c r="E20" s="80">
        <f>+D20/$D$4</f>
        <v>1.3895459712069848E-2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40</v>
      </c>
      <c r="C21" s="177"/>
      <c r="D21" s="173">
        <v>211.06</v>
      </c>
      <c r="E21" s="80">
        <f t="shared" si="1"/>
        <v>2.37856912151619E-2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thickBot="1" x14ac:dyDescent="0.3">
      <c r="A22" s="164"/>
      <c r="B22" s="169" t="s">
        <v>46</v>
      </c>
      <c r="C22" s="177"/>
      <c r="D22" s="173">
        <v>29.33</v>
      </c>
      <c r="E22" s="80">
        <f t="shared" si="1"/>
        <v>3.3053838877129655E-3</v>
      </c>
      <c r="F22" s="112" t="s">
        <v>160</v>
      </c>
      <c r="G22" s="272">
        <v>231021.16800000001</v>
      </c>
      <c r="H22" s="272">
        <f>+D24</f>
        <v>125990.255</v>
      </c>
      <c r="I22" s="98">
        <f t="shared" si="2"/>
        <v>0.54536238428159967</v>
      </c>
    </row>
    <row r="23" spans="1:10" ht="15" customHeight="1" thickBot="1" x14ac:dyDescent="0.3">
      <c r="B23" s="178" t="s">
        <v>0</v>
      </c>
      <c r="C23" s="170"/>
      <c r="D23" s="171">
        <f>SUM(D5:D22)</f>
        <v>8873.4019999999982</v>
      </c>
      <c r="E23" s="80">
        <f t="shared" si="1"/>
        <v>1</v>
      </c>
      <c r="F23" s="112" t="s">
        <v>161</v>
      </c>
      <c r="G23" s="112"/>
      <c r="H23" s="112"/>
    </row>
    <row r="24" spans="1:10" ht="15" customHeight="1" thickBot="1" x14ac:dyDescent="0.3">
      <c r="B24" s="166" t="s">
        <v>1</v>
      </c>
      <c r="C24" s="167"/>
      <c r="D24" s="233">
        <v>125990.255</v>
      </c>
      <c r="E24" s="294">
        <f>+D24/E2</f>
        <v>0.54387725985530022</v>
      </c>
      <c r="G24" s="273">
        <f>+SUM(G14:G22)</f>
        <v>1884683.6730000002</v>
      </c>
      <c r="H24" s="273">
        <f>+SUM(H14:H22)</f>
        <v>1768685.1679999996</v>
      </c>
      <c r="I24" s="274">
        <f>+H24/G24</f>
        <v>0.93845200302745946</v>
      </c>
      <c r="J24" s="275">
        <f>+H24-G24</f>
        <v>-115998.50500000059</v>
      </c>
    </row>
    <row r="25" spans="1:10" x14ac:dyDescent="0.25">
      <c r="D25" s="108">
        <f>+(E2/30)*16</f>
        <v>123547.73333333334</v>
      </c>
      <c r="E25" s="98">
        <f>+D25/E2</f>
        <v>0.53333333333333333</v>
      </c>
    </row>
    <row r="26" spans="1:10" x14ac:dyDescent="0.25">
      <c r="D26" s="138">
        <f>+D24-D25</f>
        <v>2442.5216666666674</v>
      </c>
      <c r="E26" s="251">
        <f>E24-E25</f>
        <v>1.0543926521966895E-2</v>
      </c>
    </row>
    <row r="28" spans="1:10" x14ac:dyDescent="0.25">
      <c r="B28" s="66" t="s">
        <v>60</v>
      </c>
      <c r="D28" s="109" t="s">
        <v>105</v>
      </c>
      <c r="E28" s="109" t="s">
        <v>80</v>
      </c>
      <c r="G28" s="163"/>
      <c r="H28" s="237" t="s">
        <v>157</v>
      </c>
      <c r="I28" s="237" t="s">
        <v>92</v>
      </c>
      <c r="J28" s="71"/>
    </row>
    <row r="29" spans="1:10" x14ac:dyDescent="0.25">
      <c r="B29" s="162" t="s">
        <v>61</v>
      </c>
      <c r="C29" s="162">
        <v>1330</v>
      </c>
      <c r="D29" s="108">
        <v>2142</v>
      </c>
      <c r="E29" s="57">
        <f>+C29/D29</f>
        <v>0.62091503267973858</v>
      </c>
      <c r="G29" s="86" t="s">
        <v>86</v>
      </c>
      <c r="H29" s="87">
        <v>7825</v>
      </c>
      <c r="I29" s="88">
        <v>195.625</v>
      </c>
      <c r="J29" s="71"/>
    </row>
    <row r="30" spans="1:10" ht="15" customHeight="1" x14ac:dyDescent="0.25">
      <c r="B30" s="162" t="s">
        <v>62</v>
      </c>
      <c r="C30" s="162">
        <v>1214</v>
      </c>
      <c r="D30" s="108">
        <v>1890</v>
      </c>
      <c r="E30" s="57">
        <f>+C30/D30</f>
        <v>0.6423280423280423</v>
      </c>
      <c r="G30" s="86" t="s">
        <v>171</v>
      </c>
      <c r="H30" s="87">
        <v>14</v>
      </c>
      <c r="I30" s="88">
        <v>0.35000000000000003</v>
      </c>
      <c r="J30" s="228"/>
    </row>
    <row r="31" spans="1:10" x14ac:dyDescent="0.25">
      <c r="B31" s="162" t="s">
        <v>63</v>
      </c>
      <c r="C31" s="67">
        <v>1041</v>
      </c>
      <c r="D31" s="108">
        <v>3006</v>
      </c>
      <c r="E31" s="57">
        <f>+C31/D31</f>
        <v>0.34630738522954091</v>
      </c>
      <c r="G31" s="89" t="s">
        <v>169</v>
      </c>
      <c r="H31" s="87">
        <v>376</v>
      </c>
      <c r="I31" s="88">
        <v>564</v>
      </c>
      <c r="J31" s="228"/>
    </row>
    <row r="32" spans="1:10" x14ac:dyDescent="0.25">
      <c r="C32" s="162">
        <f>+SUM(C29:C31)</f>
        <v>3585</v>
      </c>
      <c r="D32" s="110">
        <f>+SUM(D29:D31)</f>
        <v>7038</v>
      </c>
      <c r="E32" s="57">
        <f>+C32/D32</f>
        <v>0.50937766410912189</v>
      </c>
      <c r="G32" s="89" t="s">
        <v>168</v>
      </c>
      <c r="H32" s="87">
        <v>20</v>
      </c>
      <c r="I32" s="88">
        <v>30</v>
      </c>
      <c r="J32" s="228"/>
    </row>
    <row r="33" spans="1:10" ht="15" customHeight="1" x14ac:dyDescent="0.25">
      <c r="G33" s="231" t="s">
        <v>123</v>
      </c>
      <c r="H33" s="138">
        <v>231</v>
      </c>
      <c r="I33" s="232">
        <v>346.5</v>
      </c>
      <c r="J33" s="218" t="s">
        <v>146</v>
      </c>
    </row>
    <row r="34" spans="1:10" ht="15" customHeight="1" x14ac:dyDescent="0.25">
      <c r="B34" s="162" t="s">
        <v>66</v>
      </c>
      <c r="D34" s="162"/>
      <c r="G34" s="89" t="s">
        <v>170</v>
      </c>
      <c r="H34" s="87">
        <v>22</v>
      </c>
      <c r="I34" s="88">
        <v>33</v>
      </c>
      <c r="J34" s="218" t="s">
        <v>146</v>
      </c>
    </row>
    <row r="35" spans="1:10" ht="15" customHeight="1" x14ac:dyDescent="0.25">
      <c r="B35" s="76" t="s">
        <v>67</v>
      </c>
      <c r="C35" s="77" t="s">
        <v>68</v>
      </c>
      <c r="D35" s="78" t="s">
        <v>69</v>
      </c>
      <c r="E35" s="79" t="s">
        <v>33</v>
      </c>
      <c r="G35" s="89" t="s">
        <v>107</v>
      </c>
      <c r="H35" s="87">
        <v>229</v>
      </c>
      <c r="I35" s="88">
        <f>+H35*1.5</f>
        <v>343.5</v>
      </c>
      <c r="J35" s="224" t="s">
        <v>152</v>
      </c>
    </row>
    <row r="36" spans="1:10" x14ac:dyDescent="0.25">
      <c r="B36" s="73">
        <v>16</v>
      </c>
      <c r="C36" s="74">
        <v>5</v>
      </c>
      <c r="D36" s="74">
        <v>15</v>
      </c>
      <c r="E36" s="75">
        <f>+SUM(B36:D36)</f>
        <v>36</v>
      </c>
      <c r="J36" s="218"/>
    </row>
    <row r="37" spans="1:10" x14ac:dyDescent="0.25">
      <c r="E37" s="198" t="s">
        <v>76</v>
      </c>
      <c r="F37" s="198" t="s">
        <v>137</v>
      </c>
      <c r="H37" s="144" t="s">
        <v>124</v>
      </c>
      <c r="I37" s="220" t="s">
        <v>148</v>
      </c>
      <c r="J37" s="218" t="s">
        <v>146</v>
      </c>
    </row>
    <row r="38" spans="1:10" x14ac:dyDescent="0.25">
      <c r="D38" s="162"/>
      <c r="G38" s="71" t="s">
        <v>90</v>
      </c>
      <c r="H38" s="144" t="s">
        <v>120</v>
      </c>
      <c r="I38" s="145">
        <v>0</v>
      </c>
      <c r="J38" s="218"/>
    </row>
    <row r="39" spans="1:10" x14ac:dyDescent="0.25">
      <c r="A39" s="207" t="s">
        <v>70</v>
      </c>
      <c r="B39" s="199">
        <v>0</v>
      </c>
      <c r="C39" s="199">
        <v>1244</v>
      </c>
      <c r="D39" s="200">
        <v>2400</v>
      </c>
      <c r="E39" s="201">
        <f t="shared" ref="E39:E44" si="3">+C39/D39</f>
        <v>0.51833333333333331</v>
      </c>
      <c r="F39" s="201">
        <f t="shared" ref="F39:F44" si="4">+B39/24</f>
        <v>0</v>
      </c>
      <c r="G39" s="202">
        <v>7</v>
      </c>
      <c r="H39" s="144" t="s">
        <v>121</v>
      </c>
      <c r="I39" s="220" t="s">
        <v>149</v>
      </c>
      <c r="J39" s="218" t="s">
        <v>146</v>
      </c>
    </row>
    <row r="40" spans="1:10" x14ac:dyDescent="0.25">
      <c r="A40" s="207" t="s">
        <v>71</v>
      </c>
      <c r="B40" s="199">
        <v>6.51</v>
      </c>
      <c r="C40" s="199">
        <v>1476</v>
      </c>
      <c r="D40" s="200">
        <v>3600</v>
      </c>
      <c r="E40" s="201">
        <f t="shared" si="3"/>
        <v>0.41</v>
      </c>
      <c r="F40" s="201">
        <f t="shared" si="4"/>
        <v>0.27124999999999999</v>
      </c>
      <c r="G40" s="202">
        <v>12</v>
      </c>
      <c r="H40" s="71"/>
    </row>
    <row r="41" spans="1:10" x14ac:dyDescent="0.25">
      <c r="A41" s="207" t="s">
        <v>72</v>
      </c>
      <c r="B41" s="199">
        <v>12.61</v>
      </c>
      <c r="C41" s="199">
        <v>1627</v>
      </c>
      <c r="D41" s="200">
        <v>3900</v>
      </c>
      <c r="E41" s="201">
        <f t="shared" si="3"/>
        <v>0.41717948717948716</v>
      </c>
      <c r="F41" s="201">
        <f t="shared" si="4"/>
        <v>0.52541666666666664</v>
      </c>
      <c r="G41" s="202">
        <v>12</v>
      </c>
      <c r="H41" s="71"/>
    </row>
    <row r="42" spans="1:10" x14ac:dyDescent="0.25">
      <c r="A42" s="207" t="s">
        <v>73</v>
      </c>
      <c r="B42" s="199">
        <v>14.05</v>
      </c>
      <c r="C42" s="199">
        <v>2378</v>
      </c>
      <c r="D42" s="200">
        <v>3900</v>
      </c>
      <c r="E42" s="201">
        <f t="shared" si="3"/>
        <v>0.60974358974358978</v>
      </c>
      <c r="F42" s="201">
        <f t="shared" si="4"/>
        <v>0.5854166666666667</v>
      </c>
      <c r="G42" s="202">
        <v>12</v>
      </c>
      <c r="H42" s="71"/>
    </row>
    <row r="43" spans="1:10" x14ac:dyDescent="0.25">
      <c r="A43" s="207" t="s">
        <v>74</v>
      </c>
      <c r="B43" s="199">
        <v>15.35</v>
      </c>
      <c r="C43" s="199">
        <v>3056</v>
      </c>
      <c r="D43" s="200">
        <v>3900</v>
      </c>
      <c r="E43" s="201">
        <f t="shared" si="3"/>
        <v>0.78358974358974354</v>
      </c>
      <c r="F43" s="201">
        <f t="shared" si="4"/>
        <v>0.63958333333333328</v>
      </c>
      <c r="G43" s="202">
        <v>12</v>
      </c>
      <c r="H43" s="71"/>
    </row>
    <row r="44" spans="1:10" x14ac:dyDescent="0.25">
      <c r="A44" s="259" t="s">
        <v>75</v>
      </c>
      <c r="B44" s="260">
        <v>14.41</v>
      </c>
      <c r="C44" s="261">
        <v>2645</v>
      </c>
      <c r="D44" s="262">
        <v>4300</v>
      </c>
      <c r="E44" s="263">
        <f t="shared" si="3"/>
        <v>0.6151162790697674</v>
      </c>
      <c r="F44" s="201">
        <f t="shared" si="4"/>
        <v>0.60041666666666671</v>
      </c>
      <c r="G44" s="202">
        <v>16</v>
      </c>
      <c r="H44" s="71"/>
    </row>
    <row r="45" spans="1:10" x14ac:dyDescent="0.25">
      <c r="C45" s="71" t="s">
        <v>83</v>
      </c>
      <c r="D45" s="72" t="s">
        <v>79</v>
      </c>
      <c r="H45" s="71"/>
    </row>
    <row r="46" spans="1:10" x14ac:dyDescent="0.25">
      <c r="B46" s="162" t="s">
        <v>78</v>
      </c>
      <c r="H46" s="71"/>
    </row>
    <row r="47" spans="1:10" x14ac:dyDescent="0.25">
      <c r="C47" s="71">
        <v>1</v>
      </c>
      <c r="D47" s="225" t="s">
        <v>153</v>
      </c>
      <c r="H47" s="71"/>
    </row>
    <row r="48" spans="1:10" x14ac:dyDescent="0.25">
      <c r="C48" s="71">
        <v>2</v>
      </c>
      <c r="D48" s="225" t="s">
        <v>153</v>
      </c>
      <c r="H48" s="71"/>
    </row>
    <row r="49" spans="3:8" x14ac:dyDescent="0.25">
      <c r="C49" s="71">
        <v>3</v>
      </c>
      <c r="D49" s="225" t="s">
        <v>154</v>
      </c>
      <c r="H49" s="71"/>
    </row>
    <row r="50" spans="3:8" x14ac:dyDescent="0.25">
      <c r="C50" s="71">
        <v>4</v>
      </c>
      <c r="D50" s="108">
        <v>0</v>
      </c>
      <c r="H50" s="71"/>
    </row>
    <row r="51" spans="3:8" x14ac:dyDescent="0.25">
      <c r="C51" s="71">
        <v>5</v>
      </c>
      <c r="D51" s="108">
        <v>4</v>
      </c>
    </row>
    <row r="52" spans="3:8" x14ac:dyDescent="0.25">
      <c r="C52" s="71">
        <v>6</v>
      </c>
      <c r="D52" s="108">
        <v>11</v>
      </c>
    </row>
    <row r="53" spans="3:8" x14ac:dyDescent="0.25">
      <c r="C53" s="71">
        <v>7</v>
      </c>
      <c r="D53" s="225" t="s">
        <v>153</v>
      </c>
    </row>
    <row r="54" spans="3:8" x14ac:dyDescent="0.25">
      <c r="C54" s="71">
        <v>8</v>
      </c>
      <c r="D54" s="225" t="s">
        <v>153</v>
      </c>
    </row>
  </sheetData>
  <protectedRanges>
    <protectedRange password="D554" sqref="I37:I3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I7" sqref="I7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1" style="162" customWidth="1"/>
    <col min="6" max="16384" width="11.42578125" style="162"/>
  </cols>
  <sheetData>
    <row r="1" spans="1:10" ht="15" customHeight="1" x14ac:dyDescent="0.25">
      <c r="A1" s="161"/>
      <c r="B1" s="518">
        <v>45917</v>
      </c>
      <c r="C1" s="518"/>
      <c r="D1" s="518"/>
      <c r="E1" s="61" t="s">
        <v>160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295"/>
      <c r="C4" s="295"/>
      <c r="D4" s="165">
        <f>D24</f>
        <v>8837.634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7603</v>
      </c>
      <c r="D5" s="172">
        <v>325.12200000000001</v>
      </c>
      <c r="E5" s="80">
        <f>+D5/$D$4</f>
        <v>3.6788353081831635E-2</v>
      </c>
      <c r="F5" s="58" t="s">
        <v>51</v>
      </c>
      <c r="G5" s="59">
        <v>45915</v>
      </c>
      <c r="H5" s="190">
        <v>6819</v>
      </c>
      <c r="I5" s="141">
        <v>7193.2899999999991</v>
      </c>
      <c r="J5" s="60">
        <f t="shared" ref="J5:J12" si="0">+I5/H5</f>
        <v>1.0548892799530722</v>
      </c>
    </row>
    <row r="6" spans="1:10" ht="15" customHeight="1" x14ac:dyDescent="0.25">
      <c r="A6" s="164"/>
      <c r="B6" s="169" t="s">
        <v>10</v>
      </c>
      <c r="C6" s="177">
        <v>10161</v>
      </c>
      <c r="D6" s="173">
        <v>433.71400000000006</v>
      </c>
      <c r="E6" s="80">
        <f t="shared" ref="E6:E24" si="1">+D6/$D$4</f>
        <v>4.9075804678039403E-2</v>
      </c>
      <c r="F6" s="58" t="s">
        <v>52</v>
      </c>
      <c r="G6" s="59">
        <v>45916</v>
      </c>
      <c r="H6" s="190">
        <v>9251</v>
      </c>
      <c r="I6" s="141">
        <v>8873.4019999999982</v>
      </c>
      <c r="J6" s="60">
        <f t="shared" si="0"/>
        <v>0.95918300724246008</v>
      </c>
    </row>
    <row r="7" spans="1:10" ht="15" customHeight="1" x14ac:dyDescent="0.25">
      <c r="A7" s="164"/>
      <c r="B7" s="169" t="s">
        <v>35</v>
      </c>
      <c r="C7" s="177">
        <v>23749</v>
      </c>
      <c r="D7" s="173">
        <v>1013.0980000000002</v>
      </c>
      <c r="E7" s="80">
        <f t="shared" si="1"/>
        <v>0.11463452774803756</v>
      </c>
      <c r="F7" s="58" t="s">
        <v>53</v>
      </c>
      <c r="G7" s="59">
        <v>45917</v>
      </c>
      <c r="H7" s="190">
        <v>9467</v>
      </c>
      <c r="I7" s="141">
        <v>8837.634</v>
      </c>
      <c r="J7" s="60">
        <f t="shared" si="0"/>
        <v>0.93352001690081332</v>
      </c>
    </row>
    <row r="8" spans="1:10" ht="15" customHeight="1" x14ac:dyDescent="0.25">
      <c r="A8" s="164"/>
      <c r="B8" s="169" t="s">
        <v>4</v>
      </c>
      <c r="C8" s="177">
        <v>4810</v>
      </c>
      <c r="D8" s="173">
        <v>205.11999999999998</v>
      </c>
      <c r="E8" s="80">
        <f t="shared" si="1"/>
        <v>2.3209831952760204E-2</v>
      </c>
      <c r="F8" s="58" t="s">
        <v>54</v>
      </c>
      <c r="G8" s="59">
        <v>45918</v>
      </c>
      <c r="H8" s="190">
        <v>9343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44259</v>
      </c>
      <c r="D9" s="173">
        <v>1886.9799999999998</v>
      </c>
      <c r="E9" s="245">
        <f t="shared" si="1"/>
        <v>0.21351642306074226</v>
      </c>
      <c r="F9" s="58" t="s">
        <v>55</v>
      </c>
      <c r="G9" s="59">
        <v>45919</v>
      </c>
      <c r="H9" s="190">
        <v>8436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43565</v>
      </c>
      <c r="D10" s="173">
        <v>1858.3600000000006</v>
      </c>
      <c r="E10" s="245">
        <f t="shared" si="1"/>
        <v>0.21027799974518074</v>
      </c>
      <c r="F10" s="58" t="s">
        <v>56</v>
      </c>
      <c r="G10" s="59">
        <v>45920</v>
      </c>
      <c r="H10" s="190">
        <v>6847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13580</v>
      </c>
      <c r="D11" s="173">
        <v>579.76600000000008</v>
      </c>
      <c r="E11" s="80">
        <f t="shared" si="1"/>
        <v>6.560194730852173E-2</v>
      </c>
      <c r="F11" s="58" t="s">
        <v>57</v>
      </c>
      <c r="G11" s="59">
        <v>45921</v>
      </c>
      <c r="H11" s="190">
        <v>5631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186</v>
      </c>
      <c r="C12" s="177">
        <v>2571</v>
      </c>
      <c r="D12" s="173">
        <v>64.744</v>
      </c>
      <c r="E12" s="80">
        <f t="shared" si="1"/>
        <v>7.3259426674605445E-3</v>
      </c>
      <c r="H12" s="139">
        <f>+SUM(H5:H11)</f>
        <v>55794</v>
      </c>
      <c r="I12" s="142">
        <f>+SUM(I5:I11)</f>
        <v>24904.325999999997</v>
      </c>
      <c r="J12" s="140">
        <f t="shared" si="0"/>
        <v>0.44636208194429505</v>
      </c>
    </row>
    <row r="13" spans="1:10" ht="15" customHeight="1" x14ac:dyDescent="0.25">
      <c r="A13" s="164"/>
      <c r="B13" s="169" t="s">
        <v>44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490</v>
      </c>
      <c r="D14" s="173">
        <v>738.90999999999985</v>
      </c>
      <c r="E14" s="80">
        <f t="shared" si="1"/>
        <v>8.3609481904319619E-2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222</v>
      </c>
      <c r="D15" s="173">
        <v>335.15</v>
      </c>
      <c r="E15" s="80">
        <f t="shared" si="1"/>
        <v>3.792304591930374E-2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67</v>
      </c>
      <c r="D16" s="173">
        <v>101.18</v>
      </c>
      <c r="E16" s="80">
        <f t="shared" si="1"/>
        <v>1.1448765585902292E-2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84</v>
      </c>
      <c r="C17" s="177">
        <v>44</v>
      </c>
      <c r="D17" s="173">
        <v>66.540000000000006</v>
      </c>
      <c r="E17" s="80">
        <f t="shared" si="1"/>
        <v>7.529164479995438E-3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45</v>
      </c>
      <c r="C18" s="177">
        <v>24</v>
      </c>
      <c r="D18" s="173">
        <v>36.15</v>
      </c>
      <c r="E18" s="80">
        <f t="shared" si="1"/>
        <v>4.0904613157775032E-3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41</v>
      </c>
      <c r="C19" s="177">
        <v>230</v>
      </c>
      <c r="D19" s="173">
        <v>346.25</v>
      </c>
      <c r="E19" s="80">
        <f t="shared" si="1"/>
        <v>3.9179038190538328E-2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88</v>
      </c>
      <c r="C20" s="177"/>
      <c r="D20" s="173">
        <v>121.17</v>
      </c>
      <c r="E20" s="80">
        <f>+D20/$D$4</f>
        <v>1.3710683198693225E-2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9</v>
      </c>
      <c r="C21" s="177"/>
      <c r="D21" s="173">
        <v>150.29</v>
      </c>
      <c r="E21" s="80">
        <f t="shared" si="1"/>
        <v>1.7005682742688821E-2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x14ac:dyDescent="0.25">
      <c r="A22" s="164"/>
      <c r="B22" s="169" t="s">
        <v>40</v>
      </c>
      <c r="C22" s="177"/>
      <c r="D22" s="173">
        <v>484.02000000000004</v>
      </c>
      <c r="E22" s="80">
        <f t="shared" si="1"/>
        <v>5.4768052173240038E-2</v>
      </c>
      <c r="F22" s="112" t="s">
        <v>160</v>
      </c>
      <c r="G22" s="272">
        <v>231021.16800000001</v>
      </c>
      <c r="H22" s="272">
        <f>+D25</f>
        <v>134791.55499999999</v>
      </c>
      <c r="I22" s="98">
        <f t="shared" si="2"/>
        <v>0.58345975897758418</v>
      </c>
    </row>
    <row r="23" spans="1:10" ht="15" customHeight="1" thickBot="1" x14ac:dyDescent="0.3">
      <c r="B23" s="169" t="s">
        <v>46</v>
      </c>
      <c r="C23" s="177"/>
      <c r="D23" s="173">
        <v>91.070000000000007</v>
      </c>
      <c r="E23" s="80">
        <f t="shared" si="1"/>
        <v>1.0304794246967005E-2</v>
      </c>
      <c r="F23" s="112" t="s">
        <v>161</v>
      </c>
      <c r="G23" s="112"/>
      <c r="H23" s="112"/>
    </row>
    <row r="24" spans="1:10" ht="15" customHeight="1" thickBot="1" x14ac:dyDescent="0.3">
      <c r="B24" s="178" t="s">
        <v>0</v>
      </c>
      <c r="C24" s="170"/>
      <c r="D24" s="171">
        <f>SUM(D5:D23)</f>
        <v>8837.634</v>
      </c>
      <c r="E24" s="80">
        <f t="shared" si="1"/>
        <v>1</v>
      </c>
      <c r="G24" s="273">
        <f>+SUM(G14:G22)</f>
        <v>1884683.6730000002</v>
      </c>
      <c r="H24" s="273">
        <f>+SUM(H14:H22)</f>
        <v>1777486.4679999996</v>
      </c>
      <c r="I24" s="274">
        <f>+H24/G24</f>
        <v>0.94312191136597145</v>
      </c>
      <c r="J24" s="275">
        <f>+H24-G24</f>
        <v>-107197.20500000054</v>
      </c>
    </row>
    <row r="25" spans="1:10" ht="15" customHeight="1" thickBot="1" x14ac:dyDescent="0.3">
      <c r="B25" s="166" t="s">
        <v>1</v>
      </c>
      <c r="C25" s="167"/>
      <c r="D25" s="233">
        <v>134791.55499999999</v>
      </c>
      <c r="E25" s="294">
        <f>+D25/E2</f>
        <v>0.58187088822889499</v>
      </c>
    </row>
    <row r="26" spans="1:10" x14ac:dyDescent="0.25">
      <c r="D26" s="108">
        <f>+(E2/30)*17</f>
        <v>131269.46666666667</v>
      </c>
      <c r="E26" s="98">
        <f>+D26/E2</f>
        <v>0.56666666666666665</v>
      </c>
    </row>
    <row r="27" spans="1:10" x14ac:dyDescent="0.25">
      <c r="D27" s="138">
        <f>+D25-D26</f>
        <v>3522.0883333333186</v>
      </c>
      <c r="E27" s="251">
        <f>E25-E26</f>
        <v>1.5204221562228337E-2</v>
      </c>
    </row>
    <row r="28" spans="1:10" ht="15" customHeight="1" x14ac:dyDescent="0.25"/>
    <row r="29" spans="1:10" x14ac:dyDescent="0.25">
      <c r="B29" s="66" t="s">
        <v>60</v>
      </c>
      <c r="D29" s="109" t="s">
        <v>105</v>
      </c>
      <c r="E29" s="109" t="s">
        <v>80</v>
      </c>
      <c r="G29" s="163"/>
      <c r="H29" s="237" t="s">
        <v>157</v>
      </c>
      <c r="I29" s="237" t="s">
        <v>92</v>
      </c>
      <c r="J29" s="71"/>
    </row>
    <row r="30" spans="1:10" x14ac:dyDescent="0.25">
      <c r="B30" s="162" t="s">
        <v>61</v>
      </c>
      <c r="C30" s="162">
        <v>684</v>
      </c>
      <c r="D30" s="108">
        <v>2142</v>
      </c>
      <c r="E30" s="57">
        <f>+C30/D30</f>
        <v>0.31932773109243695</v>
      </c>
      <c r="G30" s="86" t="s">
        <v>86</v>
      </c>
      <c r="H30" s="87">
        <v>8655</v>
      </c>
      <c r="I30" s="88">
        <v>216.375</v>
      </c>
      <c r="J30" s="71"/>
    </row>
    <row r="31" spans="1:10" ht="15" customHeight="1" x14ac:dyDescent="0.25">
      <c r="B31" s="162" t="s">
        <v>62</v>
      </c>
      <c r="C31" s="162">
        <v>1486</v>
      </c>
      <c r="D31" s="108">
        <v>1890</v>
      </c>
      <c r="E31" s="57">
        <f>+C31/D31</f>
        <v>0.78624338624338619</v>
      </c>
      <c r="G31" s="86" t="s">
        <v>171</v>
      </c>
      <c r="H31" s="87">
        <v>14</v>
      </c>
      <c r="I31" s="88">
        <v>0.35000000000000003</v>
      </c>
      <c r="J31" s="228"/>
    </row>
    <row r="32" spans="1:10" ht="15" customHeight="1" x14ac:dyDescent="0.25">
      <c r="B32" s="162" t="s">
        <v>63</v>
      </c>
      <c r="C32" s="67">
        <v>829</v>
      </c>
      <c r="D32" s="108">
        <v>3006</v>
      </c>
      <c r="E32" s="57">
        <f>+C32/D32</f>
        <v>0.27578176979374586</v>
      </c>
      <c r="G32" s="89" t="s">
        <v>169</v>
      </c>
      <c r="H32" s="87">
        <v>488</v>
      </c>
      <c r="I32" s="88">
        <v>732</v>
      </c>
      <c r="J32" s="228"/>
    </row>
    <row r="33" spans="1:10" ht="15" customHeight="1" x14ac:dyDescent="0.25">
      <c r="C33" s="162">
        <f>+SUM(C30:C32)</f>
        <v>2999</v>
      </c>
      <c r="D33" s="110">
        <f>+SUM(D30:D32)</f>
        <v>7038</v>
      </c>
      <c r="E33" s="57">
        <f>+C33/D33</f>
        <v>0.42611537368570618</v>
      </c>
      <c r="G33" s="89" t="s">
        <v>168</v>
      </c>
      <c r="H33" s="87">
        <v>20</v>
      </c>
      <c r="I33" s="88">
        <v>30</v>
      </c>
      <c r="J33" s="228"/>
    </row>
    <row r="34" spans="1:10" x14ac:dyDescent="0.25">
      <c r="G34" s="231" t="s">
        <v>123</v>
      </c>
      <c r="H34" s="138">
        <v>231</v>
      </c>
      <c r="I34" s="232">
        <v>346.5</v>
      </c>
      <c r="J34" s="218" t="s">
        <v>146</v>
      </c>
    </row>
    <row r="35" spans="1:10" x14ac:dyDescent="0.25">
      <c r="B35" s="162" t="s">
        <v>66</v>
      </c>
      <c r="D35" s="162"/>
      <c r="G35" s="89" t="s">
        <v>170</v>
      </c>
      <c r="H35" s="87">
        <v>22</v>
      </c>
      <c r="I35" s="88">
        <v>33</v>
      </c>
      <c r="J35" s="218" t="s">
        <v>146</v>
      </c>
    </row>
    <row r="36" spans="1:10" x14ac:dyDescent="0.25">
      <c r="B36" s="76" t="s">
        <v>67</v>
      </c>
      <c r="C36" s="77" t="s">
        <v>68</v>
      </c>
      <c r="D36" s="78" t="s">
        <v>69</v>
      </c>
      <c r="E36" s="79" t="s">
        <v>33</v>
      </c>
      <c r="G36" s="89" t="s">
        <v>107</v>
      </c>
      <c r="H36" s="87">
        <v>219</v>
      </c>
      <c r="I36" s="88">
        <f>+H36*1.5</f>
        <v>328.5</v>
      </c>
      <c r="J36" s="224" t="s">
        <v>152</v>
      </c>
    </row>
    <row r="37" spans="1:10" x14ac:dyDescent="0.25">
      <c r="B37" s="73">
        <v>10</v>
      </c>
      <c r="C37" s="74">
        <v>1</v>
      </c>
      <c r="D37" s="74">
        <v>21</v>
      </c>
      <c r="E37" s="75">
        <f>+SUM(B37:D37)</f>
        <v>32</v>
      </c>
      <c r="J37" s="218"/>
    </row>
    <row r="38" spans="1:10" x14ac:dyDescent="0.25">
      <c r="E38" s="198" t="s">
        <v>76</v>
      </c>
      <c r="F38" s="198" t="s">
        <v>137</v>
      </c>
      <c r="H38" s="144" t="s">
        <v>124</v>
      </c>
      <c r="I38" s="220" t="s">
        <v>148</v>
      </c>
      <c r="J38" s="218" t="s">
        <v>146</v>
      </c>
    </row>
    <row r="39" spans="1:10" x14ac:dyDescent="0.25">
      <c r="D39" s="162"/>
      <c r="G39" s="71" t="s">
        <v>90</v>
      </c>
      <c r="H39" s="144" t="s">
        <v>120</v>
      </c>
      <c r="I39" s="145">
        <v>0</v>
      </c>
      <c r="J39" s="218"/>
    </row>
    <row r="40" spans="1:10" x14ac:dyDescent="0.25">
      <c r="A40" s="207" t="s">
        <v>70</v>
      </c>
      <c r="B40" s="199">
        <v>2.7</v>
      </c>
      <c r="C40" s="199">
        <v>1221</v>
      </c>
      <c r="D40" s="200">
        <v>2400</v>
      </c>
      <c r="E40" s="201">
        <f t="shared" ref="E40:E45" si="3">+C40/D40</f>
        <v>0.50875000000000004</v>
      </c>
      <c r="F40" s="201">
        <f t="shared" ref="F40:F45" si="4">+B40/24</f>
        <v>0.1125</v>
      </c>
      <c r="G40" s="202">
        <v>7</v>
      </c>
      <c r="H40" s="144" t="s">
        <v>121</v>
      </c>
      <c r="I40" s="220" t="s">
        <v>149</v>
      </c>
      <c r="J40" s="218" t="s">
        <v>146</v>
      </c>
    </row>
    <row r="41" spans="1:10" x14ac:dyDescent="0.25">
      <c r="A41" s="207" t="s">
        <v>71</v>
      </c>
      <c r="B41" s="199">
        <v>10.18</v>
      </c>
      <c r="C41" s="199">
        <v>1729</v>
      </c>
      <c r="D41" s="200">
        <v>3600</v>
      </c>
      <c r="E41" s="201">
        <f t="shared" si="3"/>
        <v>0.4802777777777778</v>
      </c>
      <c r="F41" s="201">
        <f t="shared" si="4"/>
        <v>0.42416666666666664</v>
      </c>
      <c r="G41" s="202">
        <v>12</v>
      </c>
      <c r="H41" s="71"/>
    </row>
    <row r="42" spans="1:10" x14ac:dyDescent="0.25">
      <c r="A42" s="207" t="s">
        <v>72</v>
      </c>
      <c r="B42" s="199">
        <v>10.36</v>
      </c>
      <c r="C42" s="199">
        <v>1369</v>
      </c>
      <c r="D42" s="200">
        <v>3900</v>
      </c>
      <c r="E42" s="201">
        <f t="shared" si="3"/>
        <v>0.35102564102564104</v>
      </c>
      <c r="F42" s="201">
        <f t="shared" si="4"/>
        <v>0.43166666666666664</v>
      </c>
      <c r="G42" s="202">
        <v>12</v>
      </c>
      <c r="H42" s="71"/>
    </row>
    <row r="43" spans="1:10" x14ac:dyDescent="0.25">
      <c r="A43" s="207" t="s">
        <v>73</v>
      </c>
      <c r="B43" s="199">
        <v>6.15</v>
      </c>
      <c r="C43" s="199">
        <v>2655</v>
      </c>
      <c r="D43" s="200">
        <v>3900</v>
      </c>
      <c r="E43" s="201">
        <f t="shared" si="3"/>
        <v>0.68076923076923079</v>
      </c>
      <c r="F43" s="201">
        <f t="shared" si="4"/>
        <v>0.25625000000000003</v>
      </c>
      <c r="G43" s="202">
        <v>12</v>
      </c>
      <c r="H43" s="71"/>
    </row>
    <row r="44" spans="1:10" x14ac:dyDescent="0.25">
      <c r="A44" s="207" t="s">
        <v>74</v>
      </c>
      <c r="B44" s="199">
        <v>17.02</v>
      </c>
      <c r="C44" s="199">
        <v>2058</v>
      </c>
      <c r="D44" s="200">
        <v>3900</v>
      </c>
      <c r="E44" s="201">
        <f t="shared" si="3"/>
        <v>0.52769230769230768</v>
      </c>
      <c r="F44" s="201">
        <f t="shared" si="4"/>
        <v>0.70916666666666661</v>
      </c>
      <c r="G44" s="202">
        <v>12</v>
      </c>
      <c r="H44" s="71"/>
    </row>
    <row r="45" spans="1:10" x14ac:dyDescent="0.25">
      <c r="A45" s="259" t="s">
        <v>75</v>
      </c>
      <c r="B45" s="260">
        <v>6.67</v>
      </c>
      <c r="C45" s="261">
        <v>2897</v>
      </c>
      <c r="D45" s="262">
        <v>4300</v>
      </c>
      <c r="E45" s="263">
        <f t="shared" si="3"/>
        <v>0.67372093023255819</v>
      </c>
      <c r="F45" s="201">
        <f t="shared" si="4"/>
        <v>0.27791666666666665</v>
      </c>
      <c r="G45" s="202">
        <v>16</v>
      </c>
      <c r="H45" s="71"/>
    </row>
    <row r="46" spans="1:10" x14ac:dyDescent="0.25">
      <c r="C46" s="71" t="s">
        <v>83</v>
      </c>
      <c r="D46" s="72" t="s">
        <v>79</v>
      </c>
      <c r="H46" s="71"/>
    </row>
    <row r="47" spans="1:10" x14ac:dyDescent="0.25">
      <c r="B47" s="162" t="s">
        <v>78</v>
      </c>
      <c r="H47" s="71"/>
    </row>
    <row r="48" spans="1:10" x14ac:dyDescent="0.25">
      <c r="C48" s="71">
        <v>1</v>
      </c>
      <c r="D48" s="225" t="s">
        <v>153</v>
      </c>
      <c r="H48" s="71"/>
    </row>
    <row r="49" spans="3:8" x14ac:dyDescent="0.25">
      <c r="C49" s="71">
        <v>2</v>
      </c>
      <c r="D49" s="225" t="s">
        <v>153</v>
      </c>
      <c r="H49" s="71"/>
    </row>
    <row r="50" spans="3:8" x14ac:dyDescent="0.25">
      <c r="C50" s="71">
        <v>3</v>
      </c>
      <c r="D50" s="225" t="s">
        <v>154</v>
      </c>
      <c r="H50" s="71"/>
    </row>
    <row r="51" spans="3:8" x14ac:dyDescent="0.25">
      <c r="C51" s="71">
        <v>4</v>
      </c>
      <c r="D51" s="108">
        <v>0</v>
      </c>
      <c r="H51" s="71"/>
    </row>
    <row r="52" spans="3:8" x14ac:dyDescent="0.25">
      <c r="C52" s="71">
        <v>5</v>
      </c>
      <c r="D52" s="108">
        <v>8</v>
      </c>
    </row>
    <row r="53" spans="3:8" x14ac:dyDescent="0.25">
      <c r="C53" s="71">
        <v>6</v>
      </c>
      <c r="D53" s="108">
        <v>7</v>
      </c>
    </row>
    <row r="54" spans="3:8" x14ac:dyDescent="0.25">
      <c r="C54" s="71">
        <v>7</v>
      </c>
      <c r="D54" s="225" t="s">
        <v>153</v>
      </c>
    </row>
    <row r="55" spans="3:8" x14ac:dyDescent="0.25">
      <c r="C55" s="71">
        <v>8</v>
      </c>
      <c r="D55" s="225" t="s">
        <v>153</v>
      </c>
    </row>
  </sheetData>
  <protectedRanges>
    <protectedRange password="D554" sqref="I38:I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opLeftCell="A10" workbookViewId="0">
      <selection activeCell="H31" sqref="H31:I31"/>
    </sheetView>
  </sheetViews>
  <sheetFormatPr baseColWidth="10" defaultColWidth="11.42578125" defaultRowHeight="15.75" x14ac:dyDescent="0.25"/>
  <cols>
    <col min="1" max="1" width="2.42578125" style="162" customWidth="1"/>
    <col min="2" max="2" width="39" style="162" customWidth="1"/>
    <col min="3" max="3" width="15.28515625" style="162" customWidth="1"/>
    <col min="4" max="4" width="15.28515625" style="163" customWidth="1"/>
    <col min="5" max="5" width="18.140625" style="162" customWidth="1"/>
    <col min="6" max="9" width="11.42578125" style="162"/>
    <col min="10" max="10" width="11.85546875" style="162" customWidth="1"/>
    <col min="11" max="11" width="5.140625" style="162" customWidth="1"/>
    <col min="12" max="16384" width="11.42578125" style="162"/>
  </cols>
  <sheetData>
    <row r="1" spans="1:10" ht="15" customHeight="1" x14ac:dyDescent="0.25">
      <c r="A1" s="161"/>
      <c r="B1" s="518">
        <v>45918</v>
      </c>
      <c r="C1" s="518"/>
      <c r="D1" s="518"/>
      <c r="E1" s="61" t="s">
        <v>160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295"/>
      <c r="C4" s="295"/>
      <c r="D4" s="165">
        <f>D25</f>
        <v>9040.7950000000001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4740</v>
      </c>
      <c r="D5" s="172">
        <v>202.31400000000002</v>
      </c>
      <c r="E5" s="80">
        <f>+D5/$D$4</f>
        <v>2.2377899288724058E-2</v>
      </c>
      <c r="F5" s="58" t="s">
        <v>51</v>
      </c>
      <c r="G5" s="59">
        <v>45915</v>
      </c>
      <c r="H5" s="190">
        <v>6819</v>
      </c>
      <c r="I5" s="141">
        <v>7193.2899999999991</v>
      </c>
      <c r="J5" s="60">
        <f t="shared" ref="J5:J12" si="0">+I5/H5</f>
        <v>1.0548892799530722</v>
      </c>
    </row>
    <row r="6" spans="1:10" ht="15" customHeight="1" x14ac:dyDescent="0.25">
      <c r="A6" s="164"/>
      <c r="B6" s="169" t="s">
        <v>10</v>
      </c>
      <c r="C6" s="177">
        <v>10070</v>
      </c>
      <c r="D6" s="173">
        <v>429.22200000000004</v>
      </c>
      <c r="E6" s="80">
        <f t="shared" ref="E6:E24" si="1">+D6/$D$4</f>
        <v>4.7476134565599598E-2</v>
      </c>
      <c r="F6" s="58" t="s">
        <v>52</v>
      </c>
      <c r="G6" s="59">
        <v>45916</v>
      </c>
      <c r="H6" s="190">
        <v>9251</v>
      </c>
      <c r="I6" s="141">
        <v>8873.4019999999982</v>
      </c>
      <c r="J6" s="60">
        <f t="shared" si="0"/>
        <v>0.95918300724246008</v>
      </c>
    </row>
    <row r="7" spans="1:10" ht="15" customHeight="1" x14ac:dyDescent="0.25">
      <c r="A7" s="164"/>
      <c r="B7" s="169" t="s">
        <v>35</v>
      </c>
      <c r="C7" s="177">
        <v>23038</v>
      </c>
      <c r="D7" s="173">
        <v>981.65200000000004</v>
      </c>
      <c r="E7" s="80">
        <f t="shared" si="1"/>
        <v>0.10858027419048878</v>
      </c>
      <c r="F7" s="58" t="s">
        <v>53</v>
      </c>
      <c r="G7" s="59">
        <v>45917</v>
      </c>
      <c r="H7" s="190">
        <v>9467</v>
      </c>
      <c r="I7" s="141">
        <v>8837.634</v>
      </c>
      <c r="J7" s="60">
        <f t="shared" si="0"/>
        <v>0.93352001690081332</v>
      </c>
    </row>
    <row r="8" spans="1:10" ht="15" customHeight="1" x14ac:dyDescent="0.25">
      <c r="A8" s="164"/>
      <c r="B8" s="169" t="s">
        <v>4</v>
      </c>
      <c r="C8" s="177">
        <v>1450</v>
      </c>
      <c r="D8" s="173">
        <v>61.85</v>
      </c>
      <c r="E8" s="80">
        <f t="shared" si="1"/>
        <v>6.8412125261108122E-3</v>
      </c>
      <c r="F8" s="58" t="s">
        <v>54</v>
      </c>
      <c r="G8" s="59">
        <v>45918</v>
      </c>
      <c r="H8" s="190">
        <v>9343</v>
      </c>
      <c r="I8" s="141">
        <v>9040.7950000000001</v>
      </c>
      <c r="J8" s="60">
        <f t="shared" si="0"/>
        <v>0.96765439366370543</v>
      </c>
    </row>
    <row r="9" spans="1:10" ht="15" customHeight="1" x14ac:dyDescent="0.25">
      <c r="A9" s="164"/>
      <c r="B9" s="169" t="s">
        <v>37</v>
      </c>
      <c r="C9" s="177">
        <v>48093</v>
      </c>
      <c r="D9" s="173">
        <v>2051.0139999999997</v>
      </c>
      <c r="E9" s="245">
        <f t="shared" si="1"/>
        <v>0.22686212882827225</v>
      </c>
      <c r="F9" s="58" t="s">
        <v>55</v>
      </c>
      <c r="G9" s="59">
        <v>45919</v>
      </c>
      <c r="H9" s="190">
        <v>8436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52721</v>
      </c>
      <c r="D10" s="173">
        <v>2248.3309999999997</v>
      </c>
      <c r="E10" s="245">
        <f t="shared" si="1"/>
        <v>0.24868731123756257</v>
      </c>
      <c r="F10" s="58" t="s">
        <v>56</v>
      </c>
      <c r="G10" s="59">
        <v>45920</v>
      </c>
      <c r="H10" s="190">
        <v>6847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12267</v>
      </c>
      <c r="D11" s="173">
        <v>524.08199999999999</v>
      </c>
      <c r="E11" s="80">
        <f t="shared" si="1"/>
        <v>5.7968574666276584E-2</v>
      </c>
      <c r="F11" s="58" t="s">
        <v>57</v>
      </c>
      <c r="G11" s="59">
        <v>45921</v>
      </c>
      <c r="H11" s="190">
        <v>5631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/>
      <c r="D12" s="173"/>
      <c r="E12" s="80">
        <f t="shared" si="1"/>
        <v>0</v>
      </c>
      <c r="H12" s="139">
        <f>+SUM(H5:H11)</f>
        <v>55794</v>
      </c>
      <c r="I12" s="142">
        <f>+SUM(I5:I11)</f>
        <v>33945.120999999999</v>
      </c>
      <c r="J12" s="140">
        <f t="shared" si="0"/>
        <v>0.60840092124601208</v>
      </c>
    </row>
    <row r="13" spans="1:10" ht="15" customHeight="1" x14ac:dyDescent="0.25">
      <c r="A13" s="164"/>
      <c r="B13" s="169" t="s">
        <v>44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648</v>
      </c>
      <c r="D14" s="173">
        <v>977.42000000000007</v>
      </c>
      <c r="E14" s="80">
        <f t="shared" si="1"/>
        <v>0.10811217376347988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23</v>
      </c>
      <c r="D15" s="173">
        <v>34.74</v>
      </c>
      <c r="E15" s="80">
        <f t="shared" si="1"/>
        <v>3.8425824277621605E-3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44</v>
      </c>
      <c r="C16" s="177">
        <v>63</v>
      </c>
      <c r="D16" s="173">
        <v>95.11</v>
      </c>
      <c r="E16" s="80">
        <f t="shared" si="1"/>
        <v>1.0520092536109932E-2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62</v>
      </c>
      <c r="D17" s="173">
        <v>93.28</v>
      </c>
      <c r="E17" s="80">
        <f t="shared" si="1"/>
        <v>1.0317676708740769E-2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84</v>
      </c>
      <c r="C18" s="177">
        <v>92</v>
      </c>
      <c r="D18" s="173">
        <v>138.89000000000001</v>
      </c>
      <c r="E18" s="80">
        <f t="shared" si="1"/>
        <v>1.5362587029127418E-2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>
        <v>64</v>
      </c>
      <c r="D19" s="173">
        <v>96.27000000000001</v>
      </c>
      <c r="E19" s="80">
        <f t="shared" si="1"/>
        <v>1.0648399836518803E-2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183</v>
      </c>
      <c r="D20" s="173">
        <v>275.64</v>
      </c>
      <c r="E20" s="80">
        <f>+D20/$D$4</f>
        <v>3.0488469210948815E-2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88</v>
      </c>
      <c r="C21" s="177"/>
      <c r="D21" s="173">
        <v>120.63</v>
      </c>
      <c r="E21" s="80">
        <f t="shared" si="1"/>
        <v>1.3342853145105048E-2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x14ac:dyDescent="0.25">
      <c r="A22" s="164"/>
      <c r="B22" s="169" t="s">
        <v>9</v>
      </c>
      <c r="C22" s="177"/>
      <c r="D22" s="173">
        <v>124.03</v>
      </c>
      <c r="E22" s="80">
        <f t="shared" si="1"/>
        <v>1.3718926266993113E-2</v>
      </c>
      <c r="F22" s="112" t="s">
        <v>160</v>
      </c>
      <c r="G22" s="272">
        <v>231021.16800000001</v>
      </c>
      <c r="H22" s="272">
        <f>+D26</f>
        <v>143771.6</v>
      </c>
      <c r="I22" s="98">
        <f t="shared" si="2"/>
        <v>0.62233085065174631</v>
      </c>
    </row>
    <row r="23" spans="1:10" ht="15" customHeight="1" x14ac:dyDescent="0.25">
      <c r="B23" s="169" t="s">
        <v>40</v>
      </c>
      <c r="C23" s="177"/>
      <c r="D23" s="173">
        <v>586.32000000000016</v>
      </c>
      <c r="E23" s="80">
        <f t="shared" si="1"/>
        <v>6.4852703772179346E-2</v>
      </c>
      <c r="F23" s="112" t="s">
        <v>161</v>
      </c>
      <c r="G23" s="112"/>
      <c r="H23" s="112"/>
    </row>
    <row r="24" spans="1:10" ht="15" customHeight="1" thickBot="1" x14ac:dyDescent="0.3">
      <c r="B24" s="169" t="s">
        <v>46</v>
      </c>
      <c r="C24" s="177"/>
      <c r="D24" s="173"/>
      <c r="E24" s="80">
        <f t="shared" si="1"/>
        <v>0</v>
      </c>
      <c r="G24" s="273">
        <f>+SUM(G14:G22)</f>
        <v>1884683.6730000002</v>
      </c>
      <c r="H24" s="273">
        <f>+SUM(H14:H22)</f>
        <v>1786466.5129999998</v>
      </c>
      <c r="I24" s="274">
        <f>+H24/G24</f>
        <v>0.94788666055367243</v>
      </c>
      <c r="J24" s="275">
        <f>+H24-G24</f>
        <v>-98217.160000000382</v>
      </c>
    </row>
    <row r="25" spans="1:10" ht="15" customHeight="1" thickBot="1" x14ac:dyDescent="0.3">
      <c r="B25" s="178" t="s">
        <v>0</v>
      </c>
      <c r="C25" s="170"/>
      <c r="D25" s="171">
        <f>SUM(D5:D24)</f>
        <v>9040.7950000000001</v>
      </c>
    </row>
    <row r="26" spans="1:10" ht="15" customHeight="1" thickBot="1" x14ac:dyDescent="0.3">
      <c r="B26" s="166" t="s">
        <v>1</v>
      </c>
      <c r="C26" s="167"/>
      <c r="D26" s="233">
        <v>143771.6</v>
      </c>
      <c r="E26" s="294">
        <f>+D26/E2</f>
        <v>0.62063612660369871</v>
      </c>
    </row>
    <row r="27" spans="1:10" x14ac:dyDescent="0.25">
      <c r="D27" s="108">
        <f>+(E2/30)*18</f>
        <v>138991.20000000001</v>
      </c>
      <c r="E27" s="98">
        <f>+D27/E2</f>
        <v>0.60000000000000009</v>
      </c>
    </row>
    <row r="28" spans="1:10" x14ac:dyDescent="0.25">
      <c r="D28" s="138">
        <f>+D26-D27</f>
        <v>4780.3999999999942</v>
      </c>
      <c r="E28" s="251">
        <f>E26-E27</f>
        <v>2.0636126603698624E-2</v>
      </c>
    </row>
    <row r="30" spans="1:10" ht="15" customHeight="1" x14ac:dyDescent="0.25">
      <c r="B30" s="66" t="s">
        <v>60</v>
      </c>
      <c r="D30" s="109" t="s">
        <v>105</v>
      </c>
      <c r="E30" s="109" t="s">
        <v>80</v>
      </c>
      <c r="G30" s="163"/>
      <c r="H30" s="237" t="s">
        <v>157</v>
      </c>
      <c r="I30" s="237" t="s">
        <v>92</v>
      </c>
      <c r="J30" s="71"/>
    </row>
    <row r="31" spans="1:10" x14ac:dyDescent="0.25">
      <c r="B31" s="162" t="s">
        <v>61</v>
      </c>
      <c r="C31" s="162">
        <v>1290</v>
      </c>
      <c r="D31" s="108">
        <v>2142</v>
      </c>
      <c r="E31" s="57">
        <f>+C31/D31</f>
        <v>0.60224089635854339</v>
      </c>
      <c r="G31" s="86" t="s">
        <v>86</v>
      </c>
      <c r="H31" s="87">
        <v>10104</v>
      </c>
      <c r="I31" s="88">
        <v>252.60000000000002</v>
      </c>
      <c r="J31" s="224" t="s">
        <v>187</v>
      </c>
    </row>
    <row r="32" spans="1:10" x14ac:dyDescent="0.25">
      <c r="B32" s="162" t="s">
        <v>62</v>
      </c>
      <c r="C32" s="162">
        <v>2035</v>
      </c>
      <c r="D32" s="108">
        <v>1890</v>
      </c>
      <c r="E32" s="57">
        <f>+C32/D32</f>
        <v>1.0767195767195767</v>
      </c>
      <c r="G32" s="86" t="s">
        <v>171</v>
      </c>
      <c r="H32" s="87">
        <v>14</v>
      </c>
      <c r="I32" s="88">
        <v>0.35000000000000003</v>
      </c>
      <c r="J32" s="297" t="s">
        <v>188</v>
      </c>
    </row>
    <row r="33" spans="1:10" ht="15" customHeight="1" x14ac:dyDescent="0.25">
      <c r="B33" s="162" t="s">
        <v>63</v>
      </c>
      <c r="C33" s="67">
        <v>1395</v>
      </c>
      <c r="D33" s="108">
        <v>3006</v>
      </c>
      <c r="E33" s="57">
        <f>+C33/D33</f>
        <v>0.46407185628742514</v>
      </c>
      <c r="G33" s="89" t="s">
        <v>169</v>
      </c>
      <c r="H33" s="87">
        <v>532</v>
      </c>
      <c r="I33" s="88">
        <v>798</v>
      </c>
      <c r="J33" s="298">
        <f>+I33+I31</f>
        <v>1050.5999999999999</v>
      </c>
    </row>
    <row r="34" spans="1:10" ht="15" customHeight="1" x14ac:dyDescent="0.25">
      <c r="C34" s="162">
        <f>+SUM(C31:C33)</f>
        <v>4720</v>
      </c>
      <c r="D34" s="110">
        <f>+SUM(D31:D33)</f>
        <v>7038</v>
      </c>
      <c r="E34" s="57">
        <f>+C34/D34</f>
        <v>0.67064506962205173</v>
      </c>
      <c r="G34" s="89" t="s">
        <v>168</v>
      </c>
      <c r="H34" s="87">
        <v>16</v>
      </c>
      <c r="I34" s="88">
        <v>24</v>
      </c>
      <c r="J34" s="228"/>
    </row>
    <row r="35" spans="1:10" ht="15" customHeight="1" x14ac:dyDescent="0.25">
      <c r="G35" s="231" t="s">
        <v>123</v>
      </c>
      <c r="H35" s="138">
        <v>231</v>
      </c>
      <c r="I35" s="232">
        <v>346.5</v>
      </c>
      <c r="J35" s="218" t="s">
        <v>146</v>
      </c>
    </row>
    <row r="36" spans="1:10" x14ac:dyDescent="0.25">
      <c r="B36" s="162" t="s">
        <v>66</v>
      </c>
      <c r="D36" s="162"/>
      <c r="G36" s="89" t="s">
        <v>170</v>
      </c>
      <c r="H36" s="87">
        <v>22</v>
      </c>
      <c r="I36" s="88">
        <v>33</v>
      </c>
      <c r="J36" s="218" t="s">
        <v>146</v>
      </c>
    </row>
    <row r="37" spans="1:10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219</v>
      </c>
      <c r="I37" s="88">
        <f>+H37*1.5</f>
        <v>328.5</v>
      </c>
      <c r="J37" s="224" t="s">
        <v>152</v>
      </c>
    </row>
    <row r="38" spans="1:10" x14ac:dyDescent="0.25">
      <c r="B38" s="73">
        <v>3</v>
      </c>
      <c r="C38" s="74">
        <v>3</v>
      </c>
      <c r="D38" s="74">
        <v>14</v>
      </c>
      <c r="E38" s="75">
        <f>+SUM(B38:D38)</f>
        <v>20</v>
      </c>
      <c r="J38" s="218"/>
    </row>
    <row r="39" spans="1:10" x14ac:dyDescent="0.25">
      <c r="E39" s="198" t="s">
        <v>76</v>
      </c>
      <c r="F39" s="198" t="s">
        <v>137</v>
      </c>
      <c r="H39" s="144" t="s">
        <v>124</v>
      </c>
      <c r="I39" s="220" t="s">
        <v>148</v>
      </c>
      <c r="J39" s="218" t="s">
        <v>146</v>
      </c>
    </row>
    <row r="40" spans="1:10" x14ac:dyDescent="0.25">
      <c r="D40" s="162"/>
      <c r="G40" s="71" t="s">
        <v>90</v>
      </c>
      <c r="H40" s="144" t="s">
        <v>120</v>
      </c>
      <c r="I40" s="145">
        <v>0</v>
      </c>
      <c r="J40" s="218"/>
    </row>
    <row r="41" spans="1:10" x14ac:dyDescent="0.25">
      <c r="A41" s="207" t="s">
        <v>70</v>
      </c>
      <c r="B41" s="199">
        <v>1.3</v>
      </c>
      <c r="C41" s="199">
        <v>1164</v>
      </c>
      <c r="D41" s="200">
        <v>2400</v>
      </c>
      <c r="E41" s="201">
        <f t="shared" ref="E41:E46" si="3">+C41/D41</f>
        <v>0.48499999999999999</v>
      </c>
      <c r="F41" s="201">
        <f t="shared" ref="F41:F46" si="4">+B41/24</f>
        <v>5.4166666666666669E-2</v>
      </c>
      <c r="G41" s="202">
        <v>7</v>
      </c>
      <c r="H41" s="144" t="s">
        <v>121</v>
      </c>
      <c r="I41" s="220" t="s">
        <v>149</v>
      </c>
      <c r="J41" s="218" t="s">
        <v>146</v>
      </c>
    </row>
    <row r="42" spans="1:10" x14ac:dyDescent="0.25">
      <c r="A42" s="207" t="s">
        <v>71</v>
      </c>
      <c r="B42" s="199">
        <v>7.24</v>
      </c>
      <c r="C42" s="199">
        <v>1756</v>
      </c>
      <c r="D42" s="200">
        <v>3600</v>
      </c>
      <c r="E42" s="201">
        <f t="shared" si="3"/>
        <v>0.48777777777777775</v>
      </c>
      <c r="F42" s="201">
        <f t="shared" si="4"/>
        <v>0.30166666666666669</v>
      </c>
      <c r="G42" s="202">
        <v>12</v>
      </c>
      <c r="H42" s="71"/>
    </row>
    <row r="43" spans="1:10" x14ac:dyDescent="0.25">
      <c r="A43" s="207" t="s">
        <v>72</v>
      </c>
      <c r="B43" s="199">
        <v>11.74</v>
      </c>
      <c r="C43" s="199">
        <v>1275</v>
      </c>
      <c r="D43" s="200">
        <v>3900</v>
      </c>
      <c r="E43" s="201">
        <f t="shared" si="3"/>
        <v>0.32692307692307693</v>
      </c>
      <c r="F43" s="201">
        <f t="shared" si="4"/>
        <v>0.48916666666666669</v>
      </c>
      <c r="G43" s="202">
        <v>12</v>
      </c>
      <c r="H43" s="71"/>
    </row>
    <row r="44" spans="1:10" x14ac:dyDescent="0.25">
      <c r="A44" s="207" t="s">
        <v>73</v>
      </c>
      <c r="B44" s="199">
        <v>13.15</v>
      </c>
      <c r="C44" s="199">
        <v>2967</v>
      </c>
      <c r="D44" s="200">
        <v>3900</v>
      </c>
      <c r="E44" s="201">
        <f t="shared" si="3"/>
        <v>0.76076923076923075</v>
      </c>
      <c r="F44" s="201">
        <f t="shared" si="4"/>
        <v>0.54791666666666672</v>
      </c>
      <c r="G44" s="202">
        <v>12</v>
      </c>
      <c r="H44" s="71"/>
    </row>
    <row r="45" spans="1:10" x14ac:dyDescent="0.25">
      <c r="A45" s="207" t="s">
        <v>74</v>
      </c>
      <c r="B45" s="199">
        <v>17.77</v>
      </c>
      <c r="C45" s="199">
        <v>3161</v>
      </c>
      <c r="D45" s="200">
        <v>3900</v>
      </c>
      <c r="E45" s="201">
        <f t="shared" si="3"/>
        <v>0.81051282051282048</v>
      </c>
      <c r="F45" s="201">
        <f t="shared" si="4"/>
        <v>0.74041666666666661</v>
      </c>
      <c r="G45" s="202">
        <v>12</v>
      </c>
      <c r="H45" s="71"/>
    </row>
    <row r="46" spans="1:10" x14ac:dyDescent="0.25">
      <c r="A46" s="259" t="s">
        <v>75</v>
      </c>
      <c r="B46" s="260">
        <v>13.8</v>
      </c>
      <c r="C46" s="261">
        <v>3051</v>
      </c>
      <c r="D46" s="262">
        <v>4300</v>
      </c>
      <c r="E46" s="263">
        <f t="shared" si="3"/>
        <v>0.70953488372093021</v>
      </c>
      <c r="F46" s="201">
        <f t="shared" si="4"/>
        <v>0.57500000000000007</v>
      </c>
      <c r="G46" s="202">
        <v>16</v>
      </c>
      <c r="H46" s="71"/>
    </row>
    <row r="47" spans="1:10" x14ac:dyDescent="0.25">
      <c r="C47" s="71" t="s">
        <v>83</v>
      </c>
      <c r="D47" s="72" t="s">
        <v>79</v>
      </c>
      <c r="H47" s="71"/>
    </row>
    <row r="48" spans="1:10" x14ac:dyDescent="0.25">
      <c r="B48" s="162" t="s">
        <v>78</v>
      </c>
      <c r="H48" s="71"/>
    </row>
    <row r="49" spans="3:8" x14ac:dyDescent="0.25">
      <c r="C49" s="71">
        <v>1</v>
      </c>
      <c r="D49" s="225" t="s">
        <v>153</v>
      </c>
      <c r="H49" s="71"/>
    </row>
    <row r="50" spans="3:8" x14ac:dyDescent="0.25">
      <c r="C50" s="71">
        <v>2</v>
      </c>
      <c r="D50" s="225" t="s">
        <v>153</v>
      </c>
      <c r="H50" s="71"/>
    </row>
    <row r="51" spans="3:8" x14ac:dyDescent="0.25">
      <c r="C51" s="71">
        <v>3</v>
      </c>
      <c r="D51" s="225" t="s">
        <v>154</v>
      </c>
      <c r="H51" s="71"/>
    </row>
    <row r="52" spans="3:8" x14ac:dyDescent="0.25">
      <c r="C52" s="71">
        <v>4</v>
      </c>
      <c r="D52" s="108">
        <v>0</v>
      </c>
      <c r="H52" s="71"/>
    </row>
    <row r="53" spans="3:8" x14ac:dyDescent="0.25">
      <c r="C53" s="71">
        <v>5</v>
      </c>
      <c r="D53" s="108">
        <v>10</v>
      </c>
    </row>
    <row r="54" spans="3:8" x14ac:dyDescent="0.25">
      <c r="C54" s="71">
        <v>6</v>
      </c>
      <c r="D54" s="108">
        <v>10</v>
      </c>
    </row>
    <row r="55" spans="3:8" x14ac:dyDescent="0.25">
      <c r="C55" s="71">
        <v>7</v>
      </c>
      <c r="D55" s="225" t="s">
        <v>153</v>
      </c>
    </row>
    <row r="56" spans="3:8" x14ac:dyDescent="0.25">
      <c r="C56" s="71">
        <v>8</v>
      </c>
      <c r="D56" s="225" t="s">
        <v>153</v>
      </c>
    </row>
  </sheetData>
  <protectedRanges>
    <protectedRange password="D554" sqref="I39:I41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40" workbookViewId="0">
      <selection activeCell="A28" sqref="A28:K57"/>
    </sheetView>
  </sheetViews>
  <sheetFormatPr baseColWidth="10" defaultColWidth="11.42578125" defaultRowHeight="15.75" x14ac:dyDescent="0.25"/>
  <cols>
    <col min="1" max="1" width="2.42578125" style="162" customWidth="1"/>
    <col min="2" max="2" width="39.140625" style="162" customWidth="1"/>
    <col min="3" max="3" width="15.28515625" style="162" customWidth="1"/>
    <col min="4" max="4" width="15.28515625" style="163" customWidth="1"/>
    <col min="5" max="5" width="18.140625" style="162" customWidth="1"/>
    <col min="6" max="6" width="19.42578125" style="162" bestFit="1" customWidth="1"/>
    <col min="7" max="7" width="11.42578125" style="162"/>
    <col min="8" max="8" width="11.85546875" style="162" bestFit="1" customWidth="1"/>
    <col min="9" max="10" width="11.42578125" style="162"/>
    <col min="11" max="11" width="8.5703125" style="215" bestFit="1" customWidth="1"/>
    <col min="12" max="16384" width="11.42578125" style="162"/>
  </cols>
  <sheetData>
    <row r="1" spans="1:10" ht="15" customHeight="1" x14ac:dyDescent="0.25">
      <c r="A1" s="161"/>
      <c r="B1" s="518">
        <v>45921</v>
      </c>
      <c r="C1" s="518"/>
      <c r="D1" s="518"/>
      <c r="E1" s="61" t="s">
        <v>160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296"/>
      <c r="C4" s="296"/>
      <c r="D4" s="165">
        <f>D26</f>
        <v>4405.9269999999997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3030</v>
      </c>
      <c r="D5" s="172">
        <v>129.46199999999999</v>
      </c>
      <c r="E5" s="80">
        <f>+D5/$D$4</f>
        <v>2.9383600772323281E-2</v>
      </c>
      <c r="F5" s="58" t="s">
        <v>51</v>
      </c>
      <c r="G5" s="59">
        <v>45915</v>
      </c>
      <c r="H5" s="190">
        <v>6819</v>
      </c>
      <c r="I5" s="141">
        <v>7193.2899999999991</v>
      </c>
      <c r="J5" s="60">
        <f t="shared" ref="J5:J12" si="0">+I5/H5</f>
        <v>1.0548892799530722</v>
      </c>
    </row>
    <row r="6" spans="1:10" ht="15" customHeight="1" x14ac:dyDescent="0.25">
      <c r="A6" s="164"/>
      <c r="B6" s="169" t="s">
        <v>10</v>
      </c>
      <c r="C6" s="177">
        <v>10970</v>
      </c>
      <c r="D6" s="173">
        <v>468.00599999999997</v>
      </c>
      <c r="E6" s="80">
        <f t="shared" ref="E6:E25" si="1">+D6/$D$4</f>
        <v>0.10622191425323207</v>
      </c>
      <c r="F6" s="58" t="s">
        <v>52</v>
      </c>
      <c r="G6" s="59">
        <v>45916</v>
      </c>
      <c r="H6" s="190">
        <v>9251</v>
      </c>
      <c r="I6" s="141">
        <v>8873.4019999999982</v>
      </c>
      <c r="J6" s="60">
        <f t="shared" si="0"/>
        <v>0.95918300724246008</v>
      </c>
    </row>
    <row r="7" spans="1:10" ht="15" customHeight="1" x14ac:dyDescent="0.25">
      <c r="A7" s="164"/>
      <c r="B7" s="169" t="s">
        <v>35</v>
      </c>
      <c r="C7" s="177">
        <v>17603</v>
      </c>
      <c r="D7" s="173">
        <v>749.67700000000002</v>
      </c>
      <c r="E7" s="80">
        <f t="shared" si="1"/>
        <v>0.17015193397439404</v>
      </c>
      <c r="F7" s="58" t="s">
        <v>53</v>
      </c>
      <c r="G7" s="59">
        <v>45917</v>
      </c>
      <c r="H7" s="190">
        <v>9467</v>
      </c>
      <c r="I7" s="141">
        <v>8837.634</v>
      </c>
      <c r="J7" s="60">
        <f t="shared" si="0"/>
        <v>0.93352001690081332</v>
      </c>
    </row>
    <row r="8" spans="1:10" ht="15" customHeight="1" x14ac:dyDescent="0.25">
      <c r="A8" s="164"/>
      <c r="B8" s="169" t="s">
        <v>4</v>
      </c>
      <c r="C8" s="177">
        <v>3230</v>
      </c>
      <c r="D8" s="173">
        <v>137.619</v>
      </c>
      <c r="E8" s="80">
        <f t="shared" si="1"/>
        <v>3.1234970529470871E-2</v>
      </c>
      <c r="F8" s="58" t="s">
        <v>54</v>
      </c>
      <c r="G8" s="59">
        <v>45918</v>
      </c>
      <c r="H8" s="190">
        <v>9343</v>
      </c>
      <c r="I8" s="141">
        <v>9040.7950000000001</v>
      </c>
      <c r="J8" s="60">
        <f t="shared" si="0"/>
        <v>0.96765439366370543</v>
      </c>
    </row>
    <row r="9" spans="1:10" ht="15" customHeight="1" x14ac:dyDescent="0.25">
      <c r="A9" s="164"/>
      <c r="B9" s="169" t="s">
        <v>37</v>
      </c>
      <c r="C9" s="177">
        <v>11004</v>
      </c>
      <c r="D9" s="173">
        <v>469.70800000000008</v>
      </c>
      <c r="E9" s="245">
        <f t="shared" si="1"/>
        <v>0.10660821207432628</v>
      </c>
      <c r="F9" s="58" t="s">
        <v>55</v>
      </c>
      <c r="G9" s="59">
        <v>45919</v>
      </c>
      <c r="H9" s="190">
        <v>8436</v>
      </c>
      <c r="I9" s="141">
        <v>8788.58</v>
      </c>
      <c r="J9" s="60">
        <f t="shared" si="0"/>
        <v>1.0417946894262684</v>
      </c>
    </row>
    <row r="10" spans="1:10" ht="15" customHeight="1" x14ac:dyDescent="0.25">
      <c r="A10" s="164"/>
      <c r="B10" s="169" t="s">
        <v>38</v>
      </c>
      <c r="C10" s="177">
        <v>16510</v>
      </c>
      <c r="D10" s="173">
        <v>703.83399999999983</v>
      </c>
      <c r="E10" s="245">
        <f t="shared" si="1"/>
        <v>0.15974708614100958</v>
      </c>
      <c r="F10" s="58" t="s">
        <v>56</v>
      </c>
      <c r="G10" s="59">
        <v>45920</v>
      </c>
      <c r="H10" s="190">
        <v>6847</v>
      </c>
      <c r="I10" s="141">
        <v>6705.74</v>
      </c>
      <c r="J10" s="60">
        <f t="shared" si="0"/>
        <v>0.97936906674455959</v>
      </c>
    </row>
    <row r="11" spans="1:10" ht="15" customHeight="1" x14ac:dyDescent="0.25">
      <c r="A11" s="164"/>
      <c r="B11" s="169" t="s">
        <v>42</v>
      </c>
      <c r="C11" s="177">
        <v>5464</v>
      </c>
      <c r="D11" s="173">
        <v>233.28800000000001</v>
      </c>
      <c r="E11" s="80">
        <f t="shared" si="1"/>
        <v>5.2948675727037701E-2</v>
      </c>
      <c r="F11" s="58" t="s">
        <v>57</v>
      </c>
      <c r="G11" s="59">
        <v>45921</v>
      </c>
      <c r="H11" s="190">
        <v>5631</v>
      </c>
      <c r="I11" s="141">
        <v>4405.9269999999997</v>
      </c>
      <c r="J11" s="60">
        <f t="shared" si="0"/>
        <v>0.7824413070502575</v>
      </c>
    </row>
    <row r="12" spans="1:10" ht="15" customHeight="1" x14ac:dyDescent="0.25">
      <c r="A12" s="164"/>
      <c r="B12" s="169" t="s">
        <v>47</v>
      </c>
      <c r="C12" s="177">
        <v>1296</v>
      </c>
      <c r="D12" s="173">
        <v>32.722000000000001</v>
      </c>
      <c r="E12" s="80">
        <f t="shared" si="1"/>
        <v>7.4268139258775743E-3</v>
      </c>
      <c r="H12" s="139">
        <f>+SUM(H5:H11)</f>
        <v>55794</v>
      </c>
      <c r="I12" s="142">
        <f>+SUM(I5:I11)</f>
        <v>53845.368000000002</v>
      </c>
      <c r="J12" s="140">
        <f t="shared" si="0"/>
        <v>0.96507452414238093</v>
      </c>
    </row>
    <row r="13" spans="1:10" ht="15" customHeight="1" x14ac:dyDescent="0.25">
      <c r="A13" s="164"/>
      <c r="B13" s="169" t="s">
        <v>100</v>
      </c>
      <c r="C13" s="177">
        <v>144</v>
      </c>
      <c r="D13" s="173">
        <v>3.633</v>
      </c>
      <c r="E13" s="80">
        <f t="shared" si="1"/>
        <v>8.2457108345190475E-4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50</v>
      </c>
      <c r="C14" s="177">
        <v>1224</v>
      </c>
      <c r="D14" s="173">
        <v>30.827999999999999</v>
      </c>
      <c r="E14" s="80">
        <f t="shared" si="1"/>
        <v>6.9969384422392837E-3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44</v>
      </c>
      <c r="C15" s="177">
        <v>22</v>
      </c>
      <c r="D15" s="173">
        <v>33.07</v>
      </c>
      <c r="E15" s="80">
        <f t="shared" si="1"/>
        <v>7.5057984392387809E-3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39</v>
      </c>
      <c r="C16" s="177">
        <v>64</v>
      </c>
      <c r="D16" s="173">
        <v>96.41</v>
      </c>
      <c r="E16" s="80">
        <f t="shared" si="1"/>
        <v>2.1881887738948013E-2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65</v>
      </c>
      <c r="D17" s="173">
        <v>97.87</v>
      </c>
      <c r="E17" s="80">
        <f t="shared" si="1"/>
        <v>2.2213259547877215E-2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45</v>
      </c>
      <c r="C18" s="177">
        <v>48</v>
      </c>
      <c r="D18" s="173">
        <v>72.19</v>
      </c>
      <c r="E18" s="80">
        <f t="shared" si="1"/>
        <v>1.6384747182601984E-2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41</v>
      </c>
      <c r="C19" s="177">
        <v>126</v>
      </c>
      <c r="D19" s="173">
        <v>189.76</v>
      </c>
      <c r="E19" s="80">
        <f t="shared" si="1"/>
        <v>4.3069256481099209E-2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88</v>
      </c>
      <c r="C20" s="177">
        <v>20</v>
      </c>
      <c r="D20" s="173">
        <v>30.13</v>
      </c>
      <c r="E20" s="80">
        <f>+D20/$D$4</f>
        <v>6.8385154815320363E-3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85</v>
      </c>
      <c r="C21" s="177">
        <v>290</v>
      </c>
      <c r="D21" s="173">
        <v>437.11000000000007</v>
      </c>
      <c r="E21" s="80">
        <f t="shared" si="1"/>
        <v>9.9209542055508429E-2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x14ac:dyDescent="0.25">
      <c r="A22" s="164"/>
      <c r="B22" s="169" t="s">
        <v>40</v>
      </c>
      <c r="C22" s="177"/>
      <c r="D22" s="173">
        <v>370.97</v>
      </c>
      <c r="E22" s="80">
        <f t="shared" si="1"/>
        <v>8.4197945177030858E-2</v>
      </c>
      <c r="F22" s="112" t="s">
        <v>160</v>
      </c>
      <c r="G22" s="272">
        <v>231021.16800000001</v>
      </c>
      <c r="H22" s="272">
        <f>+D27</f>
        <v>163739.622</v>
      </c>
      <c r="I22" s="98">
        <f t="shared" si="2"/>
        <v>0.70876458385839347</v>
      </c>
    </row>
    <row r="23" spans="1:10" ht="15" customHeight="1" x14ac:dyDescent="0.25">
      <c r="B23" s="169" t="s">
        <v>184</v>
      </c>
      <c r="C23" s="177"/>
      <c r="D23" s="173">
        <v>30.2</v>
      </c>
      <c r="E23" s="80">
        <f t="shared" si="1"/>
        <v>6.8544031710012446E-3</v>
      </c>
      <c r="F23" s="112" t="s">
        <v>161</v>
      </c>
      <c r="G23" s="112"/>
      <c r="H23" s="112"/>
    </row>
    <row r="24" spans="1:10" ht="15" customHeight="1" x14ac:dyDescent="0.25">
      <c r="B24" s="169" t="s">
        <v>9</v>
      </c>
      <c r="C24" s="177"/>
      <c r="D24" s="173">
        <v>60.89</v>
      </c>
      <c r="E24" s="80">
        <f t="shared" si="1"/>
        <v>1.3820020168286947E-2</v>
      </c>
      <c r="G24" s="273">
        <f>+SUM(G14:G22)</f>
        <v>1884683.6730000002</v>
      </c>
      <c r="H24" s="273">
        <f>+SUM(H14:H22)</f>
        <v>1806434.5349999997</v>
      </c>
      <c r="I24" s="274">
        <f>+H24/G24</f>
        <v>0.9584815536309893</v>
      </c>
      <c r="J24" s="275">
        <f>+H24-G24</f>
        <v>-78249.138000000501</v>
      </c>
    </row>
    <row r="25" spans="1:10" ht="15" customHeight="1" thickBot="1" x14ac:dyDescent="0.3">
      <c r="B25" s="169" t="s">
        <v>46</v>
      </c>
      <c r="C25" s="177"/>
      <c r="D25" s="173">
        <v>28.55</v>
      </c>
      <c r="E25" s="80">
        <f t="shared" si="1"/>
        <v>6.4799076335127666E-3</v>
      </c>
    </row>
    <row r="26" spans="1:10" ht="15" customHeight="1" thickBot="1" x14ac:dyDescent="0.3">
      <c r="B26" s="178" t="s">
        <v>0</v>
      </c>
      <c r="C26" s="170"/>
      <c r="D26" s="171">
        <f>SUM(D5:D25)</f>
        <v>4405.9269999999997</v>
      </c>
    </row>
    <row r="27" spans="1:10" ht="15" customHeight="1" thickBot="1" x14ac:dyDescent="0.3">
      <c r="B27" s="166" t="s">
        <v>1</v>
      </c>
      <c r="C27" s="167"/>
      <c r="D27" s="233">
        <v>163739.622</v>
      </c>
      <c r="E27" s="294">
        <f>+D27/E2</f>
        <v>0.70683448448534869</v>
      </c>
      <c r="F27" s="299"/>
    </row>
    <row r="28" spans="1:10" x14ac:dyDescent="0.25">
      <c r="D28" s="108">
        <f>+(E2/30)*21</f>
        <v>162156.4</v>
      </c>
      <c r="E28" s="98">
        <f>+D28/E2</f>
        <v>0.7</v>
      </c>
    </row>
    <row r="29" spans="1:10" ht="15" customHeight="1" x14ac:dyDescent="0.25">
      <c r="D29" s="138">
        <f>+D27-D28</f>
        <v>1583.2220000000088</v>
      </c>
      <c r="E29" s="251">
        <f>E27-E28</f>
        <v>6.8344844853487352E-3</v>
      </c>
    </row>
    <row r="30" spans="1:10" x14ac:dyDescent="0.25">
      <c r="G30" s="300" t="s">
        <v>190</v>
      </c>
      <c r="H30" s="87">
        <v>693</v>
      </c>
      <c r="I30" s="88">
        <v>1039.5</v>
      </c>
    </row>
    <row r="31" spans="1:10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</row>
    <row r="32" spans="1:10" ht="15" customHeight="1" x14ac:dyDescent="0.25">
      <c r="B32" s="162" t="s">
        <v>61</v>
      </c>
      <c r="C32" s="162">
        <v>1848</v>
      </c>
      <c r="D32" s="108">
        <v>2142</v>
      </c>
      <c r="E32" s="57">
        <f>+C32/D32</f>
        <v>0.86274509803921573</v>
      </c>
      <c r="G32" s="86" t="s">
        <v>86</v>
      </c>
      <c r="H32" s="87">
        <v>12398</v>
      </c>
      <c r="I32" s="88">
        <v>309.95000000000005</v>
      </c>
      <c r="J32" s="224" t="s">
        <v>187</v>
      </c>
    </row>
    <row r="33" spans="1:11" ht="15" customHeight="1" x14ac:dyDescent="0.25">
      <c r="B33" s="162" t="s">
        <v>62</v>
      </c>
      <c r="C33" s="162">
        <v>2103</v>
      </c>
      <c r="D33" s="108">
        <v>1890</v>
      </c>
      <c r="E33" s="57">
        <f>+C33/D33</f>
        <v>1.1126984126984127</v>
      </c>
      <c r="G33" s="86" t="s">
        <v>171</v>
      </c>
      <c r="H33" s="87">
        <v>13</v>
      </c>
      <c r="I33" s="88">
        <v>0.32500000000000001</v>
      </c>
      <c r="J33" s="297" t="s">
        <v>188</v>
      </c>
    </row>
    <row r="34" spans="1:11" ht="15" customHeight="1" x14ac:dyDescent="0.25">
      <c r="B34" s="162" t="s">
        <v>63</v>
      </c>
      <c r="C34" s="67">
        <v>2770</v>
      </c>
      <c r="D34" s="108">
        <v>3006</v>
      </c>
      <c r="E34" s="57">
        <f>+C34/D34</f>
        <v>0.92149035262807721</v>
      </c>
      <c r="G34" s="89" t="s">
        <v>169</v>
      </c>
      <c r="H34" s="87">
        <v>355</v>
      </c>
      <c r="I34" s="88">
        <v>532.5</v>
      </c>
      <c r="J34" s="298">
        <f>+I34+I32</f>
        <v>842.45</v>
      </c>
      <c r="K34" s="215" t="s">
        <v>191</v>
      </c>
    </row>
    <row r="35" spans="1:11" x14ac:dyDescent="0.25">
      <c r="C35" s="162">
        <f>+SUM(C32:C34)</f>
        <v>6721</v>
      </c>
      <c r="D35" s="110">
        <f>+SUM(D32:D34)</f>
        <v>7038</v>
      </c>
      <c r="E35" s="57">
        <f>+C35/D35</f>
        <v>0.95495879511224779</v>
      </c>
      <c r="G35" s="89" t="s">
        <v>168</v>
      </c>
      <c r="H35" s="87">
        <v>154</v>
      </c>
      <c r="I35" s="88">
        <v>231</v>
      </c>
      <c r="J35" s="228" t="s">
        <v>193</v>
      </c>
    </row>
    <row r="36" spans="1:11" ht="15" customHeight="1" x14ac:dyDescent="0.25">
      <c r="G36" s="231" t="s">
        <v>123</v>
      </c>
      <c r="H36" s="138">
        <v>231</v>
      </c>
      <c r="I36" s="232">
        <v>346.5</v>
      </c>
      <c r="J36" s="218" t="s">
        <v>146</v>
      </c>
    </row>
    <row r="37" spans="1:1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219</v>
      </c>
      <c r="I38" s="88">
        <f>+H38*1.5</f>
        <v>328.5</v>
      </c>
      <c r="J38" s="224" t="s">
        <v>152</v>
      </c>
    </row>
    <row r="39" spans="1:11" x14ac:dyDescent="0.25">
      <c r="B39" s="73">
        <v>8</v>
      </c>
      <c r="C39" s="74">
        <v>0</v>
      </c>
      <c r="D39" s="74">
        <v>0</v>
      </c>
      <c r="E39" s="75">
        <f>+SUM(B39:D39)</f>
        <v>8</v>
      </c>
      <c r="J39" s="218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</row>
    <row r="42" spans="1:11" x14ac:dyDescent="0.25">
      <c r="A42" s="207" t="s">
        <v>70</v>
      </c>
      <c r="B42" s="199">
        <v>4.0999999999999996</v>
      </c>
      <c r="C42" s="199">
        <v>1164</v>
      </c>
      <c r="D42" s="200">
        <v>2400</v>
      </c>
      <c r="E42" s="201">
        <f t="shared" ref="E42:E47" si="3">+C42/D42</f>
        <v>0.48499999999999999</v>
      </c>
      <c r="F42" s="201">
        <f t="shared" ref="F42:F47" si="4">+B42/24</f>
        <v>0.17083333333333331</v>
      </c>
      <c r="G42" s="202">
        <v>7</v>
      </c>
      <c r="H42" s="144" t="s">
        <v>121</v>
      </c>
      <c r="I42" s="220" t="s">
        <v>149</v>
      </c>
      <c r="J42" s="218" t="s">
        <v>146</v>
      </c>
    </row>
    <row r="43" spans="1:11" x14ac:dyDescent="0.25">
      <c r="A43" s="207" t="s">
        <v>71</v>
      </c>
      <c r="B43" s="199">
        <v>5.91</v>
      </c>
      <c r="C43" s="199">
        <v>1458</v>
      </c>
      <c r="D43" s="200">
        <v>3600</v>
      </c>
      <c r="E43" s="201">
        <f t="shared" si="3"/>
        <v>0.40500000000000003</v>
      </c>
      <c r="F43" s="201">
        <f t="shared" si="4"/>
        <v>0.24625</v>
      </c>
      <c r="G43" s="202">
        <v>12</v>
      </c>
      <c r="H43" s="71"/>
    </row>
    <row r="44" spans="1:11" x14ac:dyDescent="0.25">
      <c r="A44" s="207" t="s">
        <v>72</v>
      </c>
      <c r="B44" s="199">
        <v>7.31</v>
      </c>
      <c r="C44" s="199">
        <v>1299</v>
      </c>
      <c r="D44" s="200">
        <v>3900</v>
      </c>
      <c r="E44" s="201">
        <f t="shared" si="3"/>
        <v>0.3330769230769231</v>
      </c>
      <c r="F44" s="201">
        <f t="shared" si="4"/>
        <v>0.30458333333333332</v>
      </c>
      <c r="G44" s="202">
        <v>12</v>
      </c>
      <c r="H44" s="237" t="s">
        <v>167</v>
      </c>
      <c r="J44" s="162" t="s">
        <v>177</v>
      </c>
    </row>
    <row r="45" spans="1:11" x14ac:dyDescent="0.25">
      <c r="A45" s="207" t="s">
        <v>73</v>
      </c>
      <c r="B45" s="199">
        <v>9.68</v>
      </c>
      <c r="C45" s="199">
        <v>2285</v>
      </c>
      <c r="D45" s="200">
        <v>3900</v>
      </c>
      <c r="E45" s="201">
        <f t="shared" si="3"/>
        <v>0.58589743589743593</v>
      </c>
      <c r="F45" s="201">
        <f t="shared" si="4"/>
        <v>0.40333333333333332</v>
      </c>
      <c r="G45" s="202">
        <v>12</v>
      </c>
      <c r="H45" s="279">
        <v>45920</v>
      </c>
      <c r="I45" s="162" t="s">
        <v>192</v>
      </c>
      <c r="J45" s="162">
        <f>64-16</f>
        <v>48</v>
      </c>
      <c r="K45" s="215" t="s">
        <v>189</v>
      </c>
    </row>
    <row r="46" spans="1:11" x14ac:dyDescent="0.25">
      <c r="A46" s="207" t="s">
        <v>74</v>
      </c>
      <c r="B46" s="199">
        <v>8.5399999999999991</v>
      </c>
      <c r="C46" s="199">
        <v>2600</v>
      </c>
      <c r="D46" s="200">
        <v>3900</v>
      </c>
      <c r="E46" s="201">
        <f t="shared" si="3"/>
        <v>0.66666666666666663</v>
      </c>
      <c r="F46" s="201">
        <f t="shared" si="4"/>
        <v>0.35583333333333328</v>
      </c>
      <c r="G46" s="202">
        <v>12</v>
      </c>
      <c r="H46" s="279">
        <v>45920</v>
      </c>
      <c r="I46" s="162" t="s">
        <v>176</v>
      </c>
      <c r="J46" s="162">
        <v>206</v>
      </c>
    </row>
    <row r="47" spans="1:11" x14ac:dyDescent="0.25">
      <c r="A47" s="259" t="s">
        <v>75</v>
      </c>
      <c r="B47" s="260">
        <v>13.15</v>
      </c>
      <c r="C47" s="261">
        <v>1970</v>
      </c>
      <c r="D47" s="262">
        <v>4300</v>
      </c>
      <c r="E47" s="263">
        <f t="shared" si="3"/>
        <v>0.45813953488372094</v>
      </c>
      <c r="F47" s="201">
        <f t="shared" si="4"/>
        <v>0.54791666666666672</v>
      </c>
      <c r="G47" s="202">
        <v>16</v>
      </c>
      <c r="H47" s="279">
        <v>45921</v>
      </c>
      <c r="I47" s="162" t="s">
        <v>175</v>
      </c>
      <c r="J47" s="162">
        <v>159</v>
      </c>
    </row>
    <row r="48" spans="1:11" x14ac:dyDescent="0.25">
      <c r="C48" s="71" t="s">
        <v>83</v>
      </c>
      <c r="D48" s="72" t="s">
        <v>79</v>
      </c>
      <c r="H48" s="279">
        <v>45921</v>
      </c>
      <c r="I48" s="162" t="s">
        <v>176</v>
      </c>
      <c r="J48" s="162">
        <v>221</v>
      </c>
    </row>
    <row r="49" spans="2:11" x14ac:dyDescent="0.25">
      <c r="B49" s="162" t="s">
        <v>78</v>
      </c>
      <c r="H49" s="71"/>
      <c r="J49" s="66">
        <f>+SUM(J45:J48)</f>
        <v>634</v>
      </c>
      <c r="K49" s="198">
        <f>+J49*1.5</f>
        <v>951</v>
      </c>
    </row>
    <row r="50" spans="2:11" x14ac:dyDescent="0.25">
      <c r="C50" s="71">
        <v>1</v>
      </c>
      <c r="D50" s="225" t="s">
        <v>153</v>
      </c>
      <c r="H50" s="71"/>
    </row>
    <row r="51" spans="2:11" x14ac:dyDescent="0.25">
      <c r="C51" s="71">
        <v>2</v>
      </c>
      <c r="D51" s="225" t="s">
        <v>153</v>
      </c>
      <c r="H51" s="71"/>
    </row>
    <row r="52" spans="2:11" x14ac:dyDescent="0.25">
      <c r="C52" s="71">
        <v>3</v>
      </c>
      <c r="D52" s="225" t="s">
        <v>154</v>
      </c>
      <c r="H52" s="71"/>
    </row>
    <row r="53" spans="2:11" x14ac:dyDescent="0.25">
      <c r="C53" s="71">
        <v>4</v>
      </c>
      <c r="D53" s="108">
        <v>0</v>
      </c>
      <c r="H53" s="71"/>
    </row>
    <row r="54" spans="2:11" x14ac:dyDescent="0.25">
      <c r="C54" s="71">
        <v>5</v>
      </c>
      <c r="D54" s="108">
        <v>0</v>
      </c>
    </row>
    <row r="55" spans="2:11" x14ac:dyDescent="0.25">
      <c r="C55" s="71">
        <v>6</v>
      </c>
      <c r="D55" s="108">
        <v>5</v>
      </c>
    </row>
    <row r="56" spans="2:11" x14ac:dyDescent="0.25">
      <c r="C56" s="71">
        <v>7</v>
      </c>
      <c r="D56" s="225" t="s">
        <v>153</v>
      </c>
    </row>
    <row r="57" spans="2:11" x14ac:dyDescent="0.25">
      <c r="C57" s="71">
        <v>8</v>
      </c>
      <c r="D57" s="225" t="s">
        <v>153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D31" sqref="D31"/>
    </sheetView>
  </sheetViews>
  <sheetFormatPr baseColWidth="10" defaultColWidth="11.42578125" defaultRowHeight="15.75" x14ac:dyDescent="0.25"/>
  <cols>
    <col min="1" max="1" width="2.42578125" style="162" customWidth="1"/>
    <col min="2" max="2" width="38.42578125" style="162" customWidth="1"/>
    <col min="3" max="3" width="15.28515625" style="162" customWidth="1"/>
    <col min="4" max="4" width="15.85546875" style="163" bestFit="1" customWidth="1"/>
    <col min="5" max="5" width="18.140625" style="162" customWidth="1"/>
    <col min="6" max="6" width="19.42578125" style="162" bestFit="1" customWidth="1"/>
    <col min="7" max="10" width="11.42578125" style="162"/>
    <col min="11" max="11" width="8.42578125" style="162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160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296"/>
      <c r="C4" s="296"/>
      <c r="D4" s="165">
        <f>D22</f>
        <v>6493.1699999999992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3940</v>
      </c>
      <c r="D5" s="172">
        <v>168.22199999999998</v>
      </c>
      <c r="E5" s="80">
        <f>+D5/$D$4</f>
        <v>2.5907530528231974E-2</v>
      </c>
      <c r="F5" s="58" t="s">
        <v>51</v>
      </c>
      <c r="G5" s="59">
        <v>45922</v>
      </c>
      <c r="H5" s="190">
        <v>6965</v>
      </c>
      <c r="I5" s="141">
        <v>6493.1699999999992</v>
      </c>
      <c r="J5" s="60">
        <f t="shared" ref="J5:J12" si="0">+I5/H5</f>
        <v>0.9322569992821248</v>
      </c>
    </row>
    <row r="6" spans="1:10" ht="15" customHeight="1" x14ac:dyDescent="0.25">
      <c r="A6" s="164"/>
      <c r="B6" s="169" t="s">
        <v>10</v>
      </c>
      <c r="C6" s="177">
        <v>16760</v>
      </c>
      <c r="D6" s="173">
        <v>714.32000000000016</v>
      </c>
      <c r="E6" s="80">
        <f t="shared" ref="E6:E22" si="1">+D6/$D$4</f>
        <v>0.11001098076902349</v>
      </c>
      <c r="F6" s="58" t="s">
        <v>52</v>
      </c>
      <c r="G6" s="59">
        <v>45923</v>
      </c>
      <c r="H6" s="190">
        <v>8840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12337</v>
      </c>
      <c r="D7" s="173">
        <v>525.14</v>
      </c>
      <c r="E7" s="80">
        <f t="shared" si="1"/>
        <v>8.0875750981415861E-2</v>
      </c>
      <c r="F7" s="58" t="s">
        <v>53</v>
      </c>
      <c r="G7" s="59">
        <v>45924</v>
      </c>
      <c r="H7" s="190">
        <v>8567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6370</v>
      </c>
      <c r="D8" s="173">
        <v>272.02999999999997</v>
      </c>
      <c r="E8" s="80">
        <f t="shared" si="1"/>
        <v>4.1894790988069003E-2</v>
      </c>
      <c r="F8" s="58" t="s">
        <v>54</v>
      </c>
      <c r="G8" s="59">
        <v>45925</v>
      </c>
      <c r="H8" s="190">
        <v>9143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19610</v>
      </c>
      <c r="D9" s="173">
        <v>836.53</v>
      </c>
      <c r="E9" s="245">
        <f t="shared" si="1"/>
        <v>0.12883229608958338</v>
      </c>
      <c r="F9" s="58" t="s">
        <v>55</v>
      </c>
      <c r="G9" s="59">
        <v>45926</v>
      </c>
      <c r="H9" s="190">
        <v>9378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44012</v>
      </c>
      <c r="D10" s="173">
        <v>1877.1899999999998</v>
      </c>
      <c r="E10" s="245">
        <f t="shared" si="1"/>
        <v>0.28910224127814305</v>
      </c>
      <c r="F10" s="58" t="s">
        <v>56</v>
      </c>
      <c r="G10" s="59">
        <v>45927</v>
      </c>
      <c r="H10" s="190">
        <v>6559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7850</v>
      </c>
      <c r="D11" s="173">
        <v>335.51799999999997</v>
      </c>
      <c r="E11" s="80">
        <f t="shared" si="1"/>
        <v>5.1672449666341713E-2</v>
      </c>
      <c r="F11" s="58" t="s">
        <v>57</v>
      </c>
      <c r="G11" s="59">
        <v>45928</v>
      </c>
      <c r="H11" s="190">
        <v>4560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44</v>
      </c>
      <c r="C12" s="177">
        <v>21</v>
      </c>
      <c r="D12" s="173">
        <v>31.75</v>
      </c>
      <c r="E12" s="80">
        <f t="shared" si="1"/>
        <v>4.8897533870205156E-3</v>
      </c>
      <c r="H12" s="139">
        <f>+SUM(H5:H11)</f>
        <v>54012</v>
      </c>
      <c r="I12" s="142">
        <f>+SUM(I5:I11)</f>
        <v>6493.1699999999992</v>
      </c>
      <c r="J12" s="140">
        <f t="shared" si="0"/>
        <v>0.12021717396134191</v>
      </c>
    </row>
    <row r="13" spans="1:10" ht="15" customHeight="1" x14ac:dyDescent="0.25">
      <c r="A13" s="164"/>
      <c r="B13" s="169" t="s">
        <v>39</v>
      </c>
      <c r="C13" s="177">
        <v>519</v>
      </c>
      <c r="D13" s="173">
        <v>783.3399999999998</v>
      </c>
      <c r="E13" s="80">
        <f t="shared" si="1"/>
        <v>0.12064061159649292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22</v>
      </c>
      <c r="D14" s="173">
        <v>33.229999999999997</v>
      </c>
      <c r="E14" s="80">
        <f t="shared" si="1"/>
        <v>5.117685198446984E-3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85</v>
      </c>
      <c r="C15" s="177">
        <v>135</v>
      </c>
      <c r="D15" s="173">
        <v>203.53000000000003</v>
      </c>
      <c r="E15" s="80">
        <f t="shared" si="1"/>
        <v>3.1345244310560183E-2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21</v>
      </c>
      <c r="D16" s="173">
        <v>31.63</v>
      </c>
      <c r="E16" s="80">
        <f t="shared" si="1"/>
        <v>4.8712724293372891E-3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84</v>
      </c>
      <c r="C17" s="177">
        <v>40</v>
      </c>
      <c r="D17" s="173">
        <v>60.34</v>
      </c>
      <c r="E17" s="80">
        <f t="shared" si="1"/>
        <v>9.2928415550493845E-3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41</v>
      </c>
      <c r="C18" s="177">
        <v>108</v>
      </c>
      <c r="D18" s="173">
        <v>162.69</v>
      </c>
      <c r="E18" s="80">
        <f t="shared" si="1"/>
        <v>2.5055558379035205E-2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88</v>
      </c>
      <c r="C19" s="177">
        <v>20</v>
      </c>
      <c r="D19" s="173">
        <v>30.29</v>
      </c>
      <c r="E19" s="80">
        <f t="shared" si="1"/>
        <v>4.6649017352079188E-3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40</v>
      </c>
      <c r="C20" s="177"/>
      <c r="D20" s="173">
        <v>306.39999999999992</v>
      </c>
      <c r="E20" s="80">
        <f>+D20/$D$4</f>
        <v>4.7188045284506638E-2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thickBot="1" x14ac:dyDescent="0.3">
      <c r="A21" s="164"/>
      <c r="B21" s="169" t="s">
        <v>9</v>
      </c>
      <c r="C21" s="177"/>
      <c r="D21" s="173">
        <v>121.02000000000001</v>
      </c>
      <c r="E21" s="80">
        <f t="shared" si="1"/>
        <v>1.863804582353458E-2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B22" s="178" t="s">
        <v>0</v>
      </c>
      <c r="C22" s="170"/>
      <c r="D22" s="171">
        <f>SUM(D5:D21)</f>
        <v>6493.1699999999992</v>
      </c>
      <c r="E22" s="80">
        <f t="shared" si="1"/>
        <v>1</v>
      </c>
      <c r="F22" s="112" t="s">
        <v>160</v>
      </c>
      <c r="G22" s="272">
        <v>231021.16800000001</v>
      </c>
      <c r="H22" s="272">
        <f>+D23</f>
        <v>170232.79199999993</v>
      </c>
      <c r="I22" s="98">
        <f t="shared" si="2"/>
        <v>0.73687096933039453</v>
      </c>
    </row>
    <row r="23" spans="1:11" ht="15" customHeight="1" thickBot="1" x14ac:dyDescent="0.3">
      <c r="B23" s="166" t="s">
        <v>1</v>
      </c>
      <c r="C23" s="167"/>
      <c r="D23" s="233">
        <v>170232.79199999993</v>
      </c>
      <c r="E23" s="294">
        <f>+D23/E2</f>
        <v>0.7348643309792271</v>
      </c>
      <c r="F23" s="112" t="s">
        <v>161</v>
      </c>
      <c r="G23" s="112"/>
      <c r="H23" s="112"/>
    </row>
    <row r="24" spans="1:11" x14ac:dyDescent="0.25">
      <c r="E24" s="80"/>
      <c r="G24" s="273">
        <f>+SUM(G14:G22)</f>
        <v>1884683.6730000002</v>
      </c>
      <c r="H24" s="273">
        <f>+SUM(H14:H22)</f>
        <v>1812927.7049999996</v>
      </c>
      <c r="I24" s="274">
        <f>+H24/G24</f>
        <v>0.96192678430445522</v>
      </c>
      <c r="J24" s="275">
        <f>+H24-G24</f>
        <v>-71755.968000000576</v>
      </c>
    </row>
    <row r="25" spans="1:11" ht="15" customHeight="1" x14ac:dyDescent="0.25">
      <c r="D25" s="108">
        <f>+(E2/30)*22</f>
        <v>169878.13333333333</v>
      </c>
      <c r="E25" s="98">
        <f>+D25/E2</f>
        <v>0.73333333333333328</v>
      </c>
      <c r="K25" s="215"/>
    </row>
    <row r="26" spans="1:11" x14ac:dyDescent="0.25">
      <c r="D26" s="138">
        <f>+D23-D25</f>
        <v>354.65866666659713</v>
      </c>
      <c r="E26" s="251">
        <f>E23-E25</f>
        <v>1.5309976458938168E-3</v>
      </c>
      <c r="K26" s="215"/>
    </row>
    <row r="27" spans="1:11" x14ac:dyDescent="0.25">
      <c r="G27" s="300" t="s">
        <v>190</v>
      </c>
      <c r="H27" s="87">
        <v>693</v>
      </c>
      <c r="I27" s="88">
        <v>1039.5</v>
      </c>
      <c r="K27" s="215"/>
    </row>
    <row r="28" spans="1:11" ht="15" customHeight="1" x14ac:dyDescent="0.25">
      <c r="B28" s="66" t="s">
        <v>60</v>
      </c>
      <c r="D28" s="109" t="s">
        <v>105</v>
      </c>
      <c r="E28" s="109" t="s">
        <v>80</v>
      </c>
      <c r="G28" s="163"/>
      <c r="H28" s="237" t="s">
        <v>157</v>
      </c>
      <c r="I28" s="237" t="s">
        <v>92</v>
      </c>
      <c r="J28" s="71"/>
      <c r="K28" s="215"/>
    </row>
    <row r="29" spans="1:11" ht="15" customHeight="1" x14ac:dyDescent="0.25">
      <c r="B29" s="162" t="s">
        <v>61</v>
      </c>
      <c r="C29" s="162">
        <v>1600</v>
      </c>
      <c r="D29" s="108">
        <v>2142</v>
      </c>
      <c r="E29" s="57">
        <f>+C29/D29</f>
        <v>0.7469654528478058</v>
      </c>
      <c r="G29" s="86" t="s">
        <v>86</v>
      </c>
      <c r="H29" s="87">
        <v>12398</v>
      </c>
      <c r="I29" s="88">
        <v>309.95000000000005</v>
      </c>
      <c r="J29" s="224" t="s">
        <v>187</v>
      </c>
      <c r="K29" s="215"/>
    </row>
    <row r="30" spans="1:11" ht="15" customHeight="1" x14ac:dyDescent="0.25">
      <c r="B30" s="162" t="s">
        <v>62</v>
      </c>
      <c r="C30" s="162">
        <v>1261</v>
      </c>
      <c r="D30" s="108">
        <v>1890</v>
      </c>
      <c r="E30" s="57">
        <f>+C30/D30</f>
        <v>0.66719576719576723</v>
      </c>
      <c r="G30" s="86" t="s">
        <v>171</v>
      </c>
      <c r="H30" s="87">
        <v>13</v>
      </c>
      <c r="I30" s="88">
        <v>0.32500000000000001</v>
      </c>
      <c r="J30" s="297" t="s">
        <v>188</v>
      </c>
      <c r="K30" s="215"/>
    </row>
    <row r="31" spans="1:11" x14ac:dyDescent="0.25">
      <c r="B31" s="162" t="s">
        <v>63</v>
      </c>
      <c r="C31" s="67">
        <v>2662</v>
      </c>
      <c r="D31" s="108">
        <v>3006</v>
      </c>
      <c r="E31" s="57">
        <f>+C31/D31</f>
        <v>0.8855622089155023</v>
      </c>
      <c r="G31" s="89" t="s">
        <v>169</v>
      </c>
      <c r="H31" s="87">
        <v>330</v>
      </c>
      <c r="I31" s="88">
        <v>495</v>
      </c>
      <c r="J31" s="298">
        <f>+I31+I29</f>
        <v>804.95</v>
      </c>
      <c r="K31" s="215" t="s">
        <v>191</v>
      </c>
    </row>
    <row r="32" spans="1:11" ht="15" customHeight="1" x14ac:dyDescent="0.25">
      <c r="C32" s="162">
        <f>+SUM(C29:C31)</f>
        <v>5523</v>
      </c>
      <c r="D32" s="110">
        <f>+SUM(D29:D31)</f>
        <v>7038</v>
      </c>
      <c r="E32" s="57">
        <f>+C32/D32</f>
        <v>0.7847399829497016</v>
      </c>
      <c r="G32" s="89" t="s">
        <v>168</v>
      </c>
      <c r="H32" s="87">
        <v>154</v>
      </c>
      <c r="I32" s="88">
        <v>231</v>
      </c>
      <c r="J32" s="228" t="s">
        <v>193</v>
      </c>
      <c r="K32" s="215"/>
    </row>
    <row r="33" spans="1:11" x14ac:dyDescent="0.25">
      <c r="G33" s="231" t="s">
        <v>123</v>
      </c>
      <c r="H33" s="138">
        <v>231</v>
      </c>
      <c r="I33" s="232">
        <v>346.5</v>
      </c>
      <c r="J33" s="218" t="s">
        <v>146</v>
      </c>
      <c r="K33" s="215"/>
    </row>
    <row r="34" spans="1:11" ht="15" customHeight="1" x14ac:dyDescent="0.25">
      <c r="B34" s="162" t="s">
        <v>66</v>
      </c>
      <c r="D34" s="162"/>
      <c r="G34" s="89" t="s">
        <v>170</v>
      </c>
      <c r="H34" s="87">
        <v>22</v>
      </c>
      <c r="I34" s="88">
        <v>33</v>
      </c>
      <c r="J34" s="218" t="s">
        <v>146</v>
      </c>
      <c r="K34" s="215"/>
    </row>
    <row r="35" spans="1:11" x14ac:dyDescent="0.25">
      <c r="B35" s="76" t="s">
        <v>67</v>
      </c>
      <c r="C35" s="77" t="s">
        <v>68</v>
      </c>
      <c r="D35" s="78" t="s">
        <v>69</v>
      </c>
      <c r="E35" s="79" t="s">
        <v>33</v>
      </c>
      <c r="G35" s="89" t="s">
        <v>107</v>
      </c>
      <c r="H35" s="87">
        <v>219</v>
      </c>
      <c r="I35" s="88">
        <f>+H35*1.5</f>
        <v>328.5</v>
      </c>
      <c r="J35" s="224" t="s">
        <v>152</v>
      </c>
      <c r="K35" s="215"/>
    </row>
    <row r="36" spans="1:11" x14ac:dyDescent="0.25">
      <c r="B36" s="73">
        <v>6</v>
      </c>
      <c r="C36" s="74">
        <v>1</v>
      </c>
      <c r="D36" s="74">
        <v>11</v>
      </c>
      <c r="E36" s="75">
        <f>+SUM(B36:D36)</f>
        <v>18</v>
      </c>
      <c r="J36" s="218"/>
      <c r="K36" s="215"/>
    </row>
    <row r="37" spans="1:11" x14ac:dyDescent="0.25">
      <c r="E37" s="198" t="s">
        <v>76</v>
      </c>
      <c r="F37" s="198" t="s">
        <v>137</v>
      </c>
      <c r="H37" s="144" t="s">
        <v>124</v>
      </c>
      <c r="I37" s="220" t="s">
        <v>148</v>
      </c>
      <c r="J37" s="218" t="s">
        <v>146</v>
      </c>
      <c r="K37" s="215"/>
    </row>
    <row r="38" spans="1:11" x14ac:dyDescent="0.25">
      <c r="D38" s="162"/>
      <c r="G38" s="71" t="s">
        <v>90</v>
      </c>
      <c r="H38" s="144" t="s">
        <v>120</v>
      </c>
      <c r="I38" s="145">
        <v>0</v>
      </c>
      <c r="J38" s="218"/>
      <c r="K38" s="215"/>
    </row>
    <row r="39" spans="1:11" x14ac:dyDescent="0.25">
      <c r="A39" s="207" t="s">
        <v>70</v>
      </c>
      <c r="B39" s="199">
        <v>0</v>
      </c>
      <c r="C39" s="199">
        <v>0</v>
      </c>
      <c r="D39" s="200">
        <v>2400</v>
      </c>
      <c r="E39" s="201">
        <f t="shared" ref="E39:E44" si="3">+C39/D39</f>
        <v>0</v>
      </c>
      <c r="F39" s="201">
        <f t="shared" ref="F39:F44" si="4">+B39/24</f>
        <v>0</v>
      </c>
      <c r="G39" s="202">
        <v>7</v>
      </c>
      <c r="H39" s="144" t="s">
        <v>121</v>
      </c>
      <c r="I39" s="220" t="s">
        <v>149</v>
      </c>
      <c r="J39" s="218" t="s">
        <v>146</v>
      </c>
      <c r="K39" s="215"/>
    </row>
    <row r="40" spans="1:11" x14ac:dyDescent="0.25">
      <c r="A40" s="207" t="s">
        <v>71</v>
      </c>
      <c r="B40" s="199">
        <v>10.08</v>
      </c>
      <c r="C40" s="199">
        <v>1774</v>
      </c>
      <c r="D40" s="200">
        <v>3600</v>
      </c>
      <c r="E40" s="201">
        <f t="shared" si="3"/>
        <v>0.49277777777777776</v>
      </c>
      <c r="F40" s="201">
        <f t="shared" si="4"/>
        <v>0.42</v>
      </c>
      <c r="G40" s="202">
        <v>12</v>
      </c>
      <c r="H40" s="71"/>
      <c r="K40" s="215"/>
    </row>
    <row r="41" spans="1:11" x14ac:dyDescent="0.25">
      <c r="A41" s="207" t="s">
        <v>72</v>
      </c>
      <c r="B41" s="199">
        <v>5.6</v>
      </c>
      <c r="C41" s="199">
        <v>1580</v>
      </c>
      <c r="D41" s="200">
        <v>3900</v>
      </c>
      <c r="E41" s="201">
        <f t="shared" si="3"/>
        <v>0.40512820512820513</v>
      </c>
      <c r="F41" s="201">
        <f t="shared" si="4"/>
        <v>0.23333333333333331</v>
      </c>
      <c r="G41" s="202">
        <v>12</v>
      </c>
      <c r="H41" s="237" t="s">
        <v>167</v>
      </c>
      <c r="J41" s="162" t="s">
        <v>177</v>
      </c>
      <c r="K41" s="215"/>
    </row>
    <row r="42" spans="1:11" x14ac:dyDescent="0.25">
      <c r="A42" s="207" t="s">
        <v>73</v>
      </c>
      <c r="B42" s="199">
        <v>8.8800000000000008</v>
      </c>
      <c r="C42" s="199">
        <v>2707</v>
      </c>
      <c r="D42" s="200">
        <v>3900</v>
      </c>
      <c r="E42" s="201">
        <f t="shared" si="3"/>
        <v>0.6941025641025641</v>
      </c>
      <c r="F42" s="201">
        <f t="shared" si="4"/>
        <v>0.37000000000000005</v>
      </c>
      <c r="G42" s="202">
        <v>12</v>
      </c>
      <c r="H42" s="301">
        <v>45920</v>
      </c>
      <c r="I42" s="129" t="s">
        <v>192</v>
      </c>
      <c r="J42" s="162">
        <f>64-16</f>
        <v>48</v>
      </c>
      <c r="K42" s="215" t="s">
        <v>189</v>
      </c>
    </row>
    <row r="43" spans="1:11" x14ac:dyDescent="0.25">
      <c r="A43" s="207" t="s">
        <v>74</v>
      </c>
      <c r="B43" s="199">
        <v>10.61</v>
      </c>
      <c r="C43" s="199">
        <v>2778</v>
      </c>
      <c r="D43" s="200">
        <v>3900</v>
      </c>
      <c r="E43" s="201">
        <f t="shared" si="3"/>
        <v>0.71230769230769231</v>
      </c>
      <c r="F43" s="201">
        <f t="shared" si="4"/>
        <v>0.44208333333333333</v>
      </c>
      <c r="G43" s="202">
        <v>12</v>
      </c>
      <c r="H43" s="301">
        <v>45920</v>
      </c>
      <c r="I43" s="129" t="s">
        <v>176</v>
      </c>
      <c r="J43" s="162">
        <v>206</v>
      </c>
      <c r="K43" s="215"/>
    </row>
    <row r="44" spans="1:11" x14ac:dyDescent="0.25">
      <c r="A44" s="259" t="s">
        <v>75</v>
      </c>
      <c r="B44" s="260">
        <v>8.09</v>
      </c>
      <c r="C44" s="261">
        <v>2324</v>
      </c>
      <c r="D44" s="262">
        <v>4300</v>
      </c>
      <c r="E44" s="263">
        <f t="shared" si="3"/>
        <v>0.54046511627906979</v>
      </c>
      <c r="F44" s="201">
        <f t="shared" si="4"/>
        <v>0.33708333333333335</v>
      </c>
      <c r="G44" s="202">
        <v>16</v>
      </c>
      <c r="H44" s="301">
        <v>45921</v>
      </c>
      <c r="I44" s="129" t="s">
        <v>175</v>
      </c>
      <c r="J44" s="162">
        <v>159</v>
      </c>
      <c r="K44" s="215"/>
    </row>
    <row r="45" spans="1:11" x14ac:dyDescent="0.25">
      <c r="C45" s="71" t="s">
        <v>83</v>
      </c>
      <c r="D45" s="72" t="s">
        <v>79</v>
      </c>
      <c r="H45" s="301">
        <v>45921</v>
      </c>
      <c r="I45" s="129" t="s">
        <v>176</v>
      </c>
      <c r="J45" s="162">
        <v>221</v>
      </c>
      <c r="K45" s="215"/>
    </row>
    <row r="46" spans="1:11" x14ac:dyDescent="0.25">
      <c r="B46" s="162" t="s">
        <v>78</v>
      </c>
      <c r="H46" s="71"/>
      <c r="J46" s="66">
        <f>+SUM(J42:J45)</f>
        <v>634</v>
      </c>
      <c r="K46" s="198">
        <f>+J46*1.5</f>
        <v>951</v>
      </c>
    </row>
    <row r="47" spans="1:11" x14ac:dyDescent="0.25">
      <c r="C47" s="71">
        <v>1</v>
      </c>
      <c r="D47" s="225" t="s">
        <v>153</v>
      </c>
      <c r="H47" s="71"/>
      <c r="K47" s="215"/>
    </row>
    <row r="48" spans="1:11" x14ac:dyDescent="0.25">
      <c r="C48" s="71">
        <v>2</v>
      </c>
      <c r="D48" s="225" t="s">
        <v>153</v>
      </c>
      <c r="H48" s="71"/>
      <c r="K48" s="215"/>
    </row>
    <row r="49" spans="3:11" x14ac:dyDescent="0.25">
      <c r="C49" s="71">
        <v>3</v>
      </c>
      <c r="D49" s="225" t="s">
        <v>154</v>
      </c>
      <c r="H49" s="71"/>
      <c r="K49" s="215"/>
    </row>
    <row r="50" spans="3:11" x14ac:dyDescent="0.25">
      <c r="C50" s="71">
        <v>4</v>
      </c>
      <c r="D50" s="108">
        <v>0</v>
      </c>
      <c r="H50" s="71"/>
      <c r="K50" s="215"/>
    </row>
    <row r="51" spans="3:11" x14ac:dyDescent="0.25">
      <c r="C51" s="71">
        <v>5</v>
      </c>
      <c r="D51" s="108">
        <v>5</v>
      </c>
      <c r="K51" s="215"/>
    </row>
    <row r="52" spans="3:11" x14ac:dyDescent="0.25">
      <c r="C52" s="71">
        <v>6</v>
      </c>
      <c r="D52" s="108">
        <v>3</v>
      </c>
      <c r="K52" s="215"/>
    </row>
    <row r="53" spans="3:11" x14ac:dyDescent="0.25">
      <c r="C53" s="71">
        <v>7</v>
      </c>
      <c r="D53" s="225" t="s">
        <v>153</v>
      </c>
      <c r="K53" s="215"/>
    </row>
    <row r="54" spans="3:11" x14ac:dyDescent="0.25">
      <c r="C54" s="71">
        <v>8</v>
      </c>
      <c r="D54" s="225" t="s">
        <v>153</v>
      </c>
      <c r="K54" s="215"/>
    </row>
  </sheetData>
  <protectedRanges>
    <protectedRange password="D554" sqref="I37:I3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I6" sqref="I6"/>
    </sheetView>
  </sheetViews>
  <sheetFormatPr baseColWidth="10" defaultColWidth="11.42578125" defaultRowHeight="15.75" x14ac:dyDescent="0.25"/>
  <cols>
    <col min="1" max="1" width="2.42578125" style="162" customWidth="1"/>
    <col min="2" max="2" width="35.5703125" style="162" customWidth="1"/>
    <col min="3" max="3" width="15.28515625" style="162" customWidth="1"/>
    <col min="4" max="4" width="15.28515625" style="163" customWidth="1"/>
    <col min="5" max="5" width="18.140625" style="162" customWidth="1"/>
    <col min="6" max="6" width="19.42578125" style="162" bestFit="1" customWidth="1"/>
    <col min="7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160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302"/>
      <c r="C4" s="302"/>
      <c r="D4" s="165">
        <f>D22</f>
        <v>9196.0319999999992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11560</v>
      </c>
      <c r="D5" s="172">
        <v>493.44399999999996</v>
      </c>
      <c r="E5" s="80">
        <f>+D5/$D$4</f>
        <v>5.3658360475474641E-2</v>
      </c>
      <c r="F5" s="58" t="s">
        <v>51</v>
      </c>
      <c r="G5" s="59">
        <v>45922</v>
      </c>
      <c r="H5" s="190">
        <v>6965</v>
      </c>
      <c r="I5" s="141">
        <v>6493.1699999999992</v>
      </c>
      <c r="J5" s="60">
        <f t="shared" ref="J5:J12" si="0">+I5/H5</f>
        <v>0.9322569992821248</v>
      </c>
    </row>
    <row r="6" spans="1:10" ht="15" customHeight="1" x14ac:dyDescent="0.25">
      <c r="A6" s="164"/>
      <c r="B6" s="169" t="s">
        <v>10</v>
      </c>
      <c r="C6" s="177">
        <v>15379</v>
      </c>
      <c r="D6" s="173">
        <v>656.02799999999991</v>
      </c>
      <c r="E6" s="80">
        <f t="shared" ref="E6:E22" si="1">+D6/$D$4</f>
        <v>7.1338159762819445E-2</v>
      </c>
      <c r="F6" s="58" t="s">
        <v>52</v>
      </c>
      <c r="G6" s="59">
        <v>45923</v>
      </c>
      <c r="H6" s="190">
        <v>8840</v>
      </c>
      <c r="I6" s="141">
        <v>9196.0319999999992</v>
      </c>
      <c r="J6" s="60">
        <f t="shared" si="0"/>
        <v>1.0402751131221719</v>
      </c>
    </row>
    <row r="7" spans="1:10" ht="15" customHeight="1" x14ac:dyDescent="0.25">
      <c r="A7" s="164"/>
      <c r="B7" s="169" t="s">
        <v>35</v>
      </c>
      <c r="C7" s="177">
        <v>21293</v>
      </c>
      <c r="D7" s="173">
        <v>907.09399999999982</v>
      </c>
      <c r="E7" s="80">
        <f t="shared" si="1"/>
        <v>9.8639717652135167E-2</v>
      </c>
      <c r="F7" s="58" t="s">
        <v>53</v>
      </c>
      <c r="G7" s="59">
        <v>45924</v>
      </c>
      <c r="H7" s="190">
        <v>8567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37</v>
      </c>
      <c r="C8" s="177">
        <v>45053</v>
      </c>
      <c r="D8" s="173">
        <v>1921.7320000000002</v>
      </c>
      <c r="E8" s="80">
        <f t="shared" si="1"/>
        <v>0.20897404445743559</v>
      </c>
      <c r="F8" s="58" t="s">
        <v>54</v>
      </c>
      <c r="G8" s="59">
        <v>45925</v>
      </c>
      <c r="H8" s="190">
        <v>9143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38</v>
      </c>
      <c r="C9" s="177">
        <v>51963</v>
      </c>
      <c r="D9" s="173">
        <v>2215.52</v>
      </c>
      <c r="E9" s="245">
        <f t="shared" si="1"/>
        <v>0.24092130170925896</v>
      </c>
      <c r="F9" s="58" t="s">
        <v>55</v>
      </c>
      <c r="G9" s="59">
        <v>45926</v>
      </c>
      <c r="H9" s="190">
        <v>9378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4715</v>
      </c>
      <c r="D10" s="173">
        <v>201.524</v>
      </c>
      <c r="E10" s="245">
        <f t="shared" si="1"/>
        <v>2.1914234313234231E-2</v>
      </c>
      <c r="F10" s="58" t="s">
        <v>56</v>
      </c>
      <c r="G10" s="59">
        <v>45927</v>
      </c>
      <c r="H10" s="190">
        <v>6559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44</v>
      </c>
      <c r="C11" s="177">
        <v>93</v>
      </c>
      <c r="D11" s="173">
        <v>140.45999999999998</v>
      </c>
      <c r="E11" s="80">
        <f t="shared" si="1"/>
        <v>1.5273979037915483E-2</v>
      </c>
      <c r="F11" s="58" t="s">
        <v>57</v>
      </c>
      <c r="G11" s="59">
        <v>45928</v>
      </c>
      <c r="H11" s="190">
        <v>4560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43</v>
      </c>
      <c r="C12" s="177">
        <v>205</v>
      </c>
      <c r="D12" s="173">
        <v>309.03000000000009</v>
      </c>
      <c r="E12" s="80">
        <f t="shared" si="1"/>
        <v>3.3604711249373656E-2</v>
      </c>
      <c r="H12" s="139">
        <f>+SUM(H5:H11)</f>
        <v>54012</v>
      </c>
      <c r="I12" s="142">
        <f>+SUM(I5:I11)</f>
        <v>15689.201999999997</v>
      </c>
      <c r="J12" s="140">
        <f t="shared" si="0"/>
        <v>0.29047622750499885</v>
      </c>
    </row>
    <row r="13" spans="1:10" ht="15" customHeight="1" x14ac:dyDescent="0.25">
      <c r="A13" s="164"/>
      <c r="B13" s="169" t="s">
        <v>39</v>
      </c>
      <c r="C13" s="177">
        <v>576</v>
      </c>
      <c r="D13" s="173">
        <v>869.3399999999998</v>
      </c>
      <c r="E13" s="80">
        <f t="shared" si="1"/>
        <v>9.4534251294471336E-2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49</v>
      </c>
      <c r="C14" s="177">
        <v>65</v>
      </c>
      <c r="D14" s="173">
        <v>97.59</v>
      </c>
      <c r="E14" s="80">
        <f t="shared" si="1"/>
        <v>1.0612185777517958E-2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45</v>
      </c>
      <c r="C15" s="177">
        <v>21</v>
      </c>
      <c r="D15" s="173">
        <v>31.7</v>
      </c>
      <c r="E15" s="80">
        <f t="shared" si="1"/>
        <v>3.4471389399253942E-3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41</v>
      </c>
      <c r="C16" s="177">
        <v>208</v>
      </c>
      <c r="D16" s="173">
        <v>312.76</v>
      </c>
      <c r="E16" s="80">
        <f t="shared" si="1"/>
        <v>3.4010320973219758E-2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85</v>
      </c>
      <c r="C17" s="177">
        <v>35</v>
      </c>
      <c r="D17" s="173">
        <v>52.81</v>
      </c>
      <c r="E17" s="80">
        <f t="shared" si="1"/>
        <v>5.7426942402984248E-3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118</v>
      </c>
      <c r="C18" s="177">
        <v>10</v>
      </c>
      <c r="D18" s="173">
        <v>15.09</v>
      </c>
      <c r="E18" s="80">
        <f t="shared" si="1"/>
        <v>1.6409251294471356E-3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40</v>
      </c>
      <c r="C19" s="177"/>
      <c r="D19" s="173">
        <v>731</v>
      </c>
      <c r="E19" s="80">
        <f t="shared" si="1"/>
        <v>7.9490806469572975E-2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9</v>
      </c>
      <c r="C20" s="177"/>
      <c r="D20" s="173">
        <v>152.17000000000002</v>
      </c>
      <c r="E20" s="80">
        <f>+D20/$D$4</f>
        <v>1.6547354337174993E-2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thickBot="1" x14ac:dyDescent="0.3">
      <c r="A21" s="164"/>
      <c r="B21" s="169" t="s">
        <v>46</v>
      </c>
      <c r="C21" s="177"/>
      <c r="D21" s="173">
        <v>88.74</v>
      </c>
      <c r="E21" s="80">
        <f t="shared" si="1"/>
        <v>9.6498141807249034E-3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B22" s="178" t="s">
        <v>0</v>
      </c>
      <c r="C22" s="170"/>
      <c r="D22" s="171">
        <f>SUM(D5:D21)</f>
        <v>9196.0319999999992</v>
      </c>
      <c r="E22" s="80">
        <f t="shared" si="1"/>
        <v>1</v>
      </c>
      <c r="F22" s="112" t="s">
        <v>160</v>
      </c>
      <c r="G22" s="272">
        <v>231021.16800000001</v>
      </c>
      <c r="H22" s="272">
        <f>+D23</f>
        <v>179428.82399999991</v>
      </c>
      <c r="I22" s="98">
        <f t="shared" si="2"/>
        <v>0.77667698398962259</v>
      </c>
    </row>
    <row r="23" spans="1:11" ht="15" customHeight="1" thickBot="1" x14ac:dyDescent="0.3">
      <c r="B23" s="166" t="s">
        <v>1</v>
      </c>
      <c r="C23" s="167"/>
      <c r="D23" s="233">
        <v>179428.82399999991</v>
      </c>
      <c r="E23" s="294">
        <f>+D23/E2</f>
        <v>0.77456194636782716</v>
      </c>
      <c r="F23" s="112" t="s">
        <v>161</v>
      </c>
      <c r="G23" s="112"/>
      <c r="H23" s="112"/>
    </row>
    <row r="24" spans="1:11" x14ac:dyDescent="0.25">
      <c r="E24" s="80"/>
      <c r="G24" s="273">
        <f>+SUM(G14:G22)</f>
        <v>1884683.6730000002</v>
      </c>
      <c r="H24" s="273">
        <f>+SUM(H14:H22)</f>
        <v>1822123.7369999997</v>
      </c>
      <c r="I24" s="274">
        <f>+H24/G24</f>
        <v>0.96680613468656051</v>
      </c>
      <c r="J24" s="275">
        <f>+H24-G24</f>
        <v>-62559.936000000453</v>
      </c>
    </row>
    <row r="25" spans="1:11" x14ac:dyDescent="0.25">
      <c r="D25" s="108">
        <f>+(E2/30)*23</f>
        <v>177599.86666666667</v>
      </c>
      <c r="E25" s="98">
        <f>+D25/E2</f>
        <v>0.76666666666666672</v>
      </c>
      <c r="K25" s="215"/>
    </row>
    <row r="26" spans="1:11" ht="15" customHeight="1" x14ac:dyDescent="0.25">
      <c r="D26" s="138">
        <f>+D23-D25</f>
        <v>1828.9573333332373</v>
      </c>
      <c r="E26" s="251">
        <f>E23-E25</f>
        <v>7.8952797011604403E-3</v>
      </c>
      <c r="K26" s="215"/>
    </row>
    <row r="27" spans="1:11" x14ac:dyDescent="0.25">
      <c r="G27" s="300" t="s">
        <v>190</v>
      </c>
      <c r="H27" s="87">
        <v>693</v>
      </c>
      <c r="I27" s="88">
        <v>1039.5</v>
      </c>
      <c r="K27" s="215"/>
    </row>
    <row r="28" spans="1:11" x14ac:dyDescent="0.25">
      <c r="B28" s="66" t="s">
        <v>60</v>
      </c>
      <c r="D28" s="109" t="s">
        <v>105</v>
      </c>
      <c r="E28" s="109" t="s">
        <v>80</v>
      </c>
      <c r="G28" s="163"/>
      <c r="H28" s="237" t="s">
        <v>157</v>
      </c>
      <c r="I28" s="237" t="s">
        <v>92</v>
      </c>
      <c r="J28" s="71"/>
      <c r="K28" s="215"/>
    </row>
    <row r="29" spans="1:11" ht="15" customHeight="1" x14ac:dyDescent="0.25">
      <c r="B29" s="162" t="s">
        <v>61</v>
      </c>
      <c r="C29" s="162">
        <v>1415</v>
      </c>
      <c r="D29" s="108">
        <v>2142</v>
      </c>
      <c r="E29" s="57">
        <f>+C29/D29</f>
        <v>0.66059757236227823</v>
      </c>
      <c r="G29" s="86" t="s">
        <v>86</v>
      </c>
      <c r="H29" s="87">
        <v>12398</v>
      </c>
      <c r="I29" s="88">
        <v>309.95000000000005</v>
      </c>
      <c r="J29" s="224" t="s">
        <v>187</v>
      </c>
      <c r="K29" s="215"/>
    </row>
    <row r="30" spans="1:11" ht="15" customHeight="1" x14ac:dyDescent="0.25">
      <c r="B30" s="162" t="s">
        <v>62</v>
      </c>
      <c r="C30" s="162">
        <v>1150</v>
      </c>
      <c r="D30" s="108">
        <v>1890</v>
      </c>
      <c r="E30" s="57">
        <f>+C30/D30</f>
        <v>0.60846560846560849</v>
      </c>
      <c r="G30" s="86" t="s">
        <v>171</v>
      </c>
      <c r="H30" s="87">
        <v>13</v>
      </c>
      <c r="I30" s="88">
        <v>0.32500000000000001</v>
      </c>
      <c r="J30" s="297" t="s">
        <v>188</v>
      </c>
      <c r="K30" s="215"/>
    </row>
    <row r="31" spans="1:11" ht="15" customHeight="1" x14ac:dyDescent="0.25">
      <c r="B31" s="162" t="s">
        <v>63</v>
      </c>
      <c r="C31" s="67">
        <v>1515</v>
      </c>
      <c r="D31" s="108">
        <v>3006</v>
      </c>
      <c r="E31" s="57">
        <f>+C31/D31</f>
        <v>0.50399201596806387</v>
      </c>
      <c r="G31" s="89" t="s">
        <v>169</v>
      </c>
      <c r="H31" s="87">
        <v>330</v>
      </c>
      <c r="I31" s="88">
        <v>495</v>
      </c>
      <c r="J31" s="298">
        <f>+I31+I29</f>
        <v>804.95</v>
      </c>
      <c r="K31" s="215" t="s">
        <v>191</v>
      </c>
    </row>
    <row r="32" spans="1:11" x14ac:dyDescent="0.25">
      <c r="C32" s="162">
        <f>+SUM(C29:C31)</f>
        <v>4080</v>
      </c>
      <c r="D32" s="110">
        <f>+SUM(D29:D31)</f>
        <v>7038</v>
      </c>
      <c r="E32" s="57">
        <f>+C32/D32</f>
        <v>0.57971014492753625</v>
      </c>
      <c r="G32" s="89" t="s">
        <v>168</v>
      </c>
      <c r="H32" s="87">
        <v>154</v>
      </c>
      <c r="I32" s="88">
        <v>231</v>
      </c>
      <c r="J32" s="228" t="s">
        <v>193</v>
      </c>
      <c r="K32" s="215"/>
    </row>
    <row r="33" spans="1:11" ht="15" customHeight="1" x14ac:dyDescent="0.25">
      <c r="G33" s="231" t="s">
        <v>123</v>
      </c>
      <c r="H33" s="138">
        <v>231</v>
      </c>
      <c r="I33" s="232">
        <v>346.5</v>
      </c>
      <c r="J33" s="218" t="s">
        <v>146</v>
      </c>
      <c r="K33" s="215"/>
    </row>
    <row r="34" spans="1:11" x14ac:dyDescent="0.25">
      <c r="B34" s="162" t="s">
        <v>66</v>
      </c>
      <c r="D34" s="162"/>
      <c r="G34" s="89" t="s">
        <v>170</v>
      </c>
      <c r="H34" s="87">
        <v>22</v>
      </c>
      <c r="I34" s="88">
        <v>33</v>
      </c>
      <c r="J34" s="218" t="s">
        <v>146</v>
      </c>
      <c r="K34" s="215"/>
    </row>
    <row r="35" spans="1:11" ht="15" customHeight="1" x14ac:dyDescent="0.25">
      <c r="B35" s="76" t="s">
        <v>67</v>
      </c>
      <c r="C35" s="77" t="s">
        <v>68</v>
      </c>
      <c r="D35" s="78" t="s">
        <v>69</v>
      </c>
      <c r="E35" s="79" t="s">
        <v>33</v>
      </c>
      <c r="G35" s="89" t="s">
        <v>107</v>
      </c>
      <c r="H35" s="87">
        <v>219</v>
      </c>
      <c r="I35" s="88">
        <f>+H35*1.5</f>
        <v>328.5</v>
      </c>
      <c r="J35" s="224" t="s">
        <v>152</v>
      </c>
      <c r="K35" s="215"/>
    </row>
    <row r="36" spans="1:11" x14ac:dyDescent="0.25">
      <c r="B36" s="73">
        <v>15</v>
      </c>
      <c r="C36" s="74">
        <v>2</v>
      </c>
      <c r="D36" s="74">
        <v>22</v>
      </c>
      <c r="E36" s="75">
        <f>+SUM(B36:D36)</f>
        <v>39</v>
      </c>
      <c r="J36" s="218"/>
      <c r="K36" s="215"/>
    </row>
    <row r="37" spans="1:11" x14ac:dyDescent="0.25">
      <c r="E37" s="198" t="s">
        <v>76</v>
      </c>
      <c r="F37" s="198" t="s">
        <v>137</v>
      </c>
      <c r="H37" s="144" t="s">
        <v>124</v>
      </c>
      <c r="I37" s="220" t="s">
        <v>148</v>
      </c>
      <c r="J37" s="218" t="s">
        <v>146</v>
      </c>
      <c r="K37" s="215"/>
    </row>
    <row r="38" spans="1:11" x14ac:dyDescent="0.25">
      <c r="D38" s="162"/>
      <c r="G38" s="71" t="s">
        <v>90</v>
      </c>
      <c r="H38" s="144" t="s">
        <v>120</v>
      </c>
      <c r="I38" s="145">
        <v>0</v>
      </c>
      <c r="J38" s="218"/>
      <c r="K38" s="215"/>
    </row>
    <row r="39" spans="1:11" x14ac:dyDescent="0.25">
      <c r="A39" s="207" t="s">
        <v>70</v>
      </c>
      <c r="B39" s="199">
        <v>0</v>
      </c>
      <c r="C39" s="199">
        <v>0</v>
      </c>
      <c r="D39" s="200">
        <v>2400</v>
      </c>
      <c r="E39" s="201">
        <f t="shared" ref="E39:E44" si="3">+C39/D39</f>
        <v>0</v>
      </c>
      <c r="F39" s="201">
        <f t="shared" ref="F39:F44" si="4">+B39/24</f>
        <v>0</v>
      </c>
      <c r="G39" s="202">
        <v>7</v>
      </c>
      <c r="H39" s="144" t="s">
        <v>121</v>
      </c>
      <c r="I39" s="220" t="s">
        <v>149</v>
      </c>
      <c r="J39" s="218" t="s">
        <v>146</v>
      </c>
      <c r="K39" s="215"/>
    </row>
    <row r="40" spans="1:11" x14ac:dyDescent="0.25">
      <c r="A40" s="207" t="s">
        <v>71</v>
      </c>
      <c r="B40" s="199">
        <v>10.08</v>
      </c>
      <c r="C40" s="199">
        <v>1774</v>
      </c>
      <c r="D40" s="200">
        <v>3600</v>
      </c>
      <c r="E40" s="201">
        <f t="shared" si="3"/>
        <v>0.49277777777777776</v>
      </c>
      <c r="F40" s="201">
        <f t="shared" si="4"/>
        <v>0.42</v>
      </c>
      <c r="G40" s="202">
        <v>12</v>
      </c>
      <c r="H40" s="71"/>
      <c r="K40" s="215"/>
    </row>
    <row r="41" spans="1:11" x14ac:dyDescent="0.25">
      <c r="A41" s="207" t="s">
        <v>72</v>
      </c>
      <c r="B41" s="199">
        <v>5.6</v>
      </c>
      <c r="C41" s="199">
        <v>1580</v>
      </c>
      <c r="D41" s="200">
        <v>3900</v>
      </c>
      <c r="E41" s="201">
        <f t="shared" si="3"/>
        <v>0.40512820512820513</v>
      </c>
      <c r="F41" s="201">
        <f t="shared" si="4"/>
        <v>0.23333333333333331</v>
      </c>
      <c r="G41" s="202">
        <v>12</v>
      </c>
      <c r="H41" s="237" t="s">
        <v>167</v>
      </c>
      <c r="J41" s="162" t="s">
        <v>177</v>
      </c>
      <c r="K41" s="215"/>
    </row>
    <row r="42" spans="1:11" x14ac:dyDescent="0.25">
      <c r="A42" s="207" t="s">
        <v>73</v>
      </c>
      <c r="B42" s="199">
        <v>8.8800000000000008</v>
      </c>
      <c r="C42" s="199">
        <v>2707</v>
      </c>
      <c r="D42" s="200">
        <v>3900</v>
      </c>
      <c r="E42" s="201">
        <f t="shared" si="3"/>
        <v>0.6941025641025641</v>
      </c>
      <c r="F42" s="201">
        <f t="shared" si="4"/>
        <v>0.37000000000000005</v>
      </c>
      <c r="G42" s="202">
        <v>12</v>
      </c>
      <c r="H42" s="301">
        <v>45920</v>
      </c>
      <c r="I42" s="129" t="s">
        <v>192</v>
      </c>
      <c r="J42" s="162">
        <f>64-16</f>
        <v>48</v>
      </c>
      <c r="K42" s="215" t="s">
        <v>189</v>
      </c>
    </row>
    <row r="43" spans="1:11" x14ac:dyDescent="0.25">
      <c r="A43" s="207" t="s">
        <v>74</v>
      </c>
      <c r="B43" s="199">
        <v>10.61</v>
      </c>
      <c r="C43" s="199">
        <v>2778</v>
      </c>
      <c r="D43" s="200">
        <v>3900</v>
      </c>
      <c r="E43" s="201">
        <f t="shared" si="3"/>
        <v>0.71230769230769231</v>
      </c>
      <c r="F43" s="201">
        <f t="shared" si="4"/>
        <v>0.44208333333333333</v>
      </c>
      <c r="G43" s="202">
        <v>12</v>
      </c>
      <c r="H43" s="301">
        <v>45920</v>
      </c>
      <c r="I43" s="129" t="s">
        <v>176</v>
      </c>
      <c r="J43" s="162">
        <v>206</v>
      </c>
      <c r="K43" s="215"/>
    </row>
    <row r="44" spans="1:11" x14ac:dyDescent="0.25">
      <c r="A44" s="259" t="s">
        <v>75</v>
      </c>
      <c r="B44" s="260">
        <v>8.09</v>
      </c>
      <c r="C44" s="261">
        <v>2324</v>
      </c>
      <c r="D44" s="262">
        <v>4300</v>
      </c>
      <c r="E44" s="263">
        <f t="shared" si="3"/>
        <v>0.54046511627906979</v>
      </c>
      <c r="F44" s="201">
        <f t="shared" si="4"/>
        <v>0.33708333333333335</v>
      </c>
      <c r="G44" s="202">
        <v>16</v>
      </c>
      <c r="H44" s="301">
        <v>45921</v>
      </c>
      <c r="I44" s="129" t="s">
        <v>175</v>
      </c>
      <c r="J44" s="162">
        <v>159</v>
      </c>
      <c r="K44" s="215"/>
    </row>
    <row r="45" spans="1:11" x14ac:dyDescent="0.25">
      <c r="C45" s="71" t="s">
        <v>83</v>
      </c>
      <c r="D45" s="72" t="s">
        <v>79</v>
      </c>
      <c r="H45" s="301">
        <v>45921</v>
      </c>
      <c r="I45" s="129" t="s">
        <v>176</v>
      </c>
      <c r="J45" s="162">
        <v>221</v>
      </c>
      <c r="K45" s="215"/>
    </row>
    <row r="46" spans="1:11" x14ac:dyDescent="0.25">
      <c r="B46" s="162" t="s">
        <v>78</v>
      </c>
      <c r="H46" s="71"/>
      <c r="J46" s="66">
        <f>+SUM(J42:J45)</f>
        <v>634</v>
      </c>
      <c r="K46" s="198">
        <f>+J46*1.5</f>
        <v>951</v>
      </c>
    </row>
    <row r="47" spans="1:11" x14ac:dyDescent="0.25">
      <c r="C47" s="71">
        <v>1</v>
      </c>
      <c r="D47" s="225" t="s">
        <v>153</v>
      </c>
      <c r="H47" s="71"/>
      <c r="K47" s="215"/>
    </row>
    <row r="48" spans="1:11" x14ac:dyDescent="0.25">
      <c r="C48" s="71">
        <v>2</v>
      </c>
      <c r="D48" s="225" t="s">
        <v>153</v>
      </c>
      <c r="H48" s="71"/>
      <c r="K48" s="215"/>
    </row>
    <row r="49" spans="3:11" x14ac:dyDescent="0.25">
      <c r="C49" s="71">
        <v>3</v>
      </c>
      <c r="D49" s="225" t="s">
        <v>154</v>
      </c>
      <c r="H49" s="71"/>
      <c r="K49" s="215"/>
    </row>
    <row r="50" spans="3:11" x14ac:dyDescent="0.25">
      <c r="C50" s="71">
        <v>4</v>
      </c>
      <c r="D50" s="108">
        <v>0</v>
      </c>
      <c r="H50" s="71"/>
      <c r="K50" s="215"/>
    </row>
    <row r="51" spans="3:11" x14ac:dyDescent="0.25">
      <c r="C51" s="71">
        <v>5</v>
      </c>
      <c r="D51" s="108">
        <v>5</v>
      </c>
      <c r="K51" s="215"/>
    </row>
    <row r="52" spans="3:11" x14ac:dyDescent="0.25">
      <c r="C52" s="71">
        <v>6</v>
      </c>
      <c r="D52" s="108">
        <v>3</v>
      </c>
      <c r="K52" s="215"/>
    </row>
    <row r="53" spans="3:11" x14ac:dyDescent="0.25">
      <c r="C53" s="71">
        <v>7</v>
      </c>
      <c r="D53" s="225" t="s">
        <v>153</v>
      </c>
      <c r="K53" s="215"/>
    </row>
    <row r="54" spans="3:11" x14ac:dyDescent="0.25">
      <c r="C54" s="71">
        <v>8</v>
      </c>
      <c r="D54" s="225" t="s">
        <v>153</v>
      </c>
      <c r="K54" s="215"/>
    </row>
  </sheetData>
  <protectedRanges>
    <protectedRange password="D554" sqref="I37:I3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40" workbookViewId="0">
      <selection activeCell="A26" sqref="A26:K57"/>
    </sheetView>
  </sheetViews>
  <sheetFormatPr baseColWidth="10" defaultColWidth="11.42578125" defaultRowHeight="15.75" x14ac:dyDescent="0.25"/>
  <cols>
    <col min="1" max="1" width="2.42578125" style="162" customWidth="1"/>
    <col min="2" max="2" width="38.85546875" style="162" customWidth="1"/>
    <col min="3" max="3" width="15.28515625" style="162" customWidth="1"/>
    <col min="4" max="4" width="15.28515625" style="163" customWidth="1"/>
    <col min="5" max="5" width="18.140625" style="162" customWidth="1"/>
    <col min="6" max="6" width="19.42578125" style="162" bestFit="1" customWidth="1"/>
    <col min="7" max="10" width="11.42578125" style="162"/>
    <col min="11" max="11" width="8.5703125" style="162" bestFit="1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160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303"/>
      <c r="C4" s="303"/>
      <c r="D4" s="165">
        <f>D24</f>
        <v>8557.8540000000012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5604</v>
      </c>
      <c r="D5" s="172">
        <v>239.33</v>
      </c>
      <c r="E5" s="80">
        <f>+D5/$D$4</f>
        <v>2.7966123282776263E-2</v>
      </c>
      <c r="F5" s="58" t="s">
        <v>51</v>
      </c>
      <c r="G5" s="59">
        <v>45922</v>
      </c>
      <c r="H5" s="190">
        <v>6965</v>
      </c>
      <c r="I5" s="141">
        <v>6493.1699999999992</v>
      </c>
      <c r="J5" s="60">
        <f t="shared" ref="J5:J12" si="0">+I5/H5</f>
        <v>0.9322569992821248</v>
      </c>
    </row>
    <row r="6" spans="1:10" ht="15" customHeight="1" x14ac:dyDescent="0.25">
      <c r="A6" s="164"/>
      <c r="B6" s="169" t="s">
        <v>10</v>
      </c>
      <c r="C6" s="177">
        <v>15756</v>
      </c>
      <c r="D6" s="173">
        <v>672.44</v>
      </c>
      <c r="E6" s="80">
        <f t="shared" ref="E6:E22" si="1">+D6/$D$4</f>
        <v>7.8575773786278655E-2</v>
      </c>
      <c r="F6" s="58" t="s">
        <v>52</v>
      </c>
      <c r="G6" s="59">
        <v>45923</v>
      </c>
      <c r="H6" s="190">
        <v>8840</v>
      </c>
      <c r="I6" s="141">
        <v>9196.0319999999992</v>
      </c>
      <c r="J6" s="60">
        <f t="shared" si="0"/>
        <v>1.0402751131221719</v>
      </c>
    </row>
    <row r="7" spans="1:10" ht="15" customHeight="1" x14ac:dyDescent="0.25">
      <c r="A7" s="164"/>
      <c r="B7" s="169" t="s">
        <v>35</v>
      </c>
      <c r="C7" s="177">
        <v>24859</v>
      </c>
      <c r="D7" s="173">
        <v>1059.1959999999999</v>
      </c>
      <c r="E7" s="80">
        <f t="shared" si="1"/>
        <v>0.12376887944103741</v>
      </c>
      <c r="F7" s="58" t="s">
        <v>53</v>
      </c>
      <c r="G7" s="59">
        <v>45924</v>
      </c>
      <c r="H7" s="190">
        <v>8567</v>
      </c>
      <c r="I7" s="141">
        <v>8557.8540000000012</v>
      </c>
      <c r="J7" s="60">
        <f t="shared" si="0"/>
        <v>0.9989324150811254</v>
      </c>
    </row>
    <row r="8" spans="1:10" ht="15" customHeight="1" x14ac:dyDescent="0.25">
      <c r="A8" s="164"/>
      <c r="B8" s="169" t="s">
        <v>37</v>
      </c>
      <c r="C8" s="177">
        <v>27685</v>
      </c>
      <c r="D8" s="173">
        <v>1181.1559999999999</v>
      </c>
      <c r="E8" s="80">
        <f t="shared" si="1"/>
        <v>0.13802011579071105</v>
      </c>
      <c r="F8" s="58" t="s">
        <v>54</v>
      </c>
      <c r="G8" s="59">
        <v>45925</v>
      </c>
      <c r="H8" s="190">
        <v>9143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38</v>
      </c>
      <c r="C9" s="177">
        <v>46852</v>
      </c>
      <c r="D9" s="173">
        <v>1997.038</v>
      </c>
      <c r="E9" s="245">
        <f t="shared" si="1"/>
        <v>0.23335733467759553</v>
      </c>
      <c r="F9" s="58" t="s">
        <v>55</v>
      </c>
      <c r="G9" s="59">
        <v>45926</v>
      </c>
      <c r="H9" s="190">
        <v>9378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14409</v>
      </c>
      <c r="D10" s="173">
        <v>615.10199999999998</v>
      </c>
      <c r="E10" s="245">
        <f t="shared" si="1"/>
        <v>7.187572959295635E-2</v>
      </c>
      <c r="F10" s="58" t="s">
        <v>56</v>
      </c>
      <c r="G10" s="59">
        <v>45927</v>
      </c>
      <c r="H10" s="190">
        <v>6559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</v>
      </c>
      <c r="C11" s="177">
        <v>2300</v>
      </c>
      <c r="D11" s="173">
        <v>98.27</v>
      </c>
      <c r="E11" s="80">
        <f t="shared" si="1"/>
        <v>1.14830189905086E-2</v>
      </c>
      <c r="F11" s="58" t="s">
        <v>57</v>
      </c>
      <c r="G11" s="59">
        <v>45928</v>
      </c>
      <c r="H11" s="190">
        <v>4560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44</v>
      </c>
      <c r="C12" s="177">
        <v>61</v>
      </c>
      <c r="D12" s="173">
        <v>92.06</v>
      </c>
      <c r="E12" s="80">
        <f t="shared" si="1"/>
        <v>1.0757369779853686E-2</v>
      </c>
      <c r="H12" s="139">
        <f>+SUM(H5:H11)</f>
        <v>54012</v>
      </c>
      <c r="I12" s="142">
        <f>+SUM(I5:I11)</f>
        <v>24247.055999999997</v>
      </c>
      <c r="J12" s="140">
        <f t="shared" si="0"/>
        <v>0.4489197956009775</v>
      </c>
    </row>
    <row r="13" spans="1:10" ht="15" customHeight="1" x14ac:dyDescent="0.25">
      <c r="A13" s="164"/>
      <c r="B13" s="169" t="s">
        <v>43</v>
      </c>
      <c r="C13" s="177">
        <v>90</v>
      </c>
      <c r="D13" s="173">
        <v>136.13</v>
      </c>
      <c r="E13" s="80">
        <f t="shared" si="1"/>
        <v>1.590702528928397E-2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621</v>
      </c>
      <c r="D14" s="173">
        <v>938.95</v>
      </c>
      <c r="E14" s="80">
        <f t="shared" si="1"/>
        <v>0.10971792694757353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194</v>
      </c>
      <c r="C15" s="177">
        <v>40</v>
      </c>
      <c r="D15" s="173">
        <v>60.31</v>
      </c>
      <c r="E15" s="80">
        <f t="shared" si="1"/>
        <v>7.0473275192589162E-3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64</v>
      </c>
      <c r="D16" s="173">
        <v>96.25</v>
      </c>
      <c r="E16" s="80">
        <f t="shared" si="1"/>
        <v>1.1246978506527453E-2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45</v>
      </c>
      <c r="C17" s="177">
        <v>69</v>
      </c>
      <c r="D17" s="173">
        <v>103.81</v>
      </c>
      <c r="E17" s="80">
        <f t="shared" si="1"/>
        <v>1.2130377545585609E-2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41</v>
      </c>
      <c r="C18" s="177">
        <v>282</v>
      </c>
      <c r="D18" s="173">
        <v>424.11599999999999</v>
      </c>
      <c r="E18" s="80">
        <f t="shared" si="1"/>
        <v>4.9558686091162568E-2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85</v>
      </c>
      <c r="C19" s="177">
        <v>16</v>
      </c>
      <c r="D19" s="173">
        <v>24.096</v>
      </c>
      <c r="E19" s="80">
        <f t="shared" si="1"/>
        <v>2.8156591594107583E-3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88</v>
      </c>
      <c r="C20" s="177"/>
      <c r="D20" s="173">
        <v>30.25</v>
      </c>
      <c r="E20" s="80">
        <f>+D20/$D$4</f>
        <v>3.5347646734800566E-3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40</v>
      </c>
      <c r="C21" s="177"/>
      <c r="D21" s="173">
        <v>605.07000000000005</v>
      </c>
      <c r="E21" s="80">
        <f t="shared" si="1"/>
        <v>7.070347309033316E-2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9</v>
      </c>
      <c r="C22" s="177"/>
      <c r="D22" s="173">
        <v>153.5</v>
      </c>
      <c r="E22" s="80">
        <f t="shared" si="1"/>
        <v>1.7936739748072354E-2</v>
      </c>
      <c r="F22" s="112" t="s">
        <v>160</v>
      </c>
      <c r="G22" s="272">
        <v>231021.16800000001</v>
      </c>
      <c r="H22" s="272">
        <f>+D25</f>
        <v>187988.4</v>
      </c>
      <c r="I22" s="98">
        <f t="shared" si="2"/>
        <v>0.81372803032490937</v>
      </c>
    </row>
    <row r="23" spans="1:11" ht="15" customHeight="1" thickBot="1" x14ac:dyDescent="0.3">
      <c r="A23" s="164"/>
      <c r="B23" s="169" t="s">
        <v>46</v>
      </c>
      <c r="C23" s="177"/>
      <c r="D23" s="173">
        <v>30.78</v>
      </c>
      <c r="F23" s="112" t="s">
        <v>161</v>
      </c>
      <c r="G23" s="112"/>
      <c r="H23" s="112"/>
    </row>
    <row r="24" spans="1:11" ht="15" customHeight="1" thickBot="1" x14ac:dyDescent="0.3">
      <c r="B24" s="178" t="s">
        <v>0</v>
      </c>
      <c r="C24" s="170"/>
      <c r="D24" s="171">
        <f>SUM(D5:D23)</f>
        <v>8557.8540000000012</v>
      </c>
      <c r="E24" s="80"/>
      <c r="G24" s="273">
        <f>+SUM(G14:G22)</f>
        <v>1884683.6730000002</v>
      </c>
      <c r="H24" s="273">
        <f>+SUM(H14:H22)</f>
        <v>1830683.3129999996</v>
      </c>
      <c r="I24" s="274">
        <f>+H24/G24</f>
        <v>0.97134778595813698</v>
      </c>
      <c r="J24" s="275">
        <f>+H24-G24</f>
        <v>-54000.360000000568</v>
      </c>
    </row>
    <row r="25" spans="1:11" ht="15" customHeight="1" thickBot="1" x14ac:dyDescent="0.3">
      <c r="B25" s="166" t="s">
        <v>1</v>
      </c>
      <c r="C25" s="167"/>
      <c r="D25" s="233">
        <v>187988.4</v>
      </c>
      <c r="E25" s="294">
        <f>+D25/E2</f>
        <v>0.81151209572980154</v>
      </c>
      <c r="F25" s="299"/>
    </row>
    <row r="26" spans="1:11" x14ac:dyDescent="0.25">
      <c r="D26" s="108">
        <f>+(E2/30)*24</f>
        <v>185321.60000000001</v>
      </c>
      <c r="E26" s="98">
        <f>+D26/E2</f>
        <v>0.8</v>
      </c>
      <c r="K26" s="215"/>
    </row>
    <row r="27" spans="1:11" x14ac:dyDescent="0.25">
      <c r="D27" s="138">
        <f>+D25-D26</f>
        <v>2666.7999999999884</v>
      </c>
      <c r="E27" s="251">
        <f>E25-E26</f>
        <v>1.1512095729801497E-2</v>
      </c>
      <c r="K27" s="215"/>
    </row>
    <row r="28" spans="1:11" ht="15" customHeight="1" x14ac:dyDescent="0.25">
      <c r="G28" s="300" t="s">
        <v>190</v>
      </c>
      <c r="H28" s="87">
        <v>693</v>
      </c>
      <c r="I28" s="88">
        <v>1039.5</v>
      </c>
      <c r="K28" s="215"/>
    </row>
    <row r="29" spans="1:11" x14ac:dyDescent="0.25">
      <c r="B29" s="66" t="s">
        <v>60</v>
      </c>
      <c r="D29" s="109" t="s">
        <v>105</v>
      </c>
      <c r="E29" s="109" t="s">
        <v>80</v>
      </c>
      <c r="G29" s="163"/>
      <c r="H29" s="237" t="s">
        <v>157</v>
      </c>
      <c r="I29" s="237" t="s">
        <v>92</v>
      </c>
      <c r="J29" s="71"/>
      <c r="K29" s="215"/>
    </row>
    <row r="30" spans="1:11" x14ac:dyDescent="0.25">
      <c r="B30" s="162" t="s">
        <v>61</v>
      </c>
      <c r="C30" s="162">
        <v>1195</v>
      </c>
      <c r="D30" s="108">
        <v>2142</v>
      </c>
      <c r="E30" s="57">
        <f>+C30/D30</f>
        <v>0.55788982259570497</v>
      </c>
      <c r="G30" s="86" t="s">
        <v>86</v>
      </c>
      <c r="H30" s="87">
        <v>12398</v>
      </c>
      <c r="I30" s="88">
        <v>309.95000000000005</v>
      </c>
      <c r="J30" s="224" t="s">
        <v>187</v>
      </c>
      <c r="K30" s="215"/>
    </row>
    <row r="31" spans="1:11" ht="15" customHeight="1" x14ac:dyDescent="0.25">
      <c r="B31" s="162" t="s">
        <v>62</v>
      </c>
      <c r="C31" s="162">
        <v>980</v>
      </c>
      <c r="D31" s="108">
        <v>1890</v>
      </c>
      <c r="E31" s="57">
        <f>+C31/D31</f>
        <v>0.51851851851851849</v>
      </c>
      <c r="G31" s="86" t="s">
        <v>171</v>
      </c>
      <c r="H31" s="87">
        <v>13</v>
      </c>
      <c r="I31" s="88">
        <v>0.32500000000000001</v>
      </c>
      <c r="J31" s="297" t="s">
        <v>188</v>
      </c>
      <c r="K31" s="215"/>
    </row>
    <row r="32" spans="1:11" ht="15" customHeight="1" x14ac:dyDescent="0.25">
      <c r="B32" s="162" t="s">
        <v>63</v>
      </c>
      <c r="C32" s="67">
        <v>410</v>
      </c>
      <c r="D32" s="108">
        <v>3006</v>
      </c>
      <c r="E32" s="57">
        <f>+C32/D32</f>
        <v>0.13639387890884896</v>
      </c>
      <c r="G32" s="89" t="s">
        <v>169</v>
      </c>
      <c r="H32" s="87">
        <v>259</v>
      </c>
      <c r="I32" s="88">
        <v>388.5</v>
      </c>
      <c r="J32" s="298">
        <f>+I32+I30</f>
        <v>698.45</v>
      </c>
      <c r="K32" s="215" t="s">
        <v>191</v>
      </c>
    </row>
    <row r="33" spans="1:11" ht="15" customHeight="1" x14ac:dyDescent="0.25">
      <c r="C33" s="162">
        <f>+SUM(C30:C32)</f>
        <v>2585</v>
      </c>
      <c r="D33" s="110">
        <f>+SUM(D30:D32)</f>
        <v>7038</v>
      </c>
      <c r="E33" s="57">
        <f>+C33/D33</f>
        <v>0.36729184427394146</v>
      </c>
      <c r="G33" s="89" t="s">
        <v>168</v>
      </c>
      <c r="H33" s="87">
        <v>0</v>
      </c>
      <c r="I33" s="88">
        <v>231</v>
      </c>
      <c r="J33" s="228" t="s">
        <v>193</v>
      </c>
      <c r="K33" s="215"/>
    </row>
    <row r="34" spans="1:11" x14ac:dyDescent="0.25">
      <c r="G34" s="231" t="s">
        <v>123</v>
      </c>
      <c r="H34" s="138">
        <v>231</v>
      </c>
      <c r="I34" s="232">
        <v>346.5</v>
      </c>
      <c r="J34" s="218" t="s">
        <v>146</v>
      </c>
      <c r="K34" s="215"/>
    </row>
    <row r="35" spans="1:11" ht="15" customHeight="1" x14ac:dyDescent="0.25">
      <c r="B35" s="162" t="s">
        <v>66</v>
      </c>
      <c r="D35" s="162"/>
      <c r="G35" s="89" t="s">
        <v>170</v>
      </c>
      <c r="H35" s="87">
        <v>22</v>
      </c>
      <c r="I35" s="88">
        <v>33</v>
      </c>
      <c r="J35" s="218" t="s">
        <v>146</v>
      </c>
      <c r="K35" s="215"/>
    </row>
    <row r="36" spans="1:11" x14ac:dyDescent="0.25">
      <c r="B36" s="76" t="s">
        <v>67</v>
      </c>
      <c r="C36" s="77" t="s">
        <v>68</v>
      </c>
      <c r="D36" s="78" t="s">
        <v>69</v>
      </c>
      <c r="E36" s="79" t="s">
        <v>33</v>
      </c>
      <c r="G36" s="89" t="s">
        <v>107</v>
      </c>
      <c r="H36" s="87">
        <v>219</v>
      </c>
      <c r="I36" s="88">
        <f>+H36*1.5</f>
        <v>328.5</v>
      </c>
      <c r="J36" s="224" t="s">
        <v>152</v>
      </c>
      <c r="K36" s="215"/>
    </row>
    <row r="37" spans="1:11" ht="15" customHeight="1" x14ac:dyDescent="0.25">
      <c r="B37" s="73">
        <v>22</v>
      </c>
      <c r="C37" s="74">
        <v>5</v>
      </c>
      <c r="D37" s="74">
        <v>10</v>
      </c>
      <c r="E37" s="75">
        <f>+SUM(B37:D37)</f>
        <v>37</v>
      </c>
      <c r="J37" s="218"/>
      <c r="K37" s="215"/>
    </row>
    <row r="38" spans="1:11" x14ac:dyDescent="0.25">
      <c r="E38" s="198" t="s">
        <v>76</v>
      </c>
      <c r="F38" s="198" t="s">
        <v>137</v>
      </c>
      <c r="H38" s="144" t="s">
        <v>124</v>
      </c>
      <c r="I38" s="220" t="s">
        <v>148</v>
      </c>
      <c r="J38" s="218" t="s">
        <v>146</v>
      </c>
      <c r="K38" s="215"/>
    </row>
    <row r="39" spans="1:11" x14ac:dyDescent="0.25">
      <c r="D39" s="162"/>
      <c r="G39" s="71" t="s">
        <v>90</v>
      </c>
      <c r="H39" s="144" t="s">
        <v>120</v>
      </c>
      <c r="I39" s="145">
        <v>0</v>
      </c>
      <c r="J39" s="218"/>
      <c r="K39" s="215"/>
    </row>
    <row r="40" spans="1:11" x14ac:dyDescent="0.25">
      <c r="A40" s="207" t="s">
        <v>70</v>
      </c>
      <c r="B40" s="199">
        <v>0</v>
      </c>
      <c r="C40" s="199">
        <v>0</v>
      </c>
      <c r="D40" s="200">
        <v>2400</v>
      </c>
      <c r="E40" s="201">
        <f t="shared" ref="E40:E45" si="3">+C40/D40</f>
        <v>0</v>
      </c>
      <c r="F40" s="201">
        <f t="shared" ref="F40:F45" si="4">+B40/24</f>
        <v>0</v>
      </c>
      <c r="G40" s="202">
        <v>7</v>
      </c>
      <c r="H40" s="144" t="s">
        <v>121</v>
      </c>
      <c r="I40" s="220" t="s">
        <v>149</v>
      </c>
      <c r="J40" s="218" t="s">
        <v>146</v>
      </c>
      <c r="K40" s="215"/>
    </row>
    <row r="41" spans="1:11" x14ac:dyDescent="0.25">
      <c r="A41" s="207" t="s">
        <v>71</v>
      </c>
      <c r="B41" s="199">
        <v>10.08</v>
      </c>
      <c r="C41" s="199">
        <v>1774</v>
      </c>
      <c r="D41" s="200">
        <v>3600</v>
      </c>
      <c r="E41" s="201">
        <f t="shared" si="3"/>
        <v>0.49277777777777776</v>
      </c>
      <c r="F41" s="201">
        <f t="shared" si="4"/>
        <v>0.42</v>
      </c>
      <c r="G41" s="202">
        <v>12</v>
      </c>
      <c r="H41" s="71"/>
      <c r="K41" s="215"/>
    </row>
    <row r="42" spans="1:11" x14ac:dyDescent="0.25">
      <c r="A42" s="207" t="s">
        <v>72</v>
      </c>
      <c r="B42" s="199">
        <v>5.6</v>
      </c>
      <c r="C42" s="199">
        <v>1580</v>
      </c>
      <c r="D42" s="200">
        <v>3900</v>
      </c>
      <c r="E42" s="201">
        <f t="shared" si="3"/>
        <v>0.40512820512820513</v>
      </c>
      <c r="F42" s="201">
        <f t="shared" si="4"/>
        <v>0.23333333333333331</v>
      </c>
      <c r="G42" s="202">
        <v>12</v>
      </c>
      <c r="H42" s="237" t="s">
        <v>167</v>
      </c>
      <c r="J42" s="162" t="s">
        <v>177</v>
      </c>
      <c r="K42" s="215"/>
    </row>
    <row r="43" spans="1:11" x14ac:dyDescent="0.25">
      <c r="A43" s="207" t="s">
        <v>73</v>
      </c>
      <c r="B43" s="199">
        <v>8.8800000000000008</v>
      </c>
      <c r="C43" s="199">
        <v>2707</v>
      </c>
      <c r="D43" s="200">
        <v>3900</v>
      </c>
      <c r="E43" s="201">
        <f t="shared" si="3"/>
        <v>0.6941025641025641</v>
      </c>
      <c r="F43" s="201">
        <f t="shared" si="4"/>
        <v>0.37000000000000005</v>
      </c>
      <c r="G43" s="202">
        <v>12</v>
      </c>
      <c r="H43" s="301">
        <v>45920</v>
      </c>
      <c r="I43" s="129" t="s">
        <v>192</v>
      </c>
      <c r="J43" s="162">
        <f>64-16</f>
        <v>48</v>
      </c>
      <c r="K43" s="215" t="s">
        <v>189</v>
      </c>
    </row>
    <row r="44" spans="1:11" x14ac:dyDescent="0.25">
      <c r="A44" s="207" t="s">
        <v>74</v>
      </c>
      <c r="B44" s="199">
        <v>10.61</v>
      </c>
      <c r="C44" s="199">
        <v>2778</v>
      </c>
      <c r="D44" s="200">
        <v>3900</v>
      </c>
      <c r="E44" s="201">
        <f t="shared" si="3"/>
        <v>0.71230769230769231</v>
      </c>
      <c r="F44" s="201">
        <f t="shared" si="4"/>
        <v>0.44208333333333333</v>
      </c>
      <c r="G44" s="202">
        <v>12</v>
      </c>
      <c r="H44" s="301">
        <v>45920</v>
      </c>
      <c r="I44" s="129" t="s">
        <v>176</v>
      </c>
      <c r="J44" s="162">
        <v>206</v>
      </c>
      <c r="K44" s="215"/>
    </row>
    <row r="45" spans="1:11" x14ac:dyDescent="0.25">
      <c r="A45" s="259" t="s">
        <v>75</v>
      </c>
      <c r="B45" s="260">
        <v>8.09</v>
      </c>
      <c r="C45" s="261">
        <v>2324</v>
      </c>
      <c r="D45" s="262">
        <v>4300</v>
      </c>
      <c r="E45" s="263">
        <f t="shared" si="3"/>
        <v>0.54046511627906979</v>
      </c>
      <c r="F45" s="201">
        <f t="shared" si="4"/>
        <v>0.33708333333333335</v>
      </c>
      <c r="G45" s="202">
        <v>16</v>
      </c>
      <c r="H45" s="301">
        <v>45921</v>
      </c>
      <c r="I45" s="129" t="s">
        <v>175</v>
      </c>
      <c r="J45" s="162">
        <v>159</v>
      </c>
      <c r="K45" s="215"/>
    </row>
    <row r="46" spans="1:11" x14ac:dyDescent="0.25">
      <c r="C46" s="71" t="s">
        <v>83</v>
      </c>
      <c r="D46" s="72" t="s">
        <v>79</v>
      </c>
      <c r="H46" s="301">
        <v>45921</v>
      </c>
      <c r="I46" s="129" t="s">
        <v>176</v>
      </c>
      <c r="J46" s="162">
        <v>221</v>
      </c>
      <c r="K46" s="215"/>
    </row>
    <row r="47" spans="1:11" x14ac:dyDescent="0.25">
      <c r="B47" s="162" t="s">
        <v>78</v>
      </c>
      <c r="H47" s="71"/>
      <c r="J47" s="66">
        <f>+SUM(J43:J46)</f>
        <v>634</v>
      </c>
      <c r="K47" s="198">
        <f>+J47*1.5</f>
        <v>951</v>
      </c>
    </row>
    <row r="48" spans="1:11" x14ac:dyDescent="0.25">
      <c r="C48" s="71">
        <v>1</v>
      </c>
      <c r="D48" s="225" t="s">
        <v>153</v>
      </c>
      <c r="H48" s="71"/>
      <c r="K48" s="215"/>
    </row>
    <row r="49" spans="3:11" x14ac:dyDescent="0.25">
      <c r="C49" s="71">
        <v>2</v>
      </c>
      <c r="D49" s="225" t="s">
        <v>153</v>
      </c>
      <c r="H49" s="71"/>
      <c r="K49" s="215"/>
    </row>
    <row r="50" spans="3:11" x14ac:dyDescent="0.25">
      <c r="C50" s="71">
        <v>3</v>
      </c>
      <c r="D50" s="225" t="s">
        <v>154</v>
      </c>
      <c r="H50" s="71"/>
      <c r="K50" s="215"/>
    </row>
    <row r="51" spans="3:11" x14ac:dyDescent="0.25">
      <c r="C51" s="71">
        <v>4</v>
      </c>
      <c r="D51" s="108">
        <v>0</v>
      </c>
      <c r="H51" s="71"/>
      <c r="K51" s="215"/>
    </row>
    <row r="52" spans="3:11" x14ac:dyDescent="0.25">
      <c r="C52" s="71">
        <v>5</v>
      </c>
      <c r="D52" s="108">
        <v>5</v>
      </c>
      <c r="K52" s="215"/>
    </row>
    <row r="53" spans="3:11" x14ac:dyDescent="0.25">
      <c r="C53" s="71">
        <v>6</v>
      </c>
      <c r="D53" s="108">
        <v>3</v>
      </c>
      <c r="K53" s="215"/>
    </row>
    <row r="54" spans="3:11" x14ac:dyDescent="0.25">
      <c r="C54" s="71">
        <v>7</v>
      </c>
      <c r="D54" s="225" t="s">
        <v>153</v>
      </c>
      <c r="K54" s="215"/>
    </row>
    <row r="55" spans="3:11" x14ac:dyDescent="0.25">
      <c r="C55" s="71">
        <v>8</v>
      </c>
      <c r="D55" s="225" t="s">
        <v>153</v>
      </c>
      <c r="K55" s="215"/>
    </row>
  </sheetData>
  <protectedRanges>
    <protectedRange password="D554" sqref="I38:I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activeCell="A26" sqref="A26:K55"/>
    </sheetView>
  </sheetViews>
  <sheetFormatPr baseColWidth="10" defaultColWidth="11.42578125" defaultRowHeight="15.75" x14ac:dyDescent="0.25"/>
  <cols>
    <col min="1" max="1" width="2.42578125" style="162" customWidth="1"/>
    <col min="2" max="2" width="39.7109375" style="162" customWidth="1"/>
    <col min="3" max="3" width="15.28515625" style="162" customWidth="1"/>
    <col min="4" max="4" width="15.28515625" style="163" customWidth="1"/>
    <col min="5" max="5" width="19" style="162" customWidth="1"/>
    <col min="6" max="6" width="19.42578125" style="162" bestFit="1" customWidth="1"/>
    <col min="7" max="10" width="11.42578125" style="162"/>
    <col min="11" max="11" width="7.140625" style="162" bestFit="1" customWidth="1"/>
    <col min="12" max="16384" width="11.42578125" style="162"/>
  </cols>
  <sheetData>
    <row r="1" spans="1:10" ht="15" customHeight="1" x14ac:dyDescent="0.25">
      <c r="A1" s="161"/>
      <c r="B1" s="518">
        <v>45925</v>
      </c>
      <c r="C1" s="518"/>
      <c r="D1" s="518"/>
      <c r="E1" s="61" t="s">
        <v>160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303"/>
      <c r="C4" s="303"/>
      <c r="D4" s="165">
        <f>D24</f>
        <v>9624.1119999999974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8364</v>
      </c>
      <c r="D5" s="172">
        <v>356.89</v>
      </c>
      <c r="E5" s="80">
        <f>+D5/$D$4</f>
        <v>3.7082901778366678E-2</v>
      </c>
      <c r="F5" s="58" t="s">
        <v>51</v>
      </c>
      <c r="G5" s="59">
        <v>45922</v>
      </c>
      <c r="H5" s="190">
        <v>6965</v>
      </c>
      <c r="I5" s="141">
        <v>6493.1699999999992</v>
      </c>
      <c r="J5" s="60">
        <f t="shared" ref="J5:J12" si="0">+I5/H5</f>
        <v>0.9322569992821248</v>
      </c>
    </row>
    <row r="6" spans="1:10" ht="15" customHeight="1" x14ac:dyDescent="0.25">
      <c r="A6" s="164"/>
      <c r="B6" s="169" t="s">
        <v>10</v>
      </c>
      <c r="C6" s="177">
        <v>16503</v>
      </c>
      <c r="D6" s="173">
        <v>703.41800000000001</v>
      </c>
      <c r="E6" s="80">
        <f t="shared" ref="E6:E24" si="1">+D6/$D$4</f>
        <v>7.308913279479709E-2</v>
      </c>
      <c r="F6" s="58" t="s">
        <v>52</v>
      </c>
      <c r="G6" s="59">
        <v>45923</v>
      </c>
      <c r="H6" s="190">
        <v>8840</v>
      </c>
      <c r="I6" s="141">
        <v>9196.0319999999992</v>
      </c>
      <c r="J6" s="60">
        <f t="shared" si="0"/>
        <v>1.0402751131221719</v>
      </c>
    </row>
    <row r="7" spans="1:10" ht="15" customHeight="1" x14ac:dyDescent="0.25">
      <c r="A7" s="164"/>
      <c r="B7" s="169" t="s">
        <v>35</v>
      </c>
      <c r="C7" s="177">
        <v>25679</v>
      </c>
      <c r="D7" s="173">
        <v>1093.6559999999999</v>
      </c>
      <c r="E7" s="80">
        <f t="shared" si="1"/>
        <v>0.11363708153022328</v>
      </c>
      <c r="F7" s="58" t="s">
        <v>53</v>
      </c>
      <c r="G7" s="59">
        <v>45924</v>
      </c>
      <c r="H7" s="190">
        <v>8567</v>
      </c>
      <c r="I7" s="141">
        <v>8557.8540000000012</v>
      </c>
      <c r="J7" s="60">
        <f t="shared" si="0"/>
        <v>0.9989324150811254</v>
      </c>
    </row>
    <row r="8" spans="1:10" ht="15" customHeight="1" x14ac:dyDescent="0.25">
      <c r="A8" s="164"/>
      <c r="B8" s="169" t="s">
        <v>37</v>
      </c>
      <c r="C8" s="177">
        <v>47084</v>
      </c>
      <c r="D8" s="173">
        <v>2007.54</v>
      </c>
      <c r="E8" s="80">
        <f t="shared" si="1"/>
        <v>0.20859482932035708</v>
      </c>
      <c r="F8" s="58" t="s">
        <v>54</v>
      </c>
      <c r="G8" s="59">
        <v>45925</v>
      </c>
      <c r="H8" s="190">
        <v>9143</v>
      </c>
      <c r="I8" s="141">
        <v>9624.1119999999974</v>
      </c>
      <c r="J8" s="60">
        <f t="shared" si="0"/>
        <v>1.052620802799956</v>
      </c>
    </row>
    <row r="9" spans="1:10" ht="15" customHeight="1" x14ac:dyDescent="0.25">
      <c r="A9" s="164"/>
      <c r="B9" s="169" t="s">
        <v>38</v>
      </c>
      <c r="C9" s="177">
        <v>51458</v>
      </c>
      <c r="D9" s="173">
        <v>2195.0639999999999</v>
      </c>
      <c r="E9" s="245">
        <f t="shared" si="1"/>
        <v>0.22807963997093969</v>
      </c>
      <c r="F9" s="58" t="s">
        <v>55</v>
      </c>
      <c r="G9" s="59">
        <v>45926</v>
      </c>
      <c r="H9" s="190">
        <v>9378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11059</v>
      </c>
      <c r="D10" s="173">
        <v>472.20400000000001</v>
      </c>
      <c r="E10" s="245">
        <f t="shared" si="1"/>
        <v>4.9064682539022839E-2</v>
      </c>
      <c r="F10" s="58" t="s">
        <v>56</v>
      </c>
      <c r="G10" s="59">
        <v>45927</v>
      </c>
      <c r="H10" s="190">
        <v>6559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</v>
      </c>
      <c r="C11" s="177">
        <v>2340</v>
      </c>
      <c r="D11" s="173">
        <v>99.81</v>
      </c>
      <c r="E11" s="80">
        <f t="shared" si="1"/>
        <v>1.0370826939669866E-2</v>
      </c>
      <c r="F11" s="58" t="s">
        <v>57</v>
      </c>
      <c r="G11" s="59">
        <v>45928</v>
      </c>
      <c r="H11" s="190">
        <v>4560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44</v>
      </c>
      <c r="C12" s="177">
        <v>40</v>
      </c>
      <c r="D12" s="173">
        <v>60.47</v>
      </c>
      <c r="E12" s="80">
        <f t="shared" si="1"/>
        <v>6.2831770868834458E-3</v>
      </c>
      <c r="H12" s="139">
        <f>+SUM(H5:H11)</f>
        <v>54012</v>
      </c>
      <c r="I12" s="142">
        <f>+SUM(I5:I11)</f>
        <v>33871.167999999991</v>
      </c>
      <c r="J12" s="140">
        <f t="shared" si="0"/>
        <v>0.62710449529734114</v>
      </c>
    </row>
    <row r="13" spans="1:10" ht="15" customHeight="1" x14ac:dyDescent="0.25">
      <c r="A13" s="164"/>
      <c r="B13" s="169" t="s">
        <v>43</v>
      </c>
      <c r="C13" s="177">
        <v>196</v>
      </c>
      <c r="D13" s="173">
        <v>295.48</v>
      </c>
      <c r="E13" s="80">
        <f t="shared" si="1"/>
        <v>3.0702053342687628E-2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548</v>
      </c>
      <c r="D14" s="173">
        <v>825.93</v>
      </c>
      <c r="E14" s="80">
        <f t="shared" si="1"/>
        <v>8.5818826713571106E-2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194</v>
      </c>
      <c r="C15" s="177">
        <v>40</v>
      </c>
      <c r="D15" s="173">
        <v>60.31</v>
      </c>
      <c r="E15" s="80">
        <f t="shared" si="1"/>
        <v>6.2665521764501513E-3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/>
      <c r="D16" s="173"/>
      <c r="E16" s="80">
        <f t="shared" si="1"/>
        <v>0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45</v>
      </c>
      <c r="C17" s="177">
        <v>90</v>
      </c>
      <c r="D17" s="173">
        <v>135.21</v>
      </c>
      <c r="E17" s="80">
        <f t="shared" si="1"/>
        <v>1.4049088373036395E-2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41</v>
      </c>
      <c r="C18" s="177">
        <v>245</v>
      </c>
      <c r="D18" s="173">
        <v>367.89</v>
      </c>
      <c r="E18" s="80">
        <f t="shared" si="1"/>
        <v>3.8225864370655713E-2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88</v>
      </c>
      <c r="C19" s="177"/>
      <c r="D19" s="173">
        <v>121.05</v>
      </c>
      <c r="E19" s="80">
        <f t="shared" si="1"/>
        <v>1.2577783799689782E-2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40</v>
      </c>
      <c r="C20" s="177"/>
      <c r="D20" s="173">
        <v>550.89</v>
      </c>
      <c r="E20" s="80">
        <f>+D20/$D$4</f>
        <v>5.7240605678736921E-2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184</v>
      </c>
      <c r="C21" s="177"/>
      <c r="D21" s="173">
        <v>32.520000000000003</v>
      </c>
      <c r="E21" s="80">
        <f t="shared" si="1"/>
        <v>3.3790130455672181E-3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9</v>
      </c>
      <c r="C22" s="177"/>
      <c r="D22" s="173">
        <v>154.82</v>
      </c>
      <c r="E22" s="80">
        <f t="shared" si="1"/>
        <v>1.6086678958017117E-2</v>
      </c>
      <c r="F22" s="112" t="s">
        <v>160</v>
      </c>
      <c r="G22" s="272">
        <v>231021.16800000001</v>
      </c>
      <c r="H22" s="272">
        <f>+D25</f>
        <v>197612.51199999999</v>
      </c>
      <c r="I22" s="98">
        <f t="shared" si="2"/>
        <v>0.85538703535599814</v>
      </c>
    </row>
    <row r="23" spans="1:11" ht="15" customHeight="1" thickBot="1" x14ac:dyDescent="0.3">
      <c r="A23" s="164"/>
      <c r="B23" s="169" t="s">
        <v>46</v>
      </c>
      <c r="C23" s="177"/>
      <c r="D23" s="173">
        <v>90.96</v>
      </c>
      <c r="E23" s="80">
        <f t="shared" si="1"/>
        <v>9.4512615813282328E-3</v>
      </c>
      <c r="F23" s="112" t="s">
        <v>161</v>
      </c>
      <c r="G23" s="112"/>
      <c r="H23" s="112"/>
    </row>
    <row r="24" spans="1:11" ht="15" customHeight="1" thickBot="1" x14ac:dyDescent="0.3">
      <c r="B24" s="178" t="s">
        <v>0</v>
      </c>
      <c r="C24" s="170"/>
      <c r="D24" s="171">
        <f>SUM(D5:D23)</f>
        <v>9624.1119999999974</v>
      </c>
      <c r="E24" s="80">
        <f t="shared" si="1"/>
        <v>1</v>
      </c>
      <c r="G24" s="273">
        <f>+SUM(G14:G22)</f>
        <v>1884683.6730000002</v>
      </c>
      <c r="H24" s="273">
        <f>+SUM(H14:H22)</f>
        <v>1840307.4249999998</v>
      </c>
      <c r="I24" s="274">
        <f>+H24/G24</f>
        <v>0.97645427259983464</v>
      </c>
      <c r="J24" s="275">
        <f>+H24-G24</f>
        <v>-44376.248000000371</v>
      </c>
    </row>
    <row r="25" spans="1:11" ht="15" customHeight="1" thickBot="1" x14ac:dyDescent="0.3">
      <c r="B25" s="166" t="s">
        <v>1</v>
      </c>
      <c r="C25" s="167"/>
      <c r="D25" s="233">
        <v>197612.51199999999</v>
      </c>
      <c r="E25" s="294">
        <f>+D25/E2</f>
        <v>0.85305765544869028</v>
      </c>
      <c r="F25" s="299"/>
    </row>
    <row r="26" spans="1:11" ht="15" customHeight="1" x14ac:dyDescent="0.25">
      <c r="D26" s="108">
        <f>+(E2/30)*25</f>
        <v>193043.33333333334</v>
      </c>
      <c r="E26" s="98">
        <f>+D26/E2</f>
        <v>0.83333333333333337</v>
      </c>
      <c r="K26" s="215"/>
    </row>
    <row r="27" spans="1:11" x14ac:dyDescent="0.25">
      <c r="D27" s="138">
        <f>+D25-D26</f>
        <v>4569.1786666666449</v>
      </c>
      <c r="E27" s="251">
        <f>E25-E26</f>
        <v>1.9724322115356907E-2</v>
      </c>
      <c r="K27" s="215"/>
    </row>
    <row r="28" spans="1:11" x14ac:dyDescent="0.25">
      <c r="G28" s="300" t="s">
        <v>190</v>
      </c>
      <c r="H28" s="87">
        <v>693</v>
      </c>
      <c r="I28" s="88">
        <v>1039.5</v>
      </c>
      <c r="K28" s="215"/>
    </row>
    <row r="29" spans="1:11" ht="15" customHeight="1" x14ac:dyDescent="0.25">
      <c r="B29" s="66" t="s">
        <v>60</v>
      </c>
      <c r="D29" s="109" t="s">
        <v>105</v>
      </c>
      <c r="E29" s="109" t="s">
        <v>80</v>
      </c>
      <c r="G29" s="163"/>
      <c r="H29" s="237" t="s">
        <v>157</v>
      </c>
      <c r="I29" s="237" t="s">
        <v>92</v>
      </c>
      <c r="J29" s="71"/>
      <c r="K29" s="215"/>
    </row>
    <row r="30" spans="1:11" ht="15" customHeight="1" x14ac:dyDescent="0.25">
      <c r="B30" s="162" t="s">
        <v>61</v>
      </c>
      <c r="C30" s="162">
        <v>1336</v>
      </c>
      <c r="D30" s="108">
        <v>2142</v>
      </c>
      <c r="E30" s="57">
        <f>+C30/D30</f>
        <v>0.62371615312791784</v>
      </c>
      <c r="G30" s="86" t="s">
        <v>86</v>
      </c>
      <c r="H30" s="87">
        <v>12398</v>
      </c>
      <c r="I30" s="88">
        <v>309.95000000000005</v>
      </c>
      <c r="J30" s="224" t="s">
        <v>187</v>
      </c>
      <c r="K30" s="215"/>
    </row>
    <row r="31" spans="1:11" ht="15" customHeight="1" x14ac:dyDescent="0.25">
      <c r="B31" s="162" t="s">
        <v>62</v>
      </c>
      <c r="C31" s="162">
        <v>1121</v>
      </c>
      <c r="D31" s="108">
        <v>1890</v>
      </c>
      <c r="E31" s="57">
        <f>+C31/D31</f>
        <v>0.59312169312169316</v>
      </c>
      <c r="G31" s="86" t="s">
        <v>171</v>
      </c>
      <c r="H31" s="87">
        <v>13</v>
      </c>
      <c r="I31" s="88">
        <v>0.32500000000000001</v>
      </c>
      <c r="J31" s="297" t="s">
        <v>188</v>
      </c>
      <c r="K31" s="215"/>
    </row>
    <row r="32" spans="1:11" x14ac:dyDescent="0.25">
      <c r="B32" s="162" t="s">
        <v>63</v>
      </c>
      <c r="C32" s="67">
        <v>865</v>
      </c>
      <c r="D32" s="108">
        <v>3006</v>
      </c>
      <c r="E32" s="57">
        <f>+C32/D32</f>
        <v>0.28775781769793746</v>
      </c>
      <c r="G32" s="89" t="s">
        <v>169</v>
      </c>
      <c r="H32" s="87">
        <v>362</v>
      </c>
      <c r="I32" s="88">
        <v>543</v>
      </c>
      <c r="J32" s="298">
        <f>+I32+I30</f>
        <v>852.95</v>
      </c>
      <c r="K32" s="215" t="s">
        <v>191</v>
      </c>
    </row>
    <row r="33" spans="1:11" ht="15" customHeight="1" x14ac:dyDescent="0.25">
      <c r="C33" s="162">
        <f>+SUM(C30:C32)</f>
        <v>3322</v>
      </c>
      <c r="D33" s="110">
        <f>+SUM(D30:D32)</f>
        <v>7038</v>
      </c>
      <c r="E33" s="57">
        <f>+C33/D33</f>
        <v>0.47200909349246944</v>
      </c>
      <c r="G33" s="89" t="s">
        <v>168</v>
      </c>
      <c r="H33" s="87">
        <v>0</v>
      </c>
      <c r="I33" s="88">
        <v>231</v>
      </c>
      <c r="J33" s="228" t="s">
        <v>193</v>
      </c>
      <c r="K33" s="215"/>
    </row>
    <row r="34" spans="1:11" x14ac:dyDescent="0.25">
      <c r="G34" s="231" t="s">
        <v>123</v>
      </c>
      <c r="H34" s="138">
        <v>231</v>
      </c>
      <c r="I34" s="232">
        <v>346.5</v>
      </c>
      <c r="J34" s="218" t="s">
        <v>146</v>
      </c>
      <c r="K34" s="215"/>
    </row>
    <row r="35" spans="1:11" ht="15" customHeight="1" x14ac:dyDescent="0.25">
      <c r="B35" s="162" t="s">
        <v>66</v>
      </c>
      <c r="D35" s="162"/>
      <c r="G35" s="89" t="s">
        <v>170</v>
      </c>
      <c r="H35" s="87">
        <v>22</v>
      </c>
      <c r="I35" s="88">
        <v>33</v>
      </c>
      <c r="J35" s="218" t="s">
        <v>146</v>
      </c>
      <c r="K35" s="215"/>
    </row>
    <row r="36" spans="1:11" x14ac:dyDescent="0.25">
      <c r="B36" s="76" t="s">
        <v>67</v>
      </c>
      <c r="C36" s="77" t="s">
        <v>68</v>
      </c>
      <c r="D36" s="78" t="s">
        <v>69</v>
      </c>
      <c r="E36" s="79" t="s">
        <v>33</v>
      </c>
      <c r="G36" s="89" t="s">
        <v>107</v>
      </c>
      <c r="H36" s="87">
        <v>219</v>
      </c>
      <c r="I36" s="88">
        <f>+H36*1.5</f>
        <v>328.5</v>
      </c>
      <c r="J36" s="224" t="s">
        <v>152</v>
      </c>
      <c r="K36" s="215"/>
    </row>
    <row r="37" spans="1:11" x14ac:dyDescent="0.25">
      <c r="B37" s="73">
        <v>22</v>
      </c>
      <c r="C37" s="74">
        <v>5</v>
      </c>
      <c r="D37" s="74">
        <v>10</v>
      </c>
      <c r="E37" s="75">
        <f>+SUM(B37:D37)</f>
        <v>37</v>
      </c>
      <c r="J37" s="218"/>
      <c r="K37" s="215"/>
    </row>
    <row r="38" spans="1:11" x14ac:dyDescent="0.25">
      <c r="E38" s="198" t="s">
        <v>76</v>
      </c>
      <c r="F38" s="198" t="s">
        <v>137</v>
      </c>
      <c r="H38" s="144" t="s">
        <v>124</v>
      </c>
      <c r="I38" s="220" t="s">
        <v>148</v>
      </c>
      <c r="J38" s="218" t="s">
        <v>146</v>
      </c>
      <c r="K38" s="215"/>
    </row>
    <row r="39" spans="1:11" x14ac:dyDescent="0.25">
      <c r="D39" s="162"/>
      <c r="G39" s="71" t="s">
        <v>90</v>
      </c>
      <c r="H39" s="144" t="s">
        <v>120</v>
      </c>
      <c r="I39" s="145">
        <v>0</v>
      </c>
      <c r="J39" s="218"/>
      <c r="K39" s="215"/>
    </row>
    <row r="40" spans="1:11" x14ac:dyDescent="0.25">
      <c r="A40" s="207" t="s">
        <v>70</v>
      </c>
      <c r="B40" s="199">
        <v>0</v>
      </c>
      <c r="C40" s="199">
        <v>0</v>
      </c>
      <c r="D40" s="200">
        <v>2400</v>
      </c>
      <c r="E40" s="201">
        <f t="shared" ref="E40:E45" si="3">+C40/D40</f>
        <v>0</v>
      </c>
      <c r="F40" s="201">
        <f t="shared" ref="F40:F45" si="4">+B40/24</f>
        <v>0</v>
      </c>
      <c r="G40" s="202">
        <v>7</v>
      </c>
      <c r="H40" s="144" t="s">
        <v>121</v>
      </c>
      <c r="I40" s="220" t="s">
        <v>149</v>
      </c>
      <c r="J40" s="218" t="s">
        <v>146</v>
      </c>
      <c r="K40" s="215"/>
    </row>
    <row r="41" spans="1:11" x14ac:dyDescent="0.25">
      <c r="A41" s="207" t="s">
        <v>71</v>
      </c>
      <c r="B41" s="199">
        <v>8.0399999999999991</v>
      </c>
      <c r="C41" s="199">
        <v>1693</v>
      </c>
      <c r="D41" s="200">
        <v>3600</v>
      </c>
      <c r="E41" s="201">
        <f t="shared" si="3"/>
        <v>0.47027777777777779</v>
      </c>
      <c r="F41" s="201">
        <f t="shared" si="4"/>
        <v>0.33499999999999996</v>
      </c>
      <c r="G41" s="202">
        <v>12</v>
      </c>
      <c r="H41" s="71"/>
      <c r="K41" s="215"/>
    </row>
    <row r="42" spans="1:11" x14ac:dyDescent="0.25">
      <c r="A42" s="207" t="s">
        <v>72</v>
      </c>
      <c r="B42" s="199">
        <v>11.28</v>
      </c>
      <c r="C42" s="199">
        <v>1415</v>
      </c>
      <c r="D42" s="200">
        <v>3900</v>
      </c>
      <c r="E42" s="201">
        <f t="shared" si="3"/>
        <v>0.36282051282051281</v>
      </c>
      <c r="F42" s="201">
        <f t="shared" si="4"/>
        <v>0.47</v>
      </c>
      <c r="G42" s="202">
        <v>12</v>
      </c>
      <c r="H42" s="237" t="s">
        <v>195</v>
      </c>
      <c r="J42" s="162" t="s">
        <v>177</v>
      </c>
      <c r="K42" s="215"/>
    </row>
    <row r="43" spans="1:11" x14ac:dyDescent="0.25">
      <c r="A43" s="207" t="s">
        <v>73</v>
      </c>
      <c r="B43" s="199">
        <v>14.24</v>
      </c>
      <c r="C43" s="199">
        <v>2959</v>
      </c>
      <c r="D43" s="200">
        <v>3900</v>
      </c>
      <c r="E43" s="201">
        <f t="shared" si="3"/>
        <v>0.75871794871794873</v>
      </c>
      <c r="F43" s="201">
        <f t="shared" si="4"/>
        <v>0.59333333333333338</v>
      </c>
      <c r="G43" s="202">
        <v>12</v>
      </c>
      <c r="H43" s="301">
        <v>45925</v>
      </c>
      <c r="I43" s="129" t="s">
        <v>176</v>
      </c>
      <c r="J43" s="162">
        <v>143</v>
      </c>
      <c r="K43" s="215"/>
    </row>
    <row r="44" spans="1:11" x14ac:dyDescent="0.25">
      <c r="A44" s="207" t="s">
        <v>74</v>
      </c>
      <c r="B44" s="199">
        <v>12.94</v>
      </c>
      <c r="C44" s="199">
        <v>2826</v>
      </c>
      <c r="D44" s="200">
        <v>3900</v>
      </c>
      <c r="E44" s="201">
        <f t="shared" si="3"/>
        <v>0.72461538461538466</v>
      </c>
      <c r="F44" s="201">
        <f t="shared" si="4"/>
        <v>0.53916666666666668</v>
      </c>
      <c r="G44" s="202">
        <v>12</v>
      </c>
      <c r="H44" s="301"/>
      <c r="I44" s="129"/>
      <c r="K44" s="215"/>
    </row>
    <row r="45" spans="1:11" x14ac:dyDescent="0.25">
      <c r="A45" s="259" t="s">
        <v>75</v>
      </c>
      <c r="B45" s="260">
        <v>14.44</v>
      </c>
      <c r="C45" s="261">
        <v>3066</v>
      </c>
      <c r="D45" s="262">
        <v>4300</v>
      </c>
      <c r="E45" s="263">
        <f t="shared" si="3"/>
        <v>0.71302325581395354</v>
      </c>
      <c r="F45" s="201">
        <f t="shared" si="4"/>
        <v>0.60166666666666668</v>
      </c>
      <c r="G45" s="202">
        <v>16</v>
      </c>
      <c r="H45" s="301"/>
      <c r="I45" s="129"/>
      <c r="K45" s="215"/>
    </row>
    <row r="46" spans="1:11" x14ac:dyDescent="0.25">
      <c r="C46" s="71" t="s">
        <v>83</v>
      </c>
      <c r="D46" s="72" t="s">
        <v>79</v>
      </c>
      <c r="H46" s="301"/>
      <c r="I46" s="129"/>
      <c r="K46" s="215"/>
    </row>
    <row r="47" spans="1:11" x14ac:dyDescent="0.25">
      <c r="B47" s="162" t="s">
        <v>78</v>
      </c>
      <c r="H47" s="71"/>
      <c r="J47" s="66">
        <f>+SUM(J43:J46)</f>
        <v>143</v>
      </c>
      <c r="K47" s="198">
        <f>+J47*1.5</f>
        <v>214.5</v>
      </c>
    </row>
    <row r="48" spans="1:11" x14ac:dyDescent="0.25">
      <c r="C48" s="71">
        <v>1</v>
      </c>
      <c r="D48" s="225" t="s">
        <v>153</v>
      </c>
      <c r="H48" s="71"/>
      <c r="K48" s="215"/>
    </row>
    <row r="49" spans="3:11" x14ac:dyDescent="0.25">
      <c r="C49" s="71">
        <v>2</v>
      </c>
      <c r="D49" s="225" t="s">
        <v>153</v>
      </c>
      <c r="H49" s="71"/>
      <c r="K49" s="215"/>
    </row>
    <row r="50" spans="3:11" x14ac:dyDescent="0.25">
      <c r="C50" s="71">
        <v>3</v>
      </c>
      <c r="D50" s="225" t="s">
        <v>154</v>
      </c>
      <c r="H50" s="71"/>
      <c r="K50" s="215"/>
    </row>
    <row r="51" spans="3:11" x14ac:dyDescent="0.25">
      <c r="C51" s="71">
        <v>4</v>
      </c>
      <c r="D51" s="108">
        <v>0</v>
      </c>
      <c r="H51" s="71"/>
      <c r="K51" s="215"/>
    </row>
    <row r="52" spans="3:11" x14ac:dyDescent="0.25">
      <c r="C52" s="71">
        <v>5</v>
      </c>
      <c r="D52" s="108">
        <v>5</v>
      </c>
      <c r="K52" s="215"/>
    </row>
    <row r="53" spans="3:11" x14ac:dyDescent="0.25">
      <c r="C53" s="71">
        <v>6</v>
      </c>
      <c r="D53" s="108">
        <v>3</v>
      </c>
      <c r="K53" s="215"/>
    </row>
    <row r="54" spans="3:11" x14ac:dyDescent="0.25">
      <c r="C54" s="71">
        <v>7</v>
      </c>
      <c r="D54" s="225" t="s">
        <v>153</v>
      </c>
      <c r="K54" s="215"/>
    </row>
    <row r="55" spans="3:11" x14ac:dyDescent="0.25">
      <c r="C55" s="71">
        <v>8</v>
      </c>
      <c r="D55" s="225" t="s">
        <v>153</v>
      </c>
      <c r="K55" s="215"/>
    </row>
  </sheetData>
  <protectedRanges>
    <protectedRange password="D554" sqref="I38:I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21" workbookViewId="0">
      <selection activeCell="A28" sqref="A28:K57"/>
    </sheetView>
  </sheetViews>
  <sheetFormatPr baseColWidth="10" defaultColWidth="11.42578125" defaultRowHeight="15.75" x14ac:dyDescent="0.25"/>
  <cols>
    <col min="1" max="1" width="2.42578125" style="162" customWidth="1"/>
    <col min="2" max="2" width="42.7109375" style="162" customWidth="1"/>
    <col min="3" max="3" width="15.28515625" style="162" customWidth="1"/>
    <col min="4" max="4" width="15.28515625" style="163" customWidth="1"/>
    <col min="5" max="5" width="15.28515625" style="162" customWidth="1"/>
    <col min="6" max="6" width="15.42578125" style="162" customWidth="1"/>
    <col min="7" max="7" width="15.7109375" style="162" customWidth="1"/>
    <col min="8" max="10" width="11.42578125" style="162"/>
    <col min="11" max="11" width="7.140625" style="162" bestFit="1" customWidth="1"/>
    <col min="12" max="16384" width="11.42578125" style="162"/>
  </cols>
  <sheetData>
    <row r="1" spans="1:10" ht="15" customHeight="1" x14ac:dyDescent="0.25">
      <c r="A1" s="161"/>
      <c r="B1" s="518">
        <v>45928</v>
      </c>
      <c r="C1" s="518"/>
      <c r="D1" s="518"/>
      <c r="E1" s="61" t="s">
        <v>160</v>
      </c>
      <c r="F1" s="61"/>
    </row>
    <row r="2" spans="1:10" x14ac:dyDescent="0.25">
      <c r="E2" s="62">
        <v>231652</v>
      </c>
      <c r="F2" s="61"/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304"/>
      <c r="C4" s="304"/>
      <c r="D4" s="165">
        <f>D26</f>
        <v>5507.0360000000001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6107</v>
      </c>
      <c r="D5" s="172">
        <v>260.91199999999998</v>
      </c>
      <c r="E5" s="80">
        <f>+D5/$D$4</f>
        <v>4.7377936152950509E-2</v>
      </c>
      <c r="F5" s="58" t="s">
        <v>51</v>
      </c>
      <c r="G5" s="59">
        <v>45922</v>
      </c>
      <c r="H5" s="190">
        <v>6965</v>
      </c>
      <c r="I5" s="141">
        <v>6493.1699999999992</v>
      </c>
      <c r="J5" s="60">
        <f t="shared" ref="J5:J12" si="0">+I5/H5</f>
        <v>0.9322569992821248</v>
      </c>
    </row>
    <row r="6" spans="1:10" ht="15" customHeight="1" x14ac:dyDescent="0.25">
      <c r="A6" s="164"/>
      <c r="B6" s="169" t="s">
        <v>10</v>
      </c>
      <c r="C6" s="177">
        <v>8808</v>
      </c>
      <c r="D6" s="173">
        <v>375.90899999999999</v>
      </c>
      <c r="E6" s="80">
        <f t="shared" ref="E6:E26" si="1">+D6/$D$4</f>
        <v>6.8259768049455272E-2</v>
      </c>
      <c r="F6" s="58" t="s">
        <v>52</v>
      </c>
      <c r="G6" s="59">
        <v>45923</v>
      </c>
      <c r="H6" s="190">
        <v>8840</v>
      </c>
      <c r="I6" s="141">
        <v>9196.0319999999992</v>
      </c>
      <c r="J6" s="60">
        <f t="shared" si="0"/>
        <v>1.0402751131221719</v>
      </c>
    </row>
    <row r="7" spans="1:10" ht="15" customHeight="1" x14ac:dyDescent="0.25">
      <c r="A7" s="164"/>
      <c r="B7" s="169" t="s">
        <v>35</v>
      </c>
      <c r="C7" s="177">
        <v>14982</v>
      </c>
      <c r="D7" s="173">
        <v>638.75199999999995</v>
      </c>
      <c r="E7" s="80">
        <f t="shared" si="1"/>
        <v>0.11598834654431167</v>
      </c>
      <c r="F7" s="58" t="s">
        <v>53</v>
      </c>
      <c r="G7" s="59">
        <v>45924</v>
      </c>
      <c r="H7" s="190">
        <v>8567</v>
      </c>
      <c r="I7" s="141">
        <v>8557.8540000000012</v>
      </c>
      <c r="J7" s="60">
        <f t="shared" si="0"/>
        <v>0.9989324150811254</v>
      </c>
    </row>
    <row r="8" spans="1:10" ht="15" customHeight="1" x14ac:dyDescent="0.25">
      <c r="A8" s="164"/>
      <c r="B8" s="169" t="s">
        <v>37</v>
      </c>
      <c r="C8" s="177">
        <v>17495</v>
      </c>
      <c r="D8" s="173">
        <v>744.97799999999995</v>
      </c>
      <c r="E8" s="245">
        <f t="shared" si="1"/>
        <v>0.13527748865269809</v>
      </c>
      <c r="F8" s="58" t="s">
        <v>54</v>
      </c>
      <c r="G8" s="59">
        <v>45925</v>
      </c>
      <c r="H8" s="190">
        <v>9143</v>
      </c>
      <c r="I8" s="141">
        <v>9624.1119999999974</v>
      </c>
      <c r="J8" s="60">
        <f t="shared" si="0"/>
        <v>1.052620802799956</v>
      </c>
    </row>
    <row r="9" spans="1:10" ht="15" customHeight="1" x14ac:dyDescent="0.25">
      <c r="A9" s="164"/>
      <c r="B9" s="169" t="s">
        <v>38</v>
      </c>
      <c r="C9" s="177">
        <v>25491</v>
      </c>
      <c r="D9" s="173">
        <v>1086.963</v>
      </c>
      <c r="E9" s="245">
        <f t="shared" si="1"/>
        <v>0.19737713717506114</v>
      </c>
      <c r="F9" s="58" t="s">
        <v>55</v>
      </c>
      <c r="G9" s="59">
        <v>45926</v>
      </c>
      <c r="H9" s="190">
        <v>9378</v>
      </c>
      <c r="I9" s="141">
        <v>8739.31</v>
      </c>
      <c r="J9" s="60">
        <f t="shared" si="0"/>
        <v>0.93189486031136692</v>
      </c>
    </row>
    <row r="10" spans="1:10" ht="15" customHeight="1" x14ac:dyDescent="0.25">
      <c r="A10" s="164"/>
      <c r="B10" s="169" t="s">
        <v>42</v>
      </c>
      <c r="C10" s="177">
        <v>14129</v>
      </c>
      <c r="D10" s="173">
        <v>603.53200000000004</v>
      </c>
      <c r="E10" s="80">
        <f t="shared" si="1"/>
        <v>0.10959289171162129</v>
      </c>
      <c r="F10" s="58" t="s">
        <v>56</v>
      </c>
      <c r="G10" s="59">
        <v>45927</v>
      </c>
      <c r="H10" s="190">
        <v>6559</v>
      </c>
      <c r="I10" s="141">
        <v>6820.07</v>
      </c>
      <c r="J10" s="60">
        <f t="shared" si="0"/>
        <v>1.0398033236773898</v>
      </c>
    </row>
    <row r="11" spans="1:10" ht="15" customHeight="1" x14ac:dyDescent="0.25">
      <c r="A11" s="164"/>
      <c r="B11" s="169" t="s">
        <v>4</v>
      </c>
      <c r="C11" s="177">
        <v>2313</v>
      </c>
      <c r="D11" s="173">
        <v>98.79</v>
      </c>
      <c r="E11" s="80">
        <f t="shared" si="1"/>
        <v>1.7938869475340274E-2</v>
      </c>
      <c r="F11" s="58" t="s">
        <v>57</v>
      </c>
      <c r="G11" s="59">
        <v>45928</v>
      </c>
      <c r="H11" s="190">
        <v>4560</v>
      </c>
      <c r="I11" s="141">
        <v>5507.0360000000001</v>
      </c>
      <c r="J11" s="60">
        <f t="shared" si="0"/>
        <v>1.2076833333333334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  <c r="H12" s="139">
        <f>+SUM(H5:H11)</f>
        <v>54012</v>
      </c>
      <c r="I12" s="142">
        <f>+SUM(I5:I11)</f>
        <v>54937.583999999988</v>
      </c>
      <c r="J12" s="140">
        <f t="shared" si="0"/>
        <v>1.0171366363030436</v>
      </c>
    </row>
    <row r="13" spans="1:10" ht="15" customHeight="1" x14ac:dyDescent="0.25">
      <c r="A13" s="164"/>
      <c r="B13" s="169" t="s">
        <v>196</v>
      </c>
      <c r="C13" s="177">
        <v>6768</v>
      </c>
      <c r="D13" s="173">
        <v>170.17</v>
      </c>
      <c r="E13" s="80">
        <f t="shared" si="1"/>
        <v>3.0900469871633304E-2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65</v>
      </c>
      <c r="D14" s="173">
        <v>98.12</v>
      </c>
      <c r="E14" s="80">
        <f t="shared" si="1"/>
        <v>1.7817206933094319E-2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43</v>
      </c>
      <c r="C15" s="177"/>
      <c r="D15" s="173"/>
      <c r="E15" s="80">
        <f t="shared" si="1"/>
        <v>0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39</v>
      </c>
      <c r="C16" s="177">
        <v>312</v>
      </c>
      <c r="D16" s="173">
        <v>470.5</v>
      </c>
      <c r="E16" s="80">
        <f t="shared" si="1"/>
        <v>8.5436158398092918E-2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194</v>
      </c>
      <c r="C17" s="177">
        <v>42</v>
      </c>
      <c r="D17" s="173">
        <v>63.45</v>
      </c>
      <c r="E17" s="80">
        <f t="shared" si="1"/>
        <v>1.1521624336575973E-2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49</v>
      </c>
      <c r="C18" s="177">
        <v>24</v>
      </c>
      <c r="D18" s="173">
        <v>36.17</v>
      </c>
      <c r="E18" s="80">
        <f t="shared" si="1"/>
        <v>6.5679614224421271E-3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45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41</v>
      </c>
      <c r="C20" s="177">
        <v>107</v>
      </c>
      <c r="D20" s="173">
        <v>161.1</v>
      </c>
      <c r="E20" s="80">
        <f>+D20/$D$4</f>
        <v>2.9253485904214171E-2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88</v>
      </c>
      <c r="C21" s="177">
        <v>20</v>
      </c>
      <c r="D21" s="173">
        <v>30.36</v>
      </c>
      <c r="E21" s="80">
        <f t="shared" si="1"/>
        <v>5.5129474366973448E-3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40</v>
      </c>
      <c r="C22" s="177"/>
      <c r="D22" s="173">
        <v>543.29</v>
      </c>
      <c r="E22" s="80">
        <f t="shared" si="1"/>
        <v>9.8653794890754293E-2</v>
      </c>
      <c r="F22" s="112" t="s">
        <v>160</v>
      </c>
      <c r="G22" s="272">
        <v>231021.16800000001</v>
      </c>
      <c r="H22" s="272">
        <f>+D27</f>
        <v>218678.93599999999</v>
      </c>
      <c r="I22" s="98">
        <f t="shared" si="2"/>
        <v>0.94657531988583832</v>
      </c>
    </row>
    <row r="23" spans="1:11" ht="15" customHeight="1" x14ac:dyDescent="0.25">
      <c r="A23" s="164"/>
      <c r="B23" s="169" t="s">
        <v>184</v>
      </c>
      <c r="C23" s="177"/>
      <c r="D23" s="173"/>
      <c r="E23" s="80">
        <f t="shared" si="1"/>
        <v>0</v>
      </c>
      <c r="F23" s="112" t="s">
        <v>161</v>
      </c>
      <c r="G23" s="112"/>
      <c r="H23" s="112"/>
    </row>
    <row r="24" spans="1:11" ht="15" customHeight="1" x14ac:dyDescent="0.25">
      <c r="A24" s="164"/>
      <c r="B24" s="169" t="s">
        <v>9</v>
      </c>
      <c r="C24" s="177"/>
      <c r="D24" s="173">
        <v>124.04</v>
      </c>
      <c r="E24" s="80">
        <f t="shared" si="1"/>
        <v>2.252391304505727E-2</v>
      </c>
      <c r="G24" s="273">
        <f>+SUM(G14:G22)</f>
        <v>1884683.6730000002</v>
      </c>
      <c r="H24" s="273">
        <f>+SUM(H14:H22)</f>
        <v>1861373.8489999997</v>
      </c>
      <c r="I24" s="274">
        <f>+H24/G24</f>
        <v>0.98763197011045556</v>
      </c>
      <c r="J24" s="275">
        <f>+H24-G24</f>
        <v>-23309.824000000488</v>
      </c>
    </row>
    <row r="25" spans="1:11" ht="15" customHeight="1" thickBot="1" x14ac:dyDescent="0.3">
      <c r="A25" s="164"/>
      <c r="B25" s="169" t="s">
        <v>46</v>
      </c>
      <c r="C25" s="177"/>
      <c r="D25" s="173"/>
      <c r="E25" s="80">
        <f t="shared" si="1"/>
        <v>0</v>
      </c>
      <c r="F25" s="299"/>
    </row>
    <row r="26" spans="1:11" ht="15" customHeight="1" thickBot="1" x14ac:dyDescent="0.3">
      <c r="B26" s="178" t="s">
        <v>0</v>
      </c>
      <c r="C26" s="170"/>
      <c r="D26" s="171">
        <f>SUM(D5:D25)</f>
        <v>5507.0360000000001</v>
      </c>
      <c r="E26" s="80">
        <f t="shared" si="1"/>
        <v>1</v>
      </c>
      <c r="F26" s="179"/>
      <c r="G26" s="179"/>
    </row>
    <row r="27" spans="1:11" ht="15" customHeight="1" thickBot="1" x14ac:dyDescent="0.3">
      <c r="B27" s="166" t="s">
        <v>1</v>
      </c>
      <c r="C27" s="167"/>
      <c r="D27" s="233">
        <v>218678.93599999999</v>
      </c>
      <c r="E27" s="294">
        <f>+D27/E2</f>
        <v>0.94399761711532815</v>
      </c>
      <c r="F27" s="299"/>
      <c r="G27" s="179"/>
    </row>
    <row r="28" spans="1:11" ht="15" customHeight="1" x14ac:dyDescent="0.25">
      <c r="D28" s="108">
        <f>+(E2/30)*28</f>
        <v>216208.53333333333</v>
      </c>
      <c r="E28" s="98">
        <f>+D28/E2</f>
        <v>0.93333333333333335</v>
      </c>
      <c r="K28" s="215"/>
    </row>
    <row r="29" spans="1:11" x14ac:dyDescent="0.25">
      <c r="D29" s="138">
        <f>+D27-D28</f>
        <v>2470.4026666666614</v>
      </c>
      <c r="E29" s="251">
        <f>E27-E28</f>
        <v>1.0664283781994799E-2</v>
      </c>
      <c r="K29" s="215"/>
    </row>
    <row r="30" spans="1:11" ht="15" customHeight="1" x14ac:dyDescent="0.25">
      <c r="G30" s="300" t="s">
        <v>190</v>
      </c>
      <c r="H30" s="87">
        <v>885</v>
      </c>
      <c r="I30" s="88">
        <f>+H30*1.5</f>
        <v>1327.5</v>
      </c>
      <c r="K30" s="215"/>
    </row>
    <row r="31" spans="1:11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  <c r="K31" s="215"/>
    </row>
    <row r="32" spans="1:11" x14ac:dyDescent="0.25">
      <c r="B32" s="162" t="s">
        <v>61</v>
      </c>
      <c r="C32" s="162">
        <v>1073</v>
      </c>
      <c r="D32" s="108">
        <v>2142</v>
      </c>
      <c r="E32" s="57">
        <f>+C32/D32</f>
        <v>0.50093370681605975</v>
      </c>
      <c r="G32" s="86" t="s">
        <v>86</v>
      </c>
      <c r="H32" s="87">
        <v>20743</v>
      </c>
      <c r="I32" s="88">
        <v>518.57500000000005</v>
      </c>
      <c r="J32" s="224"/>
      <c r="K32" s="215"/>
    </row>
    <row r="33" spans="1:11" ht="15" customHeight="1" x14ac:dyDescent="0.25">
      <c r="B33" s="162" t="s">
        <v>62</v>
      </c>
      <c r="C33" s="162">
        <v>2532</v>
      </c>
      <c r="D33" s="108">
        <v>1890</v>
      </c>
      <c r="E33" s="57">
        <f>+C33/D33</f>
        <v>1.3396825396825396</v>
      </c>
      <c r="G33" s="86" t="s">
        <v>171</v>
      </c>
      <c r="H33" s="87">
        <v>12</v>
      </c>
      <c r="I33" s="88">
        <v>0.30000000000000004</v>
      </c>
      <c r="J33" s="297" t="s">
        <v>188</v>
      </c>
      <c r="K33" s="215"/>
    </row>
    <row r="34" spans="1:11" ht="15" customHeight="1" x14ac:dyDescent="0.25">
      <c r="B34" s="162" t="s">
        <v>63</v>
      </c>
      <c r="C34" s="67">
        <v>2000</v>
      </c>
      <c r="D34" s="108">
        <v>3006</v>
      </c>
      <c r="E34" s="57">
        <f>+C34/D34</f>
        <v>0.66533599467731208</v>
      </c>
      <c r="G34" s="89" t="s">
        <v>169</v>
      </c>
      <c r="H34" s="87">
        <v>363</v>
      </c>
      <c r="I34" s="88">
        <v>544.5</v>
      </c>
      <c r="J34" s="298">
        <f>+I34+I32</f>
        <v>1063.075</v>
      </c>
      <c r="K34" s="215" t="s">
        <v>191</v>
      </c>
    </row>
    <row r="35" spans="1:11" ht="15" customHeight="1" x14ac:dyDescent="0.25">
      <c r="C35" s="162">
        <f>+SUM(C32:C34)</f>
        <v>5605</v>
      </c>
      <c r="D35" s="110">
        <f>+SUM(D32:D34)</f>
        <v>7038</v>
      </c>
      <c r="E35" s="57">
        <f>+C35/D35</f>
        <v>0.79639102017618646</v>
      </c>
      <c r="G35" s="89" t="s">
        <v>168</v>
      </c>
      <c r="H35" s="87">
        <v>0</v>
      </c>
      <c r="I35" s="88">
        <v>231</v>
      </c>
      <c r="J35" s="228" t="s">
        <v>193</v>
      </c>
      <c r="K35" s="215"/>
    </row>
    <row r="36" spans="1:11" x14ac:dyDescent="0.25">
      <c r="G36" s="231" t="s">
        <v>123</v>
      </c>
      <c r="H36" s="138">
        <v>231</v>
      </c>
      <c r="I36" s="232">
        <v>346.5</v>
      </c>
      <c r="J36" s="218" t="s">
        <v>146</v>
      </c>
      <c r="K36" s="215"/>
    </row>
    <row r="37" spans="1:11" ht="15" customHeight="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  <c r="K37" s="215"/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219</v>
      </c>
      <c r="I38" s="88">
        <f>+H38*1.5</f>
        <v>328.5</v>
      </c>
      <c r="J38" s="224" t="s">
        <v>152</v>
      </c>
      <c r="K38" s="215"/>
    </row>
    <row r="39" spans="1:11" ht="15" customHeight="1" x14ac:dyDescent="0.25">
      <c r="B39" s="73">
        <v>5</v>
      </c>
      <c r="C39" s="74">
        <v>0</v>
      </c>
      <c r="D39" s="74">
        <v>7</v>
      </c>
      <c r="E39" s="75">
        <f>+SUM(B39:D39)</f>
        <v>12</v>
      </c>
      <c r="J39" s="218"/>
      <c r="K39" s="215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  <c r="K40" s="215"/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  <c r="K41" s="215"/>
    </row>
    <row r="42" spans="1:11" x14ac:dyDescent="0.25">
      <c r="A42" s="207" t="s">
        <v>70</v>
      </c>
      <c r="B42" s="199">
        <v>2.6</v>
      </c>
      <c r="C42" s="199">
        <v>1058</v>
      </c>
      <c r="D42" s="200">
        <v>2400</v>
      </c>
      <c r="E42" s="201">
        <f t="shared" ref="E42:E47" si="3">+C42/D42</f>
        <v>0.44083333333333335</v>
      </c>
      <c r="F42" s="201">
        <f t="shared" ref="F42:F47" si="4">+B42/24</f>
        <v>0.10833333333333334</v>
      </c>
      <c r="G42" s="202">
        <v>7</v>
      </c>
      <c r="H42" s="144" t="s">
        <v>121</v>
      </c>
      <c r="I42" s="220" t="s">
        <v>149</v>
      </c>
      <c r="J42" s="218" t="s">
        <v>146</v>
      </c>
      <c r="K42" s="215"/>
    </row>
    <row r="43" spans="1:11" x14ac:dyDescent="0.25">
      <c r="A43" s="207" t="s">
        <v>71</v>
      </c>
      <c r="B43" s="199">
        <v>9.7100000000000009</v>
      </c>
      <c r="C43" s="199">
        <v>1720</v>
      </c>
      <c r="D43" s="200">
        <v>3600</v>
      </c>
      <c r="E43" s="201">
        <f t="shared" si="3"/>
        <v>0.4777777777777778</v>
      </c>
      <c r="F43" s="201">
        <f t="shared" si="4"/>
        <v>0.40458333333333335</v>
      </c>
      <c r="G43" s="202">
        <v>12</v>
      </c>
      <c r="H43" s="71"/>
      <c r="K43" s="215"/>
    </row>
    <row r="44" spans="1:11" x14ac:dyDescent="0.25">
      <c r="A44" s="207" t="s">
        <v>72</v>
      </c>
      <c r="B44" s="199">
        <v>6.05</v>
      </c>
      <c r="C44" s="199">
        <v>1410</v>
      </c>
      <c r="D44" s="200">
        <v>3900</v>
      </c>
      <c r="E44" s="201">
        <f t="shared" si="3"/>
        <v>0.36153846153846153</v>
      </c>
      <c r="F44" s="201">
        <f t="shared" si="4"/>
        <v>0.25208333333333333</v>
      </c>
      <c r="G44" s="202">
        <v>12</v>
      </c>
      <c r="H44" s="237" t="s">
        <v>195</v>
      </c>
      <c r="J44" s="162" t="s">
        <v>177</v>
      </c>
      <c r="K44" s="215"/>
    </row>
    <row r="45" spans="1:11" x14ac:dyDescent="0.25">
      <c r="A45" s="207" t="s">
        <v>73</v>
      </c>
      <c r="B45" s="199">
        <v>2.4900000000000002</v>
      </c>
      <c r="C45" s="199">
        <v>2418</v>
      </c>
      <c r="D45" s="200">
        <v>3900</v>
      </c>
      <c r="E45" s="201">
        <f t="shared" si="3"/>
        <v>0.62</v>
      </c>
      <c r="F45" s="201">
        <f t="shared" si="4"/>
        <v>0.10375000000000001</v>
      </c>
      <c r="G45" s="202">
        <v>12</v>
      </c>
      <c r="H45" s="301">
        <v>45925</v>
      </c>
      <c r="I45" s="129" t="s">
        <v>176</v>
      </c>
      <c r="J45" s="162">
        <v>143</v>
      </c>
      <c r="K45" s="215"/>
    </row>
    <row r="46" spans="1:11" x14ac:dyDescent="0.25">
      <c r="A46" s="207" t="s">
        <v>74</v>
      </c>
      <c r="B46" s="199">
        <v>15.59</v>
      </c>
      <c r="C46" s="199">
        <v>2749</v>
      </c>
      <c r="D46" s="200">
        <v>3900</v>
      </c>
      <c r="E46" s="201">
        <f t="shared" si="3"/>
        <v>0.70487179487179485</v>
      </c>
      <c r="F46" s="201">
        <f t="shared" si="4"/>
        <v>0.64958333333333329</v>
      </c>
      <c r="G46" s="202">
        <v>12</v>
      </c>
      <c r="H46" s="301"/>
      <c r="I46" s="129" t="s">
        <v>92</v>
      </c>
      <c r="J46" s="66">
        <f>+J45*1.5</f>
        <v>214.5</v>
      </c>
      <c r="K46" s="215"/>
    </row>
    <row r="47" spans="1:11" x14ac:dyDescent="0.25">
      <c r="A47" s="259" t="s">
        <v>75</v>
      </c>
      <c r="B47" s="260">
        <v>1.99</v>
      </c>
      <c r="C47" s="261">
        <v>2414</v>
      </c>
      <c r="D47" s="262">
        <v>4300</v>
      </c>
      <c r="E47" s="263">
        <f t="shared" si="3"/>
        <v>0.56139534883720932</v>
      </c>
      <c r="F47" s="201">
        <f t="shared" si="4"/>
        <v>8.2916666666666666E-2</v>
      </c>
      <c r="G47" s="202">
        <v>16</v>
      </c>
      <c r="H47" s="237" t="s">
        <v>197</v>
      </c>
      <c r="J47" s="162" t="s">
        <v>157</v>
      </c>
      <c r="K47" s="215"/>
    </row>
    <row r="48" spans="1:11" x14ac:dyDescent="0.25">
      <c r="C48" s="71" t="s">
        <v>83</v>
      </c>
      <c r="D48" s="72" t="s">
        <v>79</v>
      </c>
      <c r="H48" s="301">
        <v>45929</v>
      </c>
      <c r="I48" s="129" t="s">
        <v>176</v>
      </c>
      <c r="J48" s="162">
        <v>5120</v>
      </c>
      <c r="K48" s="215"/>
    </row>
    <row r="49" spans="2:11" x14ac:dyDescent="0.25">
      <c r="B49" s="162" t="s">
        <v>78</v>
      </c>
      <c r="H49" s="71"/>
      <c r="I49" s="162" t="s">
        <v>92</v>
      </c>
      <c r="J49" s="66">
        <f>+J48*0.025</f>
        <v>128</v>
      </c>
      <c r="K49" s="198"/>
    </row>
    <row r="50" spans="2:11" x14ac:dyDescent="0.25">
      <c r="C50" s="71">
        <v>1</v>
      </c>
      <c r="D50" s="225" t="s">
        <v>153</v>
      </c>
      <c r="H50" s="71"/>
      <c r="K50" s="215"/>
    </row>
    <row r="51" spans="2:11" x14ac:dyDescent="0.25">
      <c r="C51" s="71">
        <v>2</v>
      </c>
      <c r="D51" s="225" t="s">
        <v>153</v>
      </c>
      <c r="H51" s="71"/>
      <c r="K51" s="215"/>
    </row>
    <row r="52" spans="2:11" x14ac:dyDescent="0.25">
      <c r="C52" s="71">
        <v>3</v>
      </c>
      <c r="D52" s="225" t="s">
        <v>154</v>
      </c>
      <c r="H52" s="71"/>
      <c r="K52" s="215"/>
    </row>
    <row r="53" spans="2:11" x14ac:dyDescent="0.25">
      <c r="C53" s="71">
        <v>4</v>
      </c>
      <c r="D53" s="108">
        <v>0</v>
      </c>
      <c r="H53" s="71"/>
      <c r="K53" s="215"/>
    </row>
    <row r="54" spans="2:11" x14ac:dyDescent="0.25">
      <c r="C54" s="71">
        <v>5</v>
      </c>
      <c r="D54" s="108">
        <v>7</v>
      </c>
      <c r="K54" s="215"/>
    </row>
    <row r="55" spans="2:11" x14ac:dyDescent="0.25">
      <c r="C55" s="71">
        <v>6</v>
      </c>
      <c r="D55" s="108">
        <v>6</v>
      </c>
      <c r="K55" s="215"/>
    </row>
    <row r="56" spans="2:11" x14ac:dyDescent="0.25">
      <c r="C56" s="71">
        <v>7</v>
      </c>
      <c r="D56" s="225" t="s">
        <v>153</v>
      </c>
      <c r="K56" s="215"/>
    </row>
    <row r="57" spans="2:11" x14ac:dyDescent="0.25">
      <c r="C57" s="71">
        <v>8</v>
      </c>
      <c r="D57" s="225" t="s">
        <v>153</v>
      </c>
      <c r="K57" s="215"/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38" workbookViewId="0">
      <selection activeCell="A28" sqref="A28:K57"/>
    </sheetView>
  </sheetViews>
  <sheetFormatPr baseColWidth="10" defaultColWidth="11.42578125" defaultRowHeight="15.75" x14ac:dyDescent="0.25"/>
  <cols>
    <col min="1" max="1" width="2.42578125" style="162" customWidth="1"/>
    <col min="2" max="2" width="44.42578125" style="162" customWidth="1"/>
    <col min="3" max="3" width="15.28515625" style="162" customWidth="1"/>
    <col min="4" max="4" width="15.28515625" style="163" customWidth="1"/>
    <col min="5" max="5" width="15.28515625" style="162" customWidth="1"/>
    <col min="6" max="6" width="15.42578125" style="162" customWidth="1"/>
    <col min="7" max="7" width="15.7109375" style="162" customWidth="1"/>
    <col min="8" max="10" width="11.42578125" style="162"/>
    <col min="11" max="11" width="7.140625" style="162" bestFit="1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160</v>
      </c>
      <c r="F1" s="307" t="s">
        <v>161</v>
      </c>
      <c r="G1" s="307" t="s">
        <v>198</v>
      </c>
      <c r="H1" s="307" t="s">
        <v>199</v>
      </c>
    </row>
    <row r="2" spans="1:10" x14ac:dyDescent="0.25">
      <c r="E2" s="62">
        <v>231652</v>
      </c>
      <c r="F2" s="308">
        <v>236439.93706744793</v>
      </c>
      <c r="G2" s="308">
        <v>227685.55591976581</v>
      </c>
      <c r="H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305"/>
      <c r="C4" s="305"/>
      <c r="D4" s="165">
        <f>D26</f>
        <v>7013.3159999999989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6023</v>
      </c>
      <c r="D5" s="172">
        <v>257.04399999999998</v>
      </c>
      <c r="E5" s="80">
        <f>+D5/$D$4</f>
        <v>3.6650851038225005E-2</v>
      </c>
      <c r="F5" s="58" t="s">
        <v>51</v>
      </c>
      <c r="G5" s="59">
        <v>45929</v>
      </c>
      <c r="H5" s="190">
        <v>6736.0000000000009</v>
      </c>
      <c r="I5" s="141">
        <v>7013.3159999999989</v>
      </c>
      <c r="J5" s="60">
        <f t="shared" ref="J5:J12" si="0">+I5/H5</f>
        <v>1.0411692399049879</v>
      </c>
    </row>
    <row r="6" spans="1:10" ht="15" customHeight="1" x14ac:dyDescent="0.25">
      <c r="A6" s="164"/>
      <c r="B6" s="169" t="s">
        <v>10</v>
      </c>
      <c r="C6" s="177">
        <v>13134</v>
      </c>
      <c r="D6" s="173">
        <v>560.48</v>
      </c>
      <c r="E6" s="80">
        <f t="shared" ref="E6:E26" si="1">+D6/$D$4</f>
        <v>7.9916547322265261E-2</v>
      </c>
      <c r="F6" s="58" t="s">
        <v>52</v>
      </c>
      <c r="G6" s="59">
        <v>45930</v>
      </c>
      <c r="H6" s="190">
        <v>9114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14604</v>
      </c>
      <c r="D7" s="173">
        <v>622.18200000000002</v>
      </c>
      <c r="E7" s="80">
        <f t="shared" si="1"/>
        <v>8.8714382754177923E-2</v>
      </c>
      <c r="F7" s="58" t="s">
        <v>53</v>
      </c>
      <c r="G7" s="59">
        <v>45931</v>
      </c>
      <c r="H7" s="190">
        <v>8334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37</v>
      </c>
      <c r="C8" s="177">
        <v>25999</v>
      </c>
      <c r="D8" s="173">
        <v>1109.8800000000001</v>
      </c>
      <c r="E8" s="245">
        <f t="shared" si="1"/>
        <v>0.15825324283120856</v>
      </c>
      <c r="F8" s="58" t="s">
        <v>54</v>
      </c>
      <c r="G8" s="59">
        <v>45932</v>
      </c>
      <c r="H8" s="190">
        <v>9169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38</v>
      </c>
      <c r="C9" s="177">
        <v>46356</v>
      </c>
      <c r="D9" s="173">
        <v>1976.3420000000001</v>
      </c>
      <c r="E9" s="245">
        <f t="shared" si="1"/>
        <v>0.28179851014840918</v>
      </c>
      <c r="F9" s="58" t="s">
        <v>55</v>
      </c>
      <c r="G9" s="59">
        <v>45933</v>
      </c>
      <c r="H9" s="190">
        <v>9530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10040</v>
      </c>
      <c r="D10" s="173">
        <v>428.84199999999998</v>
      </c>
      <c r="E10" s="80">
        <f t="shared" si="1"/>
        <v>6.1146824127131884E-2</v>
      </c>
      <c r="F10" s="58" t="s">
        <v>56</v>
      </c>
      <c r="G10" s="59">
        <v>45934</v>
      </c>
      <c r="H10" s="190">
        <v>6701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</v>
      </c>
      <c r="C11" s="177"/>
      <c r="D11" s="173"/>
      <c r="E11" s="80">
        <f t="shared" si="1"/>
        <v>0</v>
      </c>
      <c r="F11" s="58" t="s">
        <v>57</v>
      </c>
      <c r="G11" s="59">
        <v>45935</v>
      </c>
      <c r="H11" s="190">
        <v>5368.0000000000009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81</v>
      </c>
      <c r="C12" s="177">
        <v>3890</v>
      </c>
      <c r="D12" s="173">
        <v>166.256</v>
      </c>
      <c r="E12" s="80">
        <f t="shared" si="1"/>
        <v>2.3705762010438433E-2</v>
      </c>
      <c r="H12" s="139">
        <f>+SUM(H5:H11)</f>
        <v>54952</v>
      </c>
      <c r="I12" s="142">
        <f>+SUM(I5:I11)</f>
        <v>7013.3159999999989</v>
      </c>
      <c r="J12" s="140">
        <f t="shared" si="0"/>
        <v>0.1276262192458873</v>
      </c>
    </row>
    <row r="13" spans="1:10" ht="15" customHeight="1" x14ac:dyDescent="0.25">
      <c r="A13" s="164"/>
      <c r="B13" s="169" t="s">
        <v>196</v>
      </c>
      <c r="C13" s="177">
        <v>8064</v>
      </c>
      <c r="D13" s="173">
        <v>202.8</v>
      </c>
      <c r="E13" s="80">
        <f t="shared" si="1"/>
        <v>2.8916421276326355E-2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/>
      <c r="D14" s="173"/>
      <c r="E14" s="80">
        <f t="shared" si="1"/>
        <v>0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43</v>
      </c>
      <c r="C15" s="177"/>
      <c r="D15" s="173"/>
      <c r="E15" s="80">
        <f t="shared" si="1"/>
        <v>0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39</v>
      </c>
      <c r="C16" s="177">
        <v>284</v>
      </c>
      <c r="D16" s="173">
        <v>428.74</v>
      </c>
      <c r="E16" s="80">
        <f t="shared" si="1"/>
        <v>6.1132280364951483E-2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194</v>
      </c>
      <c r="C17" s="177">
        <v>133</v>
      </c>
      <c r="D17" s="173">
        <v>200.54</v>
      </c>
      <c r="E17" s="80">
        <f t="shared" si="1"/>
        <v>2.8594177133897863E-2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49</v>
      </c>
      <c r="C18" s="177">
        <v>20</v>
      </c>
      <c r="D18" s="173">
        <v>30.07</v>
      </c>
      <c r="E18" s="80">
        <f t="shared" si="1"/>
        <v>4.2875581251436562E-3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45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41</v>
      </c>
      <c r="C20" s="177">
        <v>168</v>
      </c>
      <c r="D20" s="173">
        <v>252.89</v>
      </c>
      <c r="E20" s="80">
        <f>+D20/$D$4</f>
        <v>3.605854919413299E-2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88</v>
      </c>
      <c r="C21" s="177">
        <v>20</v>
      </c>
      <c r="D21" s="173">
        <v>29.92</v>
      </c>
      <c r="E21" s="80">
        <f t="shared" si="1"/>
        <v>4.2661702395842436E-3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40</v>
      </c>
      <c r="C22" s="177"/>
      <c r="D22" s="173">
        <v>415.44</v>
      </c>
      <c r="E22" s="80">
        <f t="shared" si="1"/>
        <v>5.9235887845350201E-2</v>
      </c>
      <c r="F22" s="112" t="s">
        <v>160</v>
      </c>
      <c r="G22" s="272">
        <v>231021.16800000001</v>
      </c>
      <c r="H22" s="272">
        <f>+D27</f>
        <v>225692.25200000001</v>
      </c>
      <c r="I22" s="98">
        <f t="shared" si="2"/>
        <v>0.97693321332355143</v>
      </c>
    </row>
    <row r="23" spans="1:11" ht="15" customHeight="1" x14ac:dyDescent="0.25">
      <c r="A23" s="164"/>
      <c r="B23" s="169" t="s">
        <v>184</v>
      </c>
      <c r="C23" s="177"/>
      <c r="D23" s="173"/>
      <c r="E23" s="80">
        <f t="shared" si="1"/>
        <v>0</v>
      </c>
      <c r="F23" s="112" t="s">
        <v>161</v>
      </c>
      <c r="G23" s="112"/>
      <c r="H23" s="112"/>
    </row>
    <row r="24" spans="1:11" ht="15" customHeight="1" x14ac:dyDescent="0.25">
      <c r="A24" s="164"/>
      <c r="B24" s="169" t="s">
        <v>9</v>
      </c>
      <c r="C24" s="177"/>
      <c r="D24" s="173">
        <v>124.36</v>
      </c>
      <c r="E24" s="80">
        <f t="shared" si="1"/>
        <v>1.7731982987790659E-2</v>
      </c>
      <c r="G24" s="273">
        <f>+SUM(G14:G22)</f>
        <v>1884683.6730000002</v>
      </c>
      <c r="H24" s="273">
        <f>+SUM(H14:H22)</f>
        <v>1868387.1649999998</v>
      </c>
      <c r="I24" s="274">
        <f>+H24/G24</f>
        <v>0.99135318662040517</v>
      </c>
      <c r="J24" s="275">
        <f>+H24-G24</f>
        <v>-16296.50800000038</v>
      </c>
    </row>
    <row r="25" spans="1:11" ht="15" customHeight="1" thickBot="1" x14ac:dyDescent="0.3">
      <c r="A25" s="164"/>
      <c r="B25" s="169" t="s">
        <v>46</v>
      </c>
      <c r="C25" s="177"/>
      <c r="D25" s="173">
        <v>207.53</v>
      </c>
      <c r="E25" s="80">
        <f t="shared" si="1"/>
        <v>2.959085260096651E-2</v>
      </c>
      <c r="F25" s="299"/>
    </row>
    <row r="26" spans="1:11" ht="15" customHeight="1" thickBot="1" x14ac:dyDescent="0.3">
      <c r="B26" s="178" t="s">
        <v>0</v>
      </c>
      <c r="C26" s="170"/>
      <c r="D26" s="171">
        <f>SUM(D5:D25)</f>
        <v>7013.3159999999989</v>
      </c>
      <c r="E26" s="80">
        <f t="shared" si="1"/>
        <v>1</v>
      </c>
      <c r="F26" s="179"/>
      <c r="G26" s="179"/>
    </row>
    <row r="27" spans="1:11" ht="15" customHeight="1" thickBot="1" x14ac:dyDescent="0.3">
      <c r="B27" s="166" t="s">
        <v>1</v>
      </c>
      <c r="C27" s="167"/>
      <c r="D27" s="233">
        <v>225692.25200000001</v>
      </c>
      <c r="E27" s="294">
        <f>+D27/E2</f>
        <v>0.97427284029492522</v>
      </c>
      <c r="F27" s="68">
        <f>+D27-E2</f>
        <v>-5959.7479999999923</v>
      </c>
      <c r="G27" s="179"/>
    </row>
    <row r="28" spans="1:11" x14ac:dyDescent="0.25">
      <c r="D28" s="108">
        <f>+(E2/30)*29</f>
        <v>223930.26666666666</v>
      </c>
      <c r="E28" s="98">
        <f>+D28/E2</f>
        <v>0.96666666666666667</v>
      </c>
      <c r="K28" s="215"/>
    </row>
    <row r="29" spans="1:11" ht="15" customHeight="1" x14ac:dyDescent="0.25">
      <c r="D29" s="138">
        <f>+D27-D28</f>
        <v>1761.9853333333449</v>
      </c>
      <c r="E29" s="251">
        <f>E27-E28</f>
        <v>7.6061736282585501E-3</v>
      </c>
      <c r="K29" s="215"/>
    </row>
    <row r="30" spans="1:11" x14ac:dyDescent="0.25">
      <c r="G30" s="300" t="s">
        <v>190</v>
      </c>
      <c r="H30" s="87">
        <v>764</v>
      </c>
      <c r="I30" s="88">
        <f>+H30*1.5</f>
        <v>1146</v>
      </c>
      <c r="K30" s="215"/>
    </row>
    <row r="31" spans="1:11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  <c r="K31" s="215"/>
    </row>
    <row r="32" spans="1:11" ht="15" customHeight="1" x14ac:dyDescent="0.25">
      <c r="B32" s="162" t="s">
        <v>61</v>
      </c>
      <c r="C32" s="162">
        <v>933</v>
      </c>
      <c r="D32" s="108">
        <v>2142</v>
      </c>
      <c r="E32" s="57">
        <f>+C32/D32</f>
        <v>0.43557422969187676</v>
      </c>
      <c r="G32" s="86" t="s">
        <v>86</v>
      </c>
      <c r="H32" s="87">
        <v>20743</v>
      </c>
      <c r="I32" s="88">
        <v>518.57500000000005</v>
      </c>
      <c r="J32" s="224"/>
      <c r="K32" s="215"/>
    </row>
    <row r="33" spans="1:11" ht="15" customHeight="1" x14ac:dyDescent="0.25">
      <c r="B33" s="162" t="s">
        <v>62</v>
      </c>
      <c r="C33" s="162">
        <v>1888</v>
      </c>
      <c r="D33" s="108">
        <v>1890</v>
      </c>
      <c r="E33" s="57">
        <f>+C33/D33</f>
        <v>0.99894179894179891</v>
      </c>
      <c r="G33" s="86" t="s">
        <v>171</v>
      </c>
      <c r="H33" s="87">
        <v>12</v>
      </c>
      <c r="I33" s="88">
        <v>0.30000000000000004</v>
      </c>
      <c r="J33" s="297" t="s">
        <v>188</v>
      </c>
      <c r="K33" s="215"/>
    </row>
    <row r="34" spans="1:11" ht="15" customHeight="1" x14ac:dyDescent="0.25">
      <c r="B34" s="162" t="s">
        <v>63</v>
      </c>
      <c r="C34" s="67">
        <v>1040</v>
      </c>
      <c r="D34" s="108">
        <v>3006</v>
      </c>
      <c r="E34" s="57">
        <f>+C34/D34</f>
        <v>0.34597471723220224</v>
      </c>
      <c r="G34" s="89" t="s">
        <v>169</v>
      </c>
      <c r="H34" s="87">
        <v>303</v>
      </c>
      <c r="I34" s="88">
        <f>+H34*1.5</f>
        <v>454.5</v>
      </c>
      <c r="J34" s="298">
        <f>+I34+I32</f>
        <v>973.07500000000005</v>
      </c>
      <c r="K34" s="215" t="s">
        <v>191</v>
      </c>
    </row>
    <row r="35" spans="1:11" x14ac:dyDescent="0.25">
      <c r="C35" s="162">
        <f>+SUM(C32:C34)</f>
        <v>3861</v>
      </c>
      <c r="D35" s="110">
        <f>+SUM(D32:D34)</f>
        <v>7038</v>
      </c>
      <c r="E35" s="57">
        <f>+C35/D35</f>
        <v>0.54859335038363166</v>
      </c>
      <c r="G35" s="89" t="s">
        <v>168</v>
      </c>
      <c r="H35" s="87">
        <v>16</v>
      </c>
      <c r="I35" s="88">
        <f>+H35*1.5</f>
        <v>24</v>
      </c>
      <c r="J35" s="228" t="s">
        <v>193</v>
      </c>
      <c r="K35" s="215"/>
    </row>
    <row r="36" spans="1:11" ht="15" customHeight="1" x14ac:dyDescent="0.25">
      <c r="G36" s="231" t="s">
        <v>123</v>
      </c>
      <c r="H36" s="138">
        <v>231</v>
      </c>
      <c r="I36" s="232">
        <v>346.5</v>
      </c>
      <c r="J36" s="218" t="s">
        <v>146</v>
      </c>
      <c r="K36" s="215"/>
    </row>
    <row r="37" spans="1:1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  <c r="K37" s="215"/>
    </row>
    <row r="38" spans="1:11" ht="15" customHeight="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219</v>
      </c>
      <c r="I38" s="88">
        <f>+H38*1.5</f>
        <v>328.5</v>
      </c>
      <c r="J38" s="224" t="s">
        <v>152</v>
      </c>
      <c r="K38" s="215"/>
    </row>
    <row r="39" spans="1:11" x14ac:dyDescent="0.25">
      <c r="B39" s="73">
        <v>34</v>
      </c>
      <c r="C39" s="74">
        <v>2</v>
      </c>
      <c r="D39" s="74">
        <v>12</v>
      </c>
      <c r="E39" s="75">
        <f>+SUM(B39:D39)</f>
        <v>48</v>
      </c>
      <c r="J39" s="218"/>
      <c r="K39" s="215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  <c r="K40" s="215"/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  <c r="K41" s="215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  <c r="K42" s="215"/>
    </row>
    <row r="43" spans="1:11" x14ac:dyDescent="0.25">
      <c r="A43" s="207" t="s">
        <v>71</v>
      </c>
      <c r="B43" s="199">
        <v>10.38</v>
      </c>
      <c r="C43" s="199">
        <v>1542</v>
      </c>
      <c r="D43" s="200">
        <v>3600</v>
      </c>
      <c r="E43" s="201">
        <f t="shared" si="3"/>
        <v>0.42833333333333334</v>
      </c>
      <c r="F43" s="201">
        <f t="shared" si="4"/>
        <v>0.43250000000000005</v>
      </c>
      <c r="G43" s="202">
        <v>12</v>
      </c>
      <c r="H43" s="71"/>
      <c r="K43" s="215"/>
    </row>
    <row r="44" spans="1:11" x14ac:dyDescent="0.25">
      <c r="A44" s="207" t="s">
        <v>72</v>
      </c>
      <c r="B44" s="199">
        <v>6.61</v>
      </c>
      <c r="C44" s="199">
        <v>1372</v>
      </c>
      <c r="D44" s="200">
        <v>3900</v>
      </c>
      <c r="E44" s="201">
        <f t="shared" si="3"/>
        <v>0.35179487179487179</v>
      </c>
      <c r="F44" s="201">
        <f t="shared" si="4"/>
        <v>0.2754166666666667</v>
      </c>
      <c r="G44" s="202">
        <v>12</v>
      </c>
      <c r="H44" s="237" t="s">
        <v>195</v>
      </c>
      <c r="J44" s="162" t="s">
        <v>177</v>
      </c>
      <c r="K44" s="215"/>
    </row>
    <row r="45" spans="1:11" x14ac:dyDescent="0.25">
      <c r="A45" s="207" t="s">
        <v>73</v>
      </c>
      <c r="B45" s="199">
        <v>9.39</v>
      </c>
      <c r="C45" s="199">
        <v>2742</v>
      </c>
      <c r="D45" s="200">
        <v>3900</v>
      </c>
      <c r="E45" s="201">
        <f t="shared" si="3"/>
        <v>0.70307692307692304</v>
      </c>
      <c r="F45" s="201">
        <f t="shared" si="4"/>
        <v>0.39125000000000004</v>
      </c>
      <c r="G45" s="202">
        <v>12</v>
      </c>
      <c r="H45" s="301">
        <v>45925</v>
      </c>
      <c r="I45" s="129" t="s">
        <v>176</v>
      </c>
      <c r="J45" s="162">
        <v>143</v>
      </c>
      <c r="K45" s="215"/>
    </row>
    <row r="46" spans="1:11" x14ac:dyDescent="0.25">
      <c r="A46" s="207" t="s">
        <v>74</v>
      </c>
      <c r="B46" s="199">
        <v>15.86</v>
      </c>
      <c r="C46" s="199">
        <v>2452</v>
      </c>
      <c r="D46" s="200">
        <v>3900</v>
      </c>
      <c r="E46" s="201">
        <f t="shared" si="3"/>
        <v>0.62871794871794873</v>
      </c>
      <c r="F46" s="201">
        <f t="shared" si="4"/>
        <v>0.66083333333333327</v>
      </c>
      <c r="G46" s="202">
        <v>12</v>
      </c>
      <c r="H46" s="301"/>
      <c r="I46" s="129" t="s">
        <v>92</v>
      </c>
      <c r="J46" s="66">
        <f>+J45*1.5</f>
        <v>214.5</v>
      </c>
      <c r="K46" s="215"/>
    </row>
    <row r="47" spans="1:11" x14ac:dyDescent="0.25">
      <c r="A47" s="259" t="s">
        <v>75</v>
      </c>
      <c r="B47" s="260">
        <v>3.38</v>
      </c>
      <c r="C47" s="261">
        <v>2098</v>
      </c>
      <c r="D47" s="262">
        <v>4300</v>
      </c>
      <c r="E47" s="263">
        <f t="shared" si="3"/>
        <v>0.48790697674418604</v>
      </c>
      <c r="F47" s="201">
        <f t="shared" si="4"/>
        <v>0.14083333333333334</v>
      </c>
      <c r="G47" s="202">
        <v>16</v>
      </c>
      <c r="H47" s="237" t="s">
        <v>197</v>
      </c>
      <c r="J47" s="162" t="s">
        <v>157</v>
      </c>
      <c r="K47" s="215"/>
    </row>
    <row r="48" spans="1:11" x14ac:dyDescent="0.25">
      <c r="C48" s="71" t="s">
        <v>83</v>
      </c>
      <c r="D48" s="72" t="s">
        <v>79</v>
      </c>
      <c r="H48" s="301">
        <v>45929</v>
      </c>
      <c r="I48" s="129" t="s">
        <v>176</v>
      </c>
      <c r="J48" s="162">
        <v>5120</v>
      </c>
      <c r="K48" s="215"/>
    </row>
    <row r="49" spans="2:11" x14ac:dyDescent="0.25">
      <c r="B49" s="162" t="s">
        <v>78</v>
      </c>
      <c r="H49" s="71"/>
      <c r="I49" s="162" t="s">
        <v>92</v>
      </c>
      <c r="J49" s="66">
        <f>+J48*0.025</f>
        <v>128</v>
      </c>
      <c r="K49" s="198"/>
    </row>
    <row r="50" spans="2:11" x14ac:dyDescent="0.25">
      <c r="C50" s="71">
        <v>1</v>
      </c>
      <c r="D50" s="225" t="s">
        <v>153</v>
      </c>
      <c r="H50" s="71"/>
      <c r="K50" s="215"/>
    </row>
    <row r="51" spans="2:11" x14ac:dyDescent="0.25">
      <c r="C51" s="71">
        <v>2</v>
      </c>
      <c r="D51" s="225" t="s">
        <v>153</v>
      </c>
      <c r="H51" s="71"/>
      <c r="K51" s="215"/>
    </row>
    <row r="52" spans="2:11" x14ac:dyDescent="0.25">
      <c r="C52" s="71">
        <v>3</v>
      </c>
      <c r="D52" s="225" t="s">
        <v>154</v>
      </c>
      <c r="H52" s="71"/>
      <c r="K52" s="215"/>
    </row>
    <row r="53" spans="2:11" x14ac:dyDescent="0.25">
      <c r="C53" s="71">
        <v>4</v>
      </c>
      <c r="D53" s="108">
        <v>0</v>
      </c>
      <c r="H53" s="71"/>
      <c r="K53" s="215"/>
    </row>
    <row r="54" spans="2:11" x14ac:dyDescent="0.25">
      <c r="C54" s="71">
        <v>5</v>
      </c>
      <c r="D54" s="108">
        <v>8</v>
      </c>
      <c r="K54" s="215"/>
    </row>
    <row r="55" spans="2:11" x14ac:dyDescent="0.25">
      <c r="C55" s="71">
        <v>6</v>
      </c>
      <c r="D55" s="108">
        <v>7</v>
      </c>
      <c r="K55" s="215"/>
    </row>
    <row r="56" spans="2:11" x14ac:dyDescent="0.25">
      <c r="C56" s="71">
        <v>7</v>
      </c>
      <c r="D56" s="225" t="s">
        <v>153</v>
      </c>
      <c r="K56" s="215"/>
    </row>
    <row r="57" spans="2:11" x14ac:dyDescent="0.25">
      <c r="C57" s="71">
        <v>8</v>
      </c>
      <c r="D57" s="225" t="s">
        <v>153</v>
      </c>
      <c r="K57" s="215"/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workbookViewId="0">
      <selection activeCell="H22" sqref="H22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5.28515625" style="162" customWidth="1"/>
    <col min="6" max="6" width="15.42578125" style="162" customWidth="1"/>
    <col min="7" max="7" width="15.7109375" style="162" customWidth="1"/>
    <col min="8" max="16384" width="11.42578125" style="162"/>
  </cols>
  <sheetData>
    <row r="1" spans="1:10" ht="15" customHeight="1" x14ac:dyDescent="0.25">
      <c r="A1" s="161"/>
      <c r="B1" s="518">
        <v>45930</v>
      </c>
      <c r="C1" s="518"/>
      <c r="D1" s="518"/>
      <c r="E1" s="61" t="s">
        <v>160</v>
      </c>
      <c r="F1" s="307" t="s">
        <v>161</v>
      </c>
      <c r="G1" s="307" t="s">
        <v>198</v>
      </c>
      <c r="H1" s="307" t="s">
        <v>199</v>
      </c>
    </row>
    <row r="2" spans="1:10" x14ac:dyDescent="0.25">
      <c r="E2" s="62">
        <v>231652</v>
      </c>
      <c r="F2" s="308">
        <v>236439.93706744793</v>
      </c>
      <c r="G2" s="308">
        <v>227685.55591976581</v>
      </c>
      <c r="H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+E2/30</f>
        <v>7721.7333333333336</v>
      </c>
      <c r="F3" s="62"/>
    </row>
    <row r="4" spans="1:10" ht="19.5" customHeight="1" thickBot="1" x14ac:dyDescent="0.4">
      <c r="A4" s="164"/>
      <c r="B4" s="306"/>
      <c r="C4" s="306"/>
      <c r="D4" s="165">
        <f>D26</f>
        <v>9040.5419999999995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6019</v>
      </c>
      <c r="D5" s="172">
        <v>256.726</v>
      </c>
      <c r="E5" s="80">
        <f>+D5/$D$4</f>
        <v>2.8397191230348801E-2</v>
      </c>
      <c r="F5" s="58" t="s">
        <v>51</v>
      </c>
      <c r="G5" s="59">
        <v>45929</v>
      </c>
      <c r="H5" s="190">
        <v>6736.0000000000009</v>
      </c>
      <c r="I5" s="141">
        <v>7013.3159999999989</v>
      </c>
      <c r="J5" s="60">
        <f t="shared" ref="J5:J12" si="0">+I5/H5</f>
        <v>1.0411692399049879</v>
      </c>
    </row>
    <row r="6" spans="1:10" ht="15" customHeight="1" x14ac:dyDescent="0.25">
      <c r="A6" s="164"/>
      <c r="B6" s="169" t="s">
        <v>10</v>
      </c>
      <c r="C6" s="177">
        <v>10874</v>
      </c>
      <c r="D6" s="173">
        <v>464.238</v>
      </c>
      <c r="E6" s="80">
        <f t="shared" ref="E6:E26" si="1">+D6/$D$4</f>
        <v>5.1350682293163398E-2</v>
      </c>
      <c r="F6" s="58" t="s">
        <v>52</v>
      </c>
      <c r="G6" s="59">
        <v>45930</v>
      </c>
      <c r="H6" s="190">
        <v>9114</v>
      </c>
      <c r="I6" s="141">
        <v>9040.5419999999995</v>
      </c>
      <c r="J6" s="60">
        <f t="shared" si="0"/>
        <v>0.99194009216589851</v>
      </c>
    </row>
    <row r="7" spans="1:10" ht="15" customHeight="1" x14ac:dyDescent="0.25">
      <c r="A7" s="164"/>
      <c r="B7" s="169" t="s">
        <v>35</v>
      </c>
      <c r="C7" s="177">
        <v>18934</v>
      </c>
      <c r="D7" s="173">
        <v>807.14200000000005</v>
      </c>
      <c r="E7" s="80">
        <f t="shared" si="1"/>
        <v>8.928026660348462E-2</v>
      </c>
      <c r="F7" s="58" t="s">
        <v>53</v>
      </c>
      <c r="G7" s="59">
        <v>45931</v>
      </c>
      <c r="H7" s="190">
        <v>8334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37</v>
      </c>
      <c r="C8" s="177">
        <v>44042</v>
      </c>
      <c r="D8" s="173">
        <v>1878.7</v>
      </c>
      <c r="E8" s="245">
        <f t="shared" si="1"/>
        <v>0.20780833715500688</v>
      </c>
      <c r="F8" s="58" t="s">
        <v>54</v>
      </c>
      <c r="G8" s="59">
        <v>45932</v>
      </c>
      <c r="H8" s="190">
        <v>9169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38</v>
      </c>
      <c r="C9" s="177">
        <v>52987</v>
      </c>
      <c r="D9" s="173">
        <v>2259.442</v>
      </c>
      <c r="E9" s="245">
        <f t="shared" si="1"/>
        <v>0.24992328999743602</v>
      </c>
      <c r="F9" s="58" t="s">
        <v>55</v>
      </c>
      <c r="G9" s="59">
        <v>45933</v>
      </c>
      <c r="H9" s="190">
        <v>9530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10630</v>
      </c>
      <c r="D10" s="173">
        <v>453.904</v>
      </c>
      <c r="E10" s="80">
        <f t="shared" si="1"/>
        <v>5.0207609234048135E-2</v>
      </c>
      <c r="F10" s="58" t="s">
        <v>56</v>
      </c>
      <c r="G10" s="59">
        <v>45934</v>
      </c>
      <c r="H10" s="190">
        <v>6701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</v>
      </c>
      <c r="C11" s="177">
        <v>6395</v>
      </c>
      <c r="D11" s="173">
        <v>272.95</v>
      </c>
      <c r="E11" s="80">
        <f t="shared" si="1"/>
        <v>3.0191773900281643E-2</v>
      </c>
      <c r="F11" s="58" t="s">
        <v>57</v>
      </c>
      <c r="G11" s="59">
        <v>45935</v>
      </c>
      <c r="H11" s="190">
        <v>5368.0000000000009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200</v>
      </c>
      <c r="C12" s="177">
        <v>750</v>
      </c>
      <c r="D12" s="173">
        <v>31.97</v>
      </c>
      <c r="E12" s="80">
        <f t="shared" si="1"/>
        <v>3.536292403707654E-3</v>
      </c>
      <c r="H12" s="139">
        <f>+SUM(H5:H11)</f>
        <v>54952</v>
      </c>
      <c r="I12" s="142">
        <f>+SUM(I5:I11)</f>
        <v>16053.857999999998</v>
      </c>
      <c r="J12" s="140">
        <f t="shared" si="0"/>
        <v>0.29214328868830974</v>
      </c>
    </row>
    <row r="13" spans="1:10" ht="15" customHeight="1" x14ac:dyDescent="0.25">
      <c r="A13" s="164"/>
      <c r="B13" s="169" t="s">
        <v>196</v>
      </c>
      <c r="C13" s="177">
        <v>4968</v>
      </c>
      <c r="D13" s="173">
        <v>125.14</v>
      </c>
      <c r="E13" s="80">
        <f t="shared" si="1"/>
        <v>1.3842090441037718E-2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85</v>
      </c>
      <c r="D14" s="173">
        <v>128.37</v>
      </c>
      <c r="E14" s="80">
        <f t="shared" si="1"/>
        <v>1.4199369905034457E-2</v>
      </c>
      <c r="F14" s="112" t="s">
        <v>108</v>
      </c>
      <c r="G14" s="190">
        <v>204007.80300000001</v>
      </c>
      <c r="H14" s="190">
        <v>190629.128</v>
      </c>
      <c r="I14" s="57">
        <f t="shared" ref="I14:I22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134</v>
      </c>
      <c r="D15" s="173">
        <v>202.09</v>
      </c>
      <c r="E15" s="80">
        <f t="shared" si="1"/>
        <v>2.2353748259783542E-2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39</v>
      </c>
      <c r="C16" s="177">
        <v>648</v>
      </c>
      <c r="D16" s="173">
        <v>977.56</v>
      </c>
      <c r="E16" s="80">
        <f t="shared" si="1"/>
        <v>0.1081306850850314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194</v>
      </c>
      <c r="C17" s="177"/>
      <c r="D17" s="173"/>
      <c r="E17" s="80">
        <f t="shared" si="1"/>
        <v>0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49</v>
      </c>
      <c r="C18" s="177">
        <v>42</v>
      </c>
      <c r="D18" s="173">
        <v>63.17</v>
      </c>
      <c r="E18" s="80">
        <f t="shared" si="1"/>
        <v>6.9874129228092744E-3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45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41</v>
      </c>
      <c r="C20" s="177">
        <v>197</v>
      </c>
      <c r="D20" s="173">
        <v>296.08</v>
      </c>
      <c r="E20" s="80">
        <f>+D20/$D$4</f>
        <v>3.2750248823577167E-2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88</v>
      </c>
      <c r="C21" s="177">
        <v>20</v>
      </c>
      <c r="D21" s="173">
        <v>30.87</v>
      </c>
      <c r="E21" s="80">
        <f t="shared" si="1"/>
        <v>3.4146182828418917E-3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40</v>
      </c>
      <c r="C22" s="177"/>
      <c r="D22" s="173">
        <v>456.56</v>
      </c>
      <c r="E22" s="80">
        <f t="shared" si="1"/>
        <v>5.0501396929520381E-2</v>
      </c>
      <c r="F22" s="112" t="s">
        <v>160</v>
      </c>
      <c r="G22" s="272">
        <v>231021.16800000001</v>
      </c>
      <c r="H22" s="272">
        <f>+D27</f>
        <v>234732.79399999999</v>
      </c>
      <c r="I22" s="98">
        <f t="shared" si="2"/>
        <v>1.0160661727759943</v>
      </c>
      <c r="J22" s="108">
        <f>+H24-G24</f>
        <v>-7255.9660000004806</v>
      </c>
    </row>
    <row r="23" spans="1:11" ht="15" customHeight="1" x14ac:dyDescent="0.25">
      <c r="A23" s="164"/>
      <c r="B23" s="169" t="s">
        <v>184</v>
      </c>
      <c r="C23" s="177"/>
      <c r="D23" s="173">
        <v>31.71</v>
      </c>
      <c r="E23" s="80">
        <f t="shared" si="1"/>
        <v>3.5075330660484742E-3</v>
      </c>
      <c r="F23" s="112" t="s">
        <v>161</v>
      </c>
      <c r="G23" s="272">
        <v>237591.573</v>
      </c>
      <c r="H23" s="112"/>
    </row>
    <row r="24" spans="1:11" ht="15" customHeight="1" x14ac:dyDescent="0.25">
      <c r="A24" s="164"/>
      <c r="B24" s="169" t="s">
        <v>9</v>
      </c>
      <c r="C24" s="177"/>
      <c r="D24" s="173">
        <v>184.05</v>
      </c>
      <c r="E24" s="80">
        <f t="shared" si="1"/>
        <v>2.035829267758504E-2</v>
      </c>
      <c r="G24" s="273">
        <f>+SUM(G14:G22)</f>
        <v>1884683.6730000002</v>
      </c>
      <c r="H24" s="273">
        <f>+SUM(H14:H22)</f>
        <v>1877427.7069999997</v>
      </c>
      <c r="I24" s="274">
        <f>+H24/G24</f>
        <v>0.99615003509397915</v>
      </c>
      <c r="J24" s="275">
        <f>+H24-G24</f>
        <v>-7255.9660000004806</v>
      </c>
    </row>
    <row r="25" spans="1:11" ht="15" customHeight="1" thickBot="1" x14ac:dyDescent="0.3">
      <c r="A25" s="164"/>
      <c r="B25" s="10" t="s">
        <v>46</v>
      </c>
      <c r="C25" s="177"/>
      <c r="D25" s="55">
        <v>119.87</v>
      </c>
      <c r="E25" s="80">
        <f t="shared" si="1"/>
        <v>1.3259160789253566E-2</v>
      </c>
      <c r="F25" s="299"/>
    </row>
    <row r="26" spans="1:11" ht="15" customHeight="1" thickBot="1" x14ac:dyDescent="0.3">
      <c r="B26" s="178" t="s">
        <v>0</v>
      </c>
      <c r="C26" s="170"/>
      <c r="D26" s="171">
        <f>SUM(D5:D25)</f>
        <v>9040.5419999999995</v>
      </c>
      <c r="E26" s="80">
        <f t="shared" si="1"/>
        <v>1</v>
      </c>
      <c r="F26" s="179"/>
      <c r="G26" s="179"/>
    </row>
    <row r="27" spans="1:11" ht="15" customHeight="1" thickBot="1" x14ac:dyDescent="0.3">
      <c r="B27" s="166" t="s">
        <v>1</v>
      </c>
      <c r="C27" s="167"/>
      <c r="D27" s="233">
        <v>234732.79399999999</v>
      </c>
      <c r="E27" s="294">
        <f>+D27/E2</f>
        <v>1.0132992333327577</v>
      </c>
      <c r="F27" s="68"/>
      <c r="G27" s="179"/>
    </row>
    <row r="28" spans="1:11" ht="15" customHeight="1" x14ac:dyDescent="0.25">
      <c r="D28" s="108">
        <f>+(E2/30)*30</f>
        <v>231652</v>
      </c>
      <c r="E28" s="98">
        <f>+D28/E2</f>
        <v>1</v>
      </c>
      <c r="K28" s="215"/>
    </row>
    <row r="29" spans="1:11" ht="15" customHeight="1" x14ac:dyDescent="0.25">
      <c r="D29" s="138">
        <f>+D27-D28</f>
        <v>3080.7939999999944</v>
      </c>
      <c r="E29" s="251">
        <f>E27-E28</f>
        <v>1.3299233332757732E-2</v>
      </c>
      <c r="K29" s="215"/>
    </row>
    <row r="30" spans="1:11" ht="15" customHeight="1" x14ac:dyDescent="0.25">
      <c r="G30" s="300" t="s">
        <v>190</v>
      </c>
      <c r="H30" s="87">
        <v>382</v>
      </c>
      <c r="I30" s="88">
        <f>+H30*1.5</f>
        <v>573</v>
      </c>
      <c r="K30" s="215"/>
    </row>
    <row r="31" spans="1:11" ht="15" customHeight="1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  <c r="K31" s="215"/>
    </row>
    <row r="32" spans="1:11" ht="15" customHeight="1" x14ac:dyDescent="0.25">
      <c r="B32" s="162" t="s">
        <v>61</v>
      </c>
      <c r="C32" s="162">
        <v>1111</v>
      </c>
      <c r="D32" s="108">
        <v>2142</v>
      </c>
      <c r="E32" s="57">
        <f>+C32/D32</f>
        <v>0.51867413632119519</v>
      </c>
      <c r="G32" s="86" t="s">
        <v>86</v>
      </c>
      <c r="H32" s="87">
        <v>15438</v>
      </c>
      <c r="I32" s="88">
        <v>389.7</v>
      </c>
      <c r="J32" s="224"/>
      <c r="K32" s="215"/>
    </row>
    <row r="33" spans="1:11" ht="15" customHeight="1" x14ac:dyDescent="0.25">
      <c r="B33" s="162" t="s">
        <v>62</v>
      </c>
      <c r="C33" s="162">
        <v>1280</v>
      </c>
      <c r="D33" s="108">
        <v>1890</v>
      </c>
      <c r="E33" s="57">
        <f>+C33/D33</f>
        <v>0.67724867724867721</v>
      </c>
      <c r="G33" s="86" t="s">
        <v>171</v>
      </c>
      <c r="H33" s="87">
        <v>12</v>
      </c>
      <c r="I33" s="88">
        <v>0.30000000000000004</v>
      </c>
      <c r="J33" s="297" t="s">
        <v>188</v>
      </c>
      <c r="K33" s="215"/>
    </row>
    <row r="34" spans="1:11" x14ac:dyDescent="0.25">
      <c r="B34" s="162" t="s">
        <v>63</v>
      </c>
      <c r="C34" s="67">
        <v>950</v>
      </c>
      <c r="D34" s="108">
        <v>3006</v>
      </c>
      <c r="E34" s="57">
        <f>+C34/D34</f>
        <v>0.31603459747172324</v>
      </c>
      <c r="G34" s="89" t="s">
        <v>169</v>
      </c>
      <c r="H34" s="87">
        <v>288</v>
      </c>
      <c r="I34" s="88">
        <v>432</v>
      </c>
      <c r="J34" s="298">
        <f>+I34+I32</f>
        <v>821.7</v>
      </c>
      <c r="K34" s="215" t="s">
        <v>191</v>
      </c>
    </row>
    <row r="35" spans="1:11" ht="15" customHeight="1" x14ac:dyDescent="0.25">
      <c r="C35" s="162">
        <f>+SUM(C32:C34)</f>
        <v>3341</v>
      </c>
      <c r="D35" s="110">
        <f>+SUM(D32:D34)</f>
        <v>7038</v>
      </c>
      <c r="E35" s="57">
        <f>+C35/D35</f>
        <v>0.4747087240693379</v>
      </c>
      <c r="G35" s="89" t="s">
        <v>168</v>
      </c>
      <c r="H35" s="87">
        <v>16</v>
      </c>
      <c r="I35" s="88">
        <f>+H35*1.5</f>
        <v>24</v>
      </c>
      <c r="J35" s="228" t="s">
        <v>193</v>
      </c>
      <c r="K35" s="215"/>
    </row>
    <row r="36" spans="1:11" x14ac:dyDescent="0.25">
      <c r="G36" s="231" t="s">
        <v>123</v>
      </c>
      <c r="H36" s="138">
        <v>231</v>
      </c>
      <c r="I36" s="232">
        <v>346.5</v>
      </c>
      <c r="J36" s="218" t="s">
        <v>146</v>
      </c>
      <c r="K36" s="215"/>
    </row>
    <row r="37" spans="1:11" ht="15" customHeight="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  <c r="K37" s="215"/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219</v>
      </c>
      <c r="I38" s="88">
        <f>+H38*1.5</f>
        <v>328.5</v>
      </c>
      <c r="J38" s="224" t="s">
        <v>152</v>
      </c>
      <c r="K38" s="215"/>
    </row>
    <row r="39" spans="1:11" x14ac:dyDescent="0.25">
      <c r="B39" s="73">
        <v>24</v>
      </c>
      <c r="C39" s="74">
        <v>12</v>
      </c>
      <c r="D39" s="74">
        <v>10</v>
      </c>
      <c r="E39" s="75">
        <f>+SUM(B39:D39)</f>
        <v>46</v>
      </c>
      <c r="J39" s="218"/>
      <c r="K39" s="215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  <c r="K40" s="215"/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  <c r="K41" s="215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  <c r="K42" s="215"/>
    </row>
    <row r="43" spans="1:11" x14ac:dyDescent="0.25">
      <c r="A43" s="207" t="s">
        <v>71</v>
      </c>
      <c r="B43" s="199">
        <v>14.97</v>
      </c>
      <c r="C43" s="199">
        <v>1603</v>
      </c>
      <c r="D43" s="200">
        <v>3600</v>
      </c>
      <c r="E43" s="201">
        <f t="shared" si="3"/>
        <v>0.44527777777777777</v>
      </c>
      <c r="F43" s="201">
        <f t="shared" si="4"/>
        <v>0.62375000000000003</v>
      </c>
      <c r="G43" s="202">
        <v>12</v>
      </c>
      <c r="H43" s="71"/>
      <c r="K43" s="215"/>
    </row>
    <row r="44" spans="1:11" x14ac:dyDescent="0.25">
      <c r="A44" s="207" t="s">
        <v>72</v>
      </c>
      <c r="B44" s="199">
        <v>6.65</v>
      </c>
      <c r="C44" s="199">
        <v>1397</v>
      </c>
      <c r="D44" s="200">
        <v>3900</v>
      </c>
      <c r="E44" s="201">
        <f t="shared" si="3"/>
        <v>0.35820512820512823</v>
      </c>
      <c r="F44" s="201">
        <f t="shared" si="4"/>
        <v>0.27708333333333335</v>
      </c>
      <c r="G44" s="202">
        <v>12</v>
      </c>
      <c r="H44" s="237" t="s">
        <v>195</v>
      </c>
      <c r="J44" s="162" t="s">
        <v>177</v>
      </c>
      <c r="K44" s="215"/>
    </row>
    <row r="45" spans="1:11" x14ac:dyDescent="0.25">
      <c r="A45" s="207" t="s">
        <v>73</v>
      </c>
      <c r="B45" s="199">
        <v>12.94</v>
      </c>
      <c r="C45" s="199">
        <v>2582</v>
      </c>
      <c r="D45" s="200">
        <v>3900</v>
      </c>
      <c r="E45" s="201">
        <f t="shared" si="3"/>
        <v>0.66205128205128205</v>
      </c>
      <c r="F45" s="201">
        <f t="shared" si="4"/>
        <v>0.53916666666666668</v>
      </c>
      <c r="G45" s="202">
        <v>12</v>
      </c>
      <c r="H45" s="301">
        <v>45925</v>
      </c>
      <c r="I45" s="129" t="s">
        <v>176</v>
      </c>
      <c r="J45" s="162">
        <v>143</v>
      </c>
      <c r="K45" s="215"/>
    </row>
    <row r="46" spans="1:11" x14ac:dyDescent="0.25">
      <c r="A46" s="207" t="s">
        <v>74</v>
      </c>
      <c r="B46" s="199">
        <v>17.190000000000001</v>
      </c>
      <c r="C46" s="199">
        <v>2791</v>
      </c>
      <c r="D46" s="200">
        <v>3900</v>
      </c>
      <c r="E46" s="201">
        <f t="shared" si="3"/>
        <v>0.71564102564102561</v>
      </c>
      <c r="F46" s="201">
        <f t="shared" si="4"/>
        <v>0.71625000000000005</v>
      </c>
      <c r="G46" s="202">
        <v>12</v>
      </c>
      <c r="H46" s="301"/>
      <c r="I46" s="129" t="s">
        <v>92</v>
      </c>
      <c r="J46" s="66">
        <f>+J45*1.5</f>
        <v>214.5</v>
      </c>
      <c r="K46" s="215"/>
    </row>
    <row r="47" spans="1:11" x14ac:dyDescent="0.25">
      <c r="A47" s="259" t="s">
        <v>75</v>
      </c>
      <c r="B47" s="260">
        <v>15.63</v>
      </c>
      <c r="C47" s="261">
        <v>2454</v>
      </c>
      <c r="D47" s="262">
        <v>4300</v>
      </c>
      <c r="E47" s="263">
        <f t="shared" si="3"/>
        <v>0.57069767441860464</v>
      </c>
      <c r="F47" s="201">
        <f t="shared" si="4"/>
        <v>0.65125</v>
      </c>
      <c r="G47" s="202">
        <v>16</v>
      </c>
      <c r="H47" s="237" t="s">
        <v>197</v>
      </c>
      <c r="J47" s="162" t="s">
        <v>157</v>
      </c>
      <c r="K47" s="215"/>
    </row>
    <row r="48" spans="1:11" x14ac:dyDescent="0.25">
      <c r="C48" s="71" t="s">
        <v>83</v>
      </c>
      <c r="D48" s="72" t="s">
        <v>79</v>
      </c>
      <c r="H48" s="301">
        <v>45929</v>
      </c>
      <c r="I48" s="129" t="s">
        <v>176</v>
      </c>
      <c r="J48" s="162">
        <v>5120</v>
      </c>
      <c r="K48" s="215"/>
    </row>
    <row r="49" spans="2:11" x14ac:dyDescent="0.25">
      <c r="B49" s="162" t="s">
        <v>78</v>
      </c>
      <c r="H49" s="71"/>
      <c r="I49" s="162" t="s">
        <v>92</v>
      </c>
      <c r="J49" s="66">
        <f>+J48*0.025</f>
        <v>128</v>
      </c>
      <c r="K49" s="198"/>
    </row>
    <row r="50" spans="2:11" x14ac:dyDescent="0.25">
      <c r="C50" s="71">
        <v>1</v>
      </c>
      <c r="D50" s="225" t="s">
        <v>153</v>
      </c>
      <c r="H50" s="71"/>
      <c r="K50" s="215"/>
    </row>
    <row r="51" spans="2:11" x14ac:dyDescent="0.25">
      <c r="C51" s="71">
        <v>2</v>
      </c>
      <c r="D51" s="225" t="s">
        <v>153</v>
      </c>
      <c r="H51" s="71"/>
      <c r="K51" s="215"/>
    </row>
    <row r="52" spans="2:11" x14ac:dyDescent="0.25">
      <c r="C52" s="71">
        <v>3</v>
      </c>
      <c r="D52" s="225" t="s">
        <v>154</v>
      </c>
      <c r="H52" s="71"/>
      <c r="K52" s="215"/>
    </row>
    <row r="53" spans="2:11" x14ac:dyDescent="0.25">
      <c r="C53" s="71">
        <v>4</v>
      </c>
      <c r="D53" s="108">
        <v>0</v>
      </c>
      <c r="H53" s="71"/>
      <c r="K53" s="215"/>
    </row>
    <row r="54" spans="2:11" x14ac:dyDescent="0.25">
      <c r="C54" s="71">
        <v>5</v>
      </c>
      <c r="D54" s="108">
        <v>9</v>
      </c>
      <c r="K54" s="215"/>
    </row>
    <row r="55" spans="2:11" x14ac:dyDescent="0.25">
      <c r="C55" s="71">
        <v>6</v>
      </c>
      <c r="D55" s="108">
        <v>9</v>
      </c>
      <c r="K55" s="215"/>
    </row>
    <row r="56" spans="2:11" x14ac:dyDescent="0.25">
      <c r="C56" s="71">
        <v>7</v>
      </c>
      <c r="D56" s="225" t="s">
        <v>153</v>
      </c>
      <c r="K56" s="215"/>
    </row>
    <row r="57" spans="2:11" x14ac:dyDescent="0.25">
      <c r="C57" s="71">
        <v>8</v>
      </c>
      <c r="D57" s="225" t="s">
        <v>153</v>
      </c>
      <c r="K57" s="215"/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opLeftCell="A18" workbookViewId="0">
      <selection activeCell="E34" sqref="E34"/>
    </sheetView>
  </sheetViews>
  <sheetFormatPr baseColWidth="10" defaultColWidth="11.42578125" defaultRowHeight="15.75" x14ac:dyDescent="0.25"/>
  <cols>
    <col min="1" max="1" width="2.42578125" style="162" customWidth="1"/>
    <col min="2" max="2" width="40.28515625" style="162" customWidth="1"/>
    <col min="3" max="3" width="15.28515625" style="162" customWidth="1"/>
    <col min="4" max="4" width="15.28515625" style="163" customWidth="1"/>
    <col min="5" max="5" width="15.28515625" style="162" customWidth="1"/>
    <col min="6" max="6" width="15.42578125" style="162" customWidth="1"/>
    <col min="7" max="7" width="15.7109375" style="162" customWidth="1"/>
    <col min="8" max="10" width="11.42578125" style="162"/>
    <col min="11" max="11" width="7.140625" style="162" bestFit="1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161</v>
      </c>
      <c r="G1" s="307" t="s">
        <v>198</v>
      </c>
      <c r="H1" s="307" t="s">
        <v>199</v>
      </c>
    </row>
    <row r="2" spans="1:10" x14ac:dyDescent="0.25">
      <c r="E2" s="62">
        <v>236439.93706744793</v>
      </c>
      <c r="F2" s="308">
        <v>236439.93706744793</v>
      </c>
      <c r="G2" s="308">
        <v>227685.55591976581</v>
      </c>
      <c r="H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09"/>
      <c r="C4" s="309"/>
      <c r="D4" s="165">
        <f>D26</f>
        <v>9247.4259999999995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5391</v>
      </c>
      <c r="D5" s="172">
        <v>229.86799999999999</v>
      </c>
      <c r="E5" s="80">
        <f>+D5/$D$4</f>
        <v>2.4857511701093904E-2</v>
      </c>
      <c r="F5" s="58" t="s">
        <v>51</v>
      </c>
      <c r="G5" s="59">
        <v>45929</v>
      </c>
      <c r="H5" s="190">
        <v>6736.0000000000009</v>
      </c>
      <c r="I5" s="141">
        <v>7013.3159999999989</v>
      </c>
      <c r="J5" s="60">
        <f t="shared" ref="J5:J12" si="0">+I5/H5</f>
        <v>1.0411692399049879</v>
      </c>
    </row>
    <row r="6" spans="1:10" ht="15" customHeight="1" x14ac:dyDescent="0.25">
      <c r="A6" s="164"/>
      <c r="B6" s="169" t="s">
        <v>10</v>
      </c>
      <c r="C6" s="177">
        <v>13539</v>
      </c>
      <c r="D6" s="173">
        <v>577.88199999999995</v>
      </c>
      <c r="E6" s="80">
        <f t="shared" ref="E6:E26" si="1">+D6/$D$4</f>
        <v>6.2491119150345185E-2</v>
      </c>
      <c r="F6" s="58" t="s">
        <v>52</v>
      </c>
      <c r="G6" s="59">
        <v>45930</v>
      </c>
      <c r="H6" s="190">
        <v>9114</v>
      </c>
      <c r="I6" s="141">
        <v>9040.5419999999995</v>
      </c>
      <c r="J6" s="60">
        <f t="shared" si="0"/>
        <v>0.99194009216589851</v>
      </c>
    </row>
    <row r="7" spans="1:10" ht="15" customHeight="1" x14ac:dyDescent="0.25">
      <c r="A7" s="164"/>
      <c r="B7" s="169" t="s">
        <v>35</v>
      </c>
      <c r="C7" s="177">
        <v>23393</v>
      </c>
      <c r="D7" s="173">
        <v>997.88</v>
      </c>
      <c r="E7" s="80">
        <f t="shared" si="1"/>
        <v>0.10790894677070138</v>
      </c>
      <c r="F7" s="58" t="s">
        <v>53</v>
      </c>
      <c r="G7" s="59">
        <v>45931</v>
      </c>
      <c r="H7" s="190">
        <v>8334</v>
      </c>
      <c r="I7" s="141">
        <v>9247.4259999999995</v>
      </c>
      <c r="J7" s="60">
        <f t="shared" si="0"/>
        <v>1.109602351811855</v>
      </c>
    </row>
    <row r="8" spans="1:10" ht="15" customHeight="1" x14ac:dyDescent="0.25">
      <c r="A8" s="164"/>
      <c r="B8" s="169" t="s">
        <v>37</v>
      </c>
      <c r="C8" s="177">
        <v>51995</v>
      </c>
      <c r="D8" s="173">
        <v>2217.4079999999999</v>
      </c>
      <c r="E8" s="245">
        <f t="shared" si="1"/>
        <v>0.23978650924051731</v>
      </c>
      <c r="F8" s="58" t="s">
        <v>54</v>
      </c>
      <c r="G8" s="59">
        <v>45932</v>
      </c>
      <c r="H8" s="190">
        <v>9169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38</v>
      </c>
      <c r="C9" s="177">
        <v>58854</v>
      </c>
      <c r="D9" s="173">
        <v>2511.018</v>
      </c>
      <c r="E9" s="245">
        <f t="shared" si="1"/>
        <v>0.27153696607034217</v>
      </c>
      <c r="F9" s="58" t="s">
        <v>55</v>
      </c>
      <c r="G9" s="59">
        <v>45933</v>
      </c>
      <c r="H9" s="190">
        <v>9530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13537</v>
      </c>
      <c r="D10" s="173">
        <v>578.38800000000003</v>
      </c>
      <c r="E10" s="80">
        <f t="shared" si="1"/>
        <v>6.254583707942081E-2</v>
      </c>
      <c r="F10" s="58" t="s">
        <v>56</v>
      </c>
      <c r="G10" s="59">
        <v>45934</v>
      </c>
      <c r="H10" s="190">
        <v>6701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</v>
      </c>
      <c r="C11" s="177">
        <v>3036</v>
      </c>
      <c r="D11" s="173">
        <v>129.482</v>
      </c>
      <c r="E11" s="80">
        <f t="shared" si="1"/>
        <v>1.4001950380570767E-2</v>
      </c>
      <c r="F11" s="58" t="s">
        <v>57</v>
      </c>
      <c r="G11" s="59">
        <v>45935</v>
      </c>
      <c r="H11" s="190">
        <v>5368.0000000000009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200</v>
      </c>
      <c r="C12" s="177"/>
      <c r="D12" s="173"/>
      <c r="E12" s="80">
        <f t="shared" si="1"/>
        <v>0</v>
      </c>
      <c r="H12" s="139">
        <f>+SUM(H5:H11)</f>
        <v>54952</v>
      </c>
      <c r="I12" s="142">
        <f>+SUM(I5:I11)</f>
        <v>25301.284</v>
      </c>
      <c r="J12" s="140">
        <f t="shared" si="0"/>
        <v>0.46042517105837821</v>
      </c>
    </row>
    <row r="13" spans="1:10" ht="15" customHeight="1" x14ac:dyDescent="0.25">
      <c r="A13" s="164"/>
      <c r="B13" s="169" t="s">
        <v>196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68</v>
      </c>
      <c r="D14" s="173">
        <v>102.78</v>
      </c>
      <c r="E14" s="80">
        <f t="shared" si="1"/>
        <v>1.1114444170734646E-2</v>
      </c>
      <c r="F14" s="112" t="s">
        <v>108</v>
      </c>
      <c r="G14" s="190">
        <v>204007.80300000001</v>
      </c>
      <c r="H14" s="190">
        <v>190629.128</v>
      </c>
      <c r="I14" s="57">
        <f>+H14/G14</f>
        <v>0.93442076820953746</v>
      </c>
    </row>
    <row r="15" spans="1:10" ht="15" customHeight="1" x14ac:dyDescent="0.25">
      <c r="A15" s="164"/>
      <c r="B15" s="169" t="s">
        <v>43</v>
      </c>
      <c r="C15" s="177">
        <v>203</v>
      </c>
      <c r="D15" s="173">
        <v>306.58</v>
      </c>
      <c r="E15" s="80">
        <f t="shared" si="1"/>
        <v>3.3153009280636581E-2</v>
      </c>
      <c r="F15" s="112" t="s">
        <v>109</v>
      </c>
      <c r="G15" s="190">
        <v>186305.94399999996</v>
      </c>
      <c r="H15" s="190">
        <v>182874.285</v>
      </c>
      <c r="I15" s="57">
        <f>+H15/G15</f>
        <v>0.9815805179033904</v>
      </c>
    </row>
    <row r="16" spans="1:10" ht="15" customHeight="1" x14ac:dyDescent="0.25">
      <c r="A16" s="164"/>
      <c r="B16" s="169" t="s">
        <v>39</v>
      </c>
      <c r="C16" s="177">
        <v>470</v>
      </c>
      <c r="D16" s="173">
        <v>708.81</v>
      </c>
      <c r="E16" s="80">
        <f t="shared" si="1"/>
        <v>7.6649437367760503E-2</v>
      </c>
      <c r="F16" s="112" t="s">
        <v>110</v>
      </c>
      <c r="G16" s="190">
        <v>199570.19199999989</v>
      </c>
      <c r="H16" s="190">
        <v>197224.22099999999</v>
      </c>
      <c r="I16" s="57">
        <f>+H16/G16</f>
        <v>0.98824488278289624</v>
      </c>
    </row>
    <row r="17" spans="1:11" ht="15" customHeight="1" x14ac:dyDescent="0.25">
      <c r="A17" s="164"/>
      <c r="B17" s="169" t="s">
        <v>194</v>
      </c>
      <c r="C17" s="177"/>
      <c r="D17" s="173"/>
      <c r="E17" s="80">
        <f t="shared" si="1"/>
        <v>0</v>
      </c>
      <c r="F17" s="112" t="s">
        <v>111</v>
      </c>
      <c r="G17" s="190">
        <v>205343.72800000012</v>
      </c>
      <c r="H17" s="190">
        <v>198970.75799999986</v>
      </c>
      <c r="I17" s="57">
        <f>+H17/G17</f>
        <v>0.96896437956945902</v>
      </c>
    </row>
    <row r="18" spans="1:11" ht="15" customHeight="1" x14ac:dyDescent="0.25">
      <c r="A18" s="164"/>
      <c r="B18" s="169" t="s">
        <v>49</v>
      </c>
      <c r="C18" s="177">
        <v>40</v>
      </c>
      <c r="D18" s="173">
        <v>60.12</v>
      </c>
      <c r="E18" s="80">
        <f t="shared" si="1"/>
        <v>6.5012685692213161E-3</v>
      </c>
      <c r="F18" s="112" t="s">
        <v>102</v>
      </c>
      <c r="G18" s="190">
        <v>209473.77399999995</v>
      </c>
      <c r="H18" s="190">
        <v>212393.17300000001</v>
      </c>
      <c r="I18" s="236">
        <f t="shared" ref="I18:I24" si="2">+H18/G18</f>
        <v>1.0139368234230604</v>
      </c>
    </row>
    <row r="19" spans="1:11" ht="15" customHeight="1" x14ac:dyDescent="0.25">
      <c r="A19" s="164"/>
      <c r="B19" s="169" t="s">
        <v>45</v>
      </c>
      <c r="C19" s="177">
        <v>44</v>
      </c>
      <c r="D19" s="173">
        <v>66.13</v>
      </c>
      <c r="E19" s="80">
        <f t="shared" si="1"/>
        <v>7.1511791497439392E-3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41</v>
      </c>
      <c r="C20" s="177">
        <v>187</v>
      </c>
      <c r="D20" s="173">
        <v>281.27</v>
      </c>
      <c r="E20" s="80">
        <f>+D20/$D$4</f>
        <v>3.0416031444858278E-2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88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40</v>
      </c>
      <c r="C22" s="177"/>
      <c r="D22" s="173">
        <v>326.06</v>
      </c>
      <c r="E22" s="80">
        <f t="shared" si="1"/>
        <v>3.5259541411848012E-2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A23" s="164"/>
      <c r="B23" s="169" t="s">
        <v>184</v>
      </c>
      <c r="C23" s="177"/>
      <c r="D23" s="173"/>
      <c r="E23" s="80">
        <f t="shared" si="1"/>
        <v>0</v>
      </c>
      <c r="F23" s="112" t="s">
        <v>161</v>
      </c>
      <c r="G23" s="272">
        <v>237591.573</v>
      </c>
      <c r="H23" s="311">
        <f>+D27</f>
        <v>9247.4259999999995</v>
      </c>
      <c r="I23" s="98">
        <f t="shared" si="2"/>
        <v>3.8921523534001766E-2</v>
      </c>
    </row>
    <row r="24" spans="1:11" ht="15" customHeight="1" x14ac:dyDescent="0.25">
      <c r="A24" s="164"/>
      <c r="B24" s="169" t="s">
        <v>9</v>
      </c>
      <c r="C24" s="177"/>
      <c r="D24" s="173">
        <v>124.1</v>
      </c>
      <c r="E24" s="80">
        <f t="shared" si="1"/>
        <v>1.3419950589493768E-2</v>
      </c>
      <c r="G24" s="273">
        <f>+SUM(G14:G23)</f>
        <v>2122275.2460000003</v>
      </c>
      <c r="H24" s="273">
        <f>+SUM(H14:H23)</f>
        <v>1886675.1329999997</v>
      </c>
      <c r="I24" s="274">
        <f t="shared" si="2"/>
        <v>0.88898701361001475</v>
      </c>
      <c r="J24" s="275">
        <f>+H24-G24</f>
        <v>-235600.11300000059</v>
      </c>
    </row>
    <row r="25" spans="1:11" ht="15" customHeight="1" thickBot="1" x14ac:dyDescent="0.3">
      <c r="A25" s="164"/>
      <c r="B25" s="10" t="s">
        <v>46</v>
      </c>
      <c r="C25" s="177"/>
      <c r="D25" s="55">
        <v>29.65</v>
      </c>
      <c r="E25" s="80">
        <f t="shared" si="1"/>
        <v>3.2062976227114444E-3</v>
      </c>
      <c r="F25" s="299"/>
    </row>
    <row r="26" spans="1:11" ht="15" customHeight="1" thickBot="1" x14ac:dyDescent="0.3">
      <c r="B26" s="178" t="s">
        <v>0</v>
      </c>
      <c r="C26" s="170"/>
      <c r="D26" s="171">
        <f>SUM(D5:D25)</f>
        <v>9247.4259999999995</v>
      </c>
      <c r="E26" s="80">
        <f t="shared" si="1"/>
        <v>1</v>
      </c>
      <c r="F26" s="179"/>
      <c r="G26" s="179"/>
    </row>
    <row r="27" spans="1:11" ht="15" customHeight="1" thickBot="1" x14ac:dyDescent="0.3">
      <c r="B27" s="166" t="s">
        <v>1</v>
      </c>
      <c r="C27" s="167"/>
      <c r="D27" s="233">
        <v>9247.4259999999995</v>
      </c>
      <c r="E27" s="294">
        <f>+D27/E2</f>
        <v>3.9111099904251947E-2</v>
      </c>
      <c r="F27" s="68"/>
      <c r="G27" s="179"/>
    </row>
    <row r="28" spans="1:11" ht="15" customHeight="1" x14ac:dyDescent="0.25">
      <c r="D28" s="108">
        <f>+(E2/30)*1</f>
        <v>7881.3312355815979</v>
      </c>
      <c r="E28" s="98">
        <f>+D28/E2</f>
        <v>3.3333333333333333E-2</v>
      </c>
      <c r="K28" s="215"/>
    </row>
    <row r="29" spans="1:11" ht="15" customHeight="1" x14ac:dyDescent="0.25">
      <c r="D29" s="138">
        <f>+D27-D28</f>
        <v>1366.0947644184016</v>
      </c>
      <c r="E29" s="251">
        <f>E27-E28</f>
        <v>5.7777665709186146E-3</v>
      </c>
      <c r="K29" s="215"/>
    </row>
    <row r="30" spans="1:11" ht="15" customHeight="1" x14ac:dyDescent="0.25">
      <c r="G30" s="300" t="s">
        <v>190</v>
      </c>
      <c r="H30" s="87">
        <v>21</v>
      </c>
      <c r="I30" s="88">
        <f>+H30*1.5</f>
        <v>31.5</v>
      </c>
      <c r="K30" s="215"/>
    </row>
    <row r="31" spans="1:11" ht="15" customHeight="1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  <c r="K31" s="215"/>
    </row>
    <row r="32" spans="1:11" ht="15" customHeight="1" x14ac:dyDescent="0.25">
      <c r="B32" s="162" t="s">
        <v>61</v>
      </c>
      <c r="C32" s="162">
        <v>742</v>
      </c>
      <c r="D32" s="108">
        <v>2142</v>
      </c>
      <c r="E32" s="57">
        <f>+C32/D32</f>
        <v>0.34640522875816993</v>
      </c>
      <c r="G32" s="86" t="s">
        <v>86</v>
      </c>
      <c r="H32" s="87">
        <v>15438</v>
      </c>
      <c r="I32" s="88">
        <v>389.7</v>
      </c>
      <c r="J32" s="224"/>
      <c r="K32" s="215"/>
    </row>
    <row r="33" spans="1:11" ht="15" customHeight="1" x14ac:dyDescent="0.25">
      <c r="B33" s="162" t="s">
        <v>62</v>
      </c>
      <c r="C33" s="162">
        <v>970</v>
      </c>
      <c r="D33" s="108">
        <v>1890</v>
      </c>
      <c r="E33" s="57">
        <f>+C33/D33</f>
        <v>0.51322751322751325</v>
      </c>
      <c r="G33" s="86" t="s">
        <v>171</v>
      </c>
      <c r="H33" s="87">
        <v>12</v>
      </c>
      <c r="I33" s="88">
        <v>0.30000000000000004</v>
      </c>
      <c r="J33" s="297" t="s">
        <v>188</v>
      </c>
      <c r="K33" s="215"/>
    </row>
    <row r="34" spans="1:11" x14ac:dyDescent="0.25">
      <c r="B34" s="162" t="s">
        <v>63</v>
      </c>
      <c r="C34" s="67">
        <v>898</v>
      </c>
      <c r="D34" s="108">
        <v>3006</v>
      </c>
      <c r="E34" s="57">
        <f>+C34/D34</f>
        <v>0.29873586161011312</v>
      </c>
      <c r="G34" s="89" t="s">
        <v>169</v>
      </c>
      <c r="H34" s="87">
        <v>288</v>
      </c>
      <c r="I34" s="88">
        <v>432</v>
      </c>
      <c r="J34" s="298">
        <f>+I34+I32</f>
        <v>821.7</v>
      </c>
      <c r="K34" s="215" t="s">
        <v>191</v>
      </c>
    </row>
    <row r="35" spans="1:11" ht="15" customHeight="1" x14ac:dyDescent="0.25">
      <c r="C35" s="162">
        <f>+SUM(C32:C34)</f>
        <v>2610</v>
      </c>
      <c r="D35" s="110">
        <f>+SUM(D32:D34)</f>
        <v>7038</v>
      </c>
      <c r="E35" s="57">
        <f>+C35/D35</f>
        <v>0.37084398976982097</v>
      </c>
      <c r="G35" s="89" t="s">
        <v>168</v>
      </c>
      <c r="H35" s="87">
        <v>16</v>
      </c>
      <c r="I35" s="88">
        <f>+H35*1.5</f>
        <v>24</v>
      </c>
      <c r="J35" s="228" t="s">
        <v>193</v>
      </c>
      <c r="K35" s="215"/>
    </row>
    <row r="36" spans="1:11" x14ac:dyDescent="0.25">
      <c r="G36" s="231" t="s">
        <v>123</v>
      </c>
      <c r="H36" s="138">
        <v>231</v>
      </c>
      <c r="I36" s="232">
        <v>346.5</v>
      </c>
      <c r="J36" s="218" t="s">
        <v>146</v>
      </c>
      <c r="K36" s="215"/>
    </row>
    <row r="37" spans="1:11" ht="15" customHeight="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  <c r="K37" s="215"/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219</v>
      </c>
      <c r="I38" s="88">
        <f>+H38*1.5</f>
        <v>328.5</v>
      </c>
      <c r="J38" s="224" t="s">
        <v>152</v>
      </c>
      <c r="K38" s="215"/>
    </row>
    <row r="39" spans="1:11" x14ac:dyDescent="0.25">
      <c r="B39" s="73">
        <v>19</v>
      </c>
      <c r="C39" s="74">
        <v>5</v>
      </c>
      <c r="D39" s="74">
        <v>14</v>
      </c>
      <c r="E39" s="75">
        <f>+SUM(B39:D39)</f>
        <v>38</v>
      </c>
      <c r="J39" s="218"/>
      <c r="K39" s="215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  <c r="K40" s="215"/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  <c r="K41" s="215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  <c r="K42" s="215"/>
    </row>
    <row r="43" spans="1:11" x14ac:dyDescent="0.25">
      <c r="A43" s="207" t="s">
        <v>71</v>
      </c>
      <c r="B43" s="199">
        <v>14.25</v>
      </c>
      <c r="C43" s="199">
        <v>1452</v>
      </c>
      <c r="D43" s="200">
        <v>3600</v>
      </c>
      <c r="E43" s="201">
        <f t="shared" si="3"/>
        <v>0.40333333333333332</v>
      </c>
      <c r="F43" s="201">
        <f t="shared" si="4"/>
        <v>0.59375</v>
      </c>
      <c r="G43" s="202">
        <v>12</v>
      </c>
      <c r="H43" s="71"/>
      <c r="K43" s="215"/>
    </row>
    <row r="44" spans="1:11" x14ac:dyDescent="0.25">
      <c r="A44" s="207" t="s">
        <v>72</v>
      </c>
      <c r="B44" s="199">
        <v>15</v>
      </c>
      <c r="C44" s="199">
        <v>1512</v>
      </c>
      <c r="D44" s="200">
        <v>3900</v>
      </c>
      <c r="E44" s="201">
        <f t="shared" si="3"/>
        <v>0.38769230769230767</v>
      </c>
      <c r="F44" s="201">
        <f t="shared" si="4"/>
        <v>0.625</v>
      </c>
      <c r="G44" s="202">
        <v>12</v>
      </c>
      <c r="H44" s="237" t="s">
        <v>195</v>
      </c>
      <c r="J44" s="162" t="s">
        <v>177</v>
      </c>
      <c r="K44" s="215"/>
    </row>
    <row r="45" spans="1:11" x14ac:dyDescent="0.25">
      <c r="A45" s="207" t="s">
        <v>73</v>
      </c>
      <c r="B45" s="199">
        <v>13.13</v>
      </c>
      <c r="C45" s="199">
        <v>2240</v>
      </c>
      <c r="D45" s="200">
        <v>3900</v>
      </c>
      <c r="E45" s="201">
        <f t="shared" si="3"/>
        <v>0.57435897435897432</v>
      </c>
      <c r="F45" s="201">
        <f t="shared" si="4"/>
        <v>0.54708333333333337</v>
      </c>
      <c r="G45" s="202">
        <v>12</v>
      </c>
      <c r="H45" s="301">
        <v>45925</v>
      </c>
      <c r="I45" s="129" t="s">
        <v>176</v>
      </c>
      <c r="J45" s="162">
        <v>143</v>
      </c>
      <c r="K45" s="215"/>
    </row>
    <row r="46" spans="1:11" x14ac:dyDescent="0.25">
      <c r="A46" s="207" t="s">
        <v>74</v>
      </c>
      <c r="B46" s="199">
        <v>16.53</v>
      </c>
      <c r="C46" s="199">
        <v>2712</v>
      </c>
      <c r="D46" s="200">
        <v>3900</v>
      </c>
      <c r="E46" s="201">
        <f t="shared" si="3"/>
        <v>0.69538461538461538</v>
      </c>
      <c r="F46" s="201">
        <f t="shared" si="4"/>
        <v>0.68875000000000008</v>
      </c>
      <c r="G46" s="202">
        <v>12</v>
      </c>
      <c r="H46" s="301">
        <v>45931</v>
      </c>
      <c r="I46" s="129" t="s">
        <v>176</v>
      </c>
      <c r="J46" s="162">
        <v>47</v>
      </c>
      <c r="K46" s="215"/>
    </row>
    <row r="47" spans="1:11" x14ac:dyDescent="0.25">
      <c r="A47" s="259" t="s">
        <v>75</v>
      </c>
      <c r="B47" s="260">
        <v>13</v>
      </c>
      <c r="C47" s="261">
        <v>2631</v>
      </c>
      <c r="D47" s="262">
        <v>4300</v>
      </c>
      <c r="E47" s="263">
        <f t="shared" si="3"/>
        <v>0.61186046511627912</v>
      </c>
      <c r="F47" s="201">
        <f t="shared" si="4"/>
        <v>0.54166666666666663</v>
      </c>
      <c r="G47" s="202">
        <v>16</v>
      </c>
      <c r="H47" s="301"/>
      <c r="I47" s="129" t="s">
        <v>92</v>
      </c>
      <c r="J47" s="66">
        <f>+J46*1.5</f>
        <v>70.5</v>
      </c>
      <c r="K47" s="215"/>
    </row>
    <row r="48" spans="1:11" x14ac:dyDescent="0.25">
      <c r="C48" s="71" t="s">
        <v>83</v>
      </c>
      <c r="D48" s="72" t="s">
        <v>79</v>
      </c>
      <c r="H48" s="237" t="s">
        <v>197</v>
      </c>
      <c r="J48" s="162" t="s">
        <v>157</v>
      </c>
      <c r="K48" s="215"/>
    </row>
    <row r="49" spans="2:11" x14ac:dyDescent="0.25">
      <c r="B49" s="162" t="s">
        <v>78</v>
      </c>
      <c r="H49" s="301">
        <v>45929</v>
      </c>
      <c r="I49" s="129" t="s">
        <v>176</v>
      </c>
      <c r="J49" s="162">
        <v>5120</v>
      </c>
      <c r="K49" s="198"/>
    </row>
    <row r="50" spans="2:11" x14ac:dyDescent="0.25">
      <c r="C50" s="71">
        <v>1</v>
      </c>
      <c r="D50" s="225" t="s">
        <v>153</v>
      </c>
      <c r="H50" s="71"/>
      <c r="I50" s="162" t="s">
        <v>92</v>
      </c>
      <c r="J50" s="66">
        <f>+J49*0.025</f>
        <v>128</v>
      </c>
      <c r="K50" s="215"/>
    </row>
    <row r="51" spans="2:11" x14ac:dyDescent="0.25">
      <c r="C51" s="71">
        <v>2</v>
      </c>
      <c r="D51" s="225" t="s">
        <v>153</v>
      </c>
      <c r="H51" s="71"/>
      <c r="K51" s="215"/>
    </row>
    <row r="52" spans="2:11" x14ac:dyDescent="0.25">
      <c r="C52" s="71">
        <v>3</v>
      </c>
      <c r="D52" s="225" t="s">
        <v>154</v>
      </c>
      <c r="H52" s="71"/>
      <c r="K52" s="215"/>
    </row>
    <row r="53" spans="2:11" x14ac:dyDescent="0.25">
      <c r="C53" s="71">
        <v>4</v>
      </c>
      <c r="D53" s="108">
        <v>0</v>
      </c>
      <c r="H53" s="71"/>
      <c r="K53" s="215"/>
    </row>
    <row r="54" spans="2:11" x14ac:dyDescent="0.25">
      <c r="C54" s="71">
        <v>5</v>
      </c>
      <c r="D54" s="108">
        <v>9</v>
      </c>
      <c r="K54" s="215"/>
    </row>
    <row r="55" spans="2:11" x14ac:dyDescent="0.25">
      <c r="C55" s="71">
        <v>6</v>
      </c>
      <c r="D55" s="108">
        <v>8</v>
      </c>
      <c r="K55" s="215"/>
    </row>
    <row r="56" spans="2:11" x14ac:dyDescent="0.25">
      <c r="C56" s="71">
        <v>7</v>
      </c>
      <c r="D56" s="225" t="s">
        <v>153</v>
      </c>
      <c r="K56" s="215"/>
    </row>
    <row r="57" spans="2:11" x14ac:dyDescent="0.25">
      <c r="C57" s="71">
        <v>8</v>
      </c>
      <c r="D57" s="225" t="s">
        <v>153</v>
      </c>
      <c r="K57" s="215"/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B16" zoomScale="115" zoomScaleNormal="115" workbookViewId="0">
      <selection activeCell="E34" sqref="E34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62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09"/>
      <c r="C4" s="309"/>
      <c r="D4" s="165">
        <f>D26</f>
        <v>8275.8119999999999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5310</v>
      </c>
      <c r="D5" s="172">
        <v>226.65600000000001</v>
      </c>
      <c r="E5" s="80">
        <f>+D5/$D$4</f>
        <v>2.7387765695982461E-2</v>
      </c>
      <c r="F5" s="58" t="s">
        <v>51</v>
      </c>
      <c r="G5" s="59">
        <v>45929</v>
      </c>
      <c r="H5" s="190">
        <v>6736.0000000000009</v>
      </c>
      <c r="I5" s="141">
        <v>7013.3159999999989</v>
      </c>
      <c r="J5" s="60">
        <f t="shared" ref="J5:J12" si="0">+I5/H5</f>
        <v>1.0411692399049879</v>
      </c>
    </row>
    <row r="6" spans="1:10" ht="15" customHeight="1" x14ac:dyDescent="0.25">
      <c r="A6" s="164"/>
      <c r="B6" s="169" t="s">
        <v>10</v>
      </c>
      <c r="C6" s="177">
        <v>14009</v>
      </c>
      <c r="D6" s="173">
        <v>597.41699999999992</v>
      </c>
      <c r="E6" s="80">
        <f t="shared" ref="E6:E26" si="1">+D6/$D$4</f>
        <v>7.218832423936164E-2</v>
      </c>
      <c r="F6" s="58" t="s">
        <v>52</v>
      </c>
      <c r="G6" s="59">
        <v>45930</v>
      </c>
      <c r="H6" s="190">
        <v>9114</v>
      </c>
      <c r="I6" s="141">
        <v>9040.5419999999995</v>
      </c>
      <c r="J6" s="60">
        <f t="shared" si="0"/>
        <v>0.99194009216589851</v>
      </c>
    </row>
    <row r="7" spans="1:10" ht="15" customHeight="1" x14ac:dyDescent="0.25">
      <c r="A7" s="164"/>
      <c r="B7" s="169" t="s">
        <v>35</v>
      </c>
      <c r="C7" s="177">
        <v>16336</v>
      </c>
      <c r="D7" s="173">
        <v>696.32400000000007</v>
      </c>
      <c r="E7" s="80">
        <f t="shared" si="1"/>
        <v>8.4139659044937226E-2</v>
      </c>
      <c r="F7" s="58" t="s">
        <v>53</v>
      </c>
      <c r="G7" s="59">
        <v>45931</v>
      </c>
      <c r="H7" s="190">
        <v>8334</v>
      </c>
      <c r="I7" s="141">
        <v>9247.4259999999995</v>
      </c>
      <c r="J7" s="60">
        <f t="shared" si="0"/>
        <v>1.109602351811855</v>
      </c>
    </row>
    <row r="8" spans="1:10" ht="15" customHeight="1" x14ac:dyDescent="0.25">
      <c r="A8" s="164"/>
      <c r="B8" s="169" t="s">
        <v>4</v>
      </c>
      <c r="C8" s="177">
        <v>1534</v>
      </c>
      <c r="D8" s="173">
        <v>65.400000000000006</v>
      </c>
      <c r="E8" s="245">
        <f t="shared" si="1"/>
        <v>7.9025478104142542E-3</v>
      </c>
      <c r="F8" s="58" t="s">
        <v>54</v>
      </c>
      <c r="G8" s="59">
        <v>45932</v>
      </c>
      <c r="H8" s="190">
        <v>9169</v>
      </c>
      <c r="I8" s="141">
        <v>8275.8119999999999</v>
      </c>
      <c r="J8" s="60">
        <f t="shared" si="0"/>
        <v>0.9025861053550005</v>
      </c>
    </row>
    <row r="9" spans="1:10" ht="15" customHeight="1" x14ac:dyDescent="0.25">
      <c r="A9" s="164"/>
      <c r="B9" s="169" t="s">
        <v>37</v>
      </c>
      <c r="C9" s="177">
        <v>41102</v>
      </c>
      <c r="D9" s="173">
        <v>1752.8839999999996</v>
      </c>
      <c r="E9" s="245">
        <f t="shared" si="1"/>
        <v>0.21180809810566015</v>
      </c>
      <c r="F9" s="58" t="s">
        <v>55</v>
      </c>
      <c r="G9" s="59">
        <v>45933</v>
      </c>
      <c r="H9" s="190">
        <v>9530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42057</v>
      </c>
      <c r="D10" s="173">
        <v>1793.5739999999996</v>
      </c>
      <c r="E10" s="80">
        <f t="shared" si="1"/>
        <v>0.21672483618525887</v>
      </c>
      <c r="F10" s="58" t="s">
        <v>56</v>
      </c>
      <c r="G10" s="59">
        <v>45934</v>
      </c>
      <c r="H10" s="190">
        <v>6701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10900</v>
      </c>
      <c r="D11" s="173">
        <v>465.43799999999993</v>
      </c>
      <c r="E11" s="80">
        <f t="shared" si="1"/>
        <v>5.6240765256629792E-2</v>
      </c>
      <c r="F11" s="58" t="s">
        <v>57</v>
      </c>
      <c r="G11" s="59">
        <v>45935</v>
      </c>
      <c r="H11" s="190">
        <v>5368.0000000000009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200</v>
      </c>
      <c r="C12" s="177"/>
      <c r="D12" s="173"/>
      <c r="E12" s="80">
        <f t="shared" si="1"/>
        <v>0</v>
      </c>
      <c r="H12" s="139">
        <f>+SUM(H5:H11)</f>
        <v>54952</v>
      </c>
      <c r="I12" s="142">
        <f>+SUM(I5:I11)</f>
        <v>33577.095999999998</v>
      </c>
      <c r="J12" s="140">
        <f t="shared" si="0"/>
        <v>0.61102591352453051</v>
      </c>
    </row>
    <row r="13" spans="1:10" ht="15" customHeight="1" x14ac:dyDescent="0.25">
      <c r="A13" s="164"/>
      <c r="B13" s="169" t="s">
        <v>43</v>
      </c>
      <c r="C13" s="177">
        <v>393</v>
      </c>
      <c r="D13" s="173">
        <v>592.76999999999987</v>
      </c>
      <c r="E13" s="80">
        <f t="shared" si="1"/>
        <v>7.1626808342190457E-2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23</v>
      </c>
      <c r="D14" s="173">
        <v>34.72</v>
      </c>
      <c r="E14" s="80">
        <f t="shared" si="1"/>
        <v>4.1953587152535601E-3</v>
      </c>
      <c r="F14" s="112" t="s">
        <v>108</v>
      </c>
      <c r="G14" s="190">
        <v>204007.80300000001</v>
      </c>
      <c r="H14" s="190">
        <v>190629.128</v>
      </c>
      <c r="I14" s="57">
        <f>+H14/G14</f>
        <v>0.93442076820953746</v>
      </c>
    </row>
    <row r="15" spans="1:10" ht="15" customHeight="1" x14ac:dyDescent="0.25">
      <c r="A15" s="164"/>
      <c r="B15" s="169" t="s">
        <v>49</v>
      </c>
      <c r="C15" s="177">
        <v>66</v>
      </c>
      <c r="D15" s="173">
        <v>99.289000000000001</v>
      </c>
      <c r="E15" s="80">
        <f t="shared" si="1"/>
        <v>1.1997493418168513E-2</v>
      </c>
      <c r="F15" s="112" t="s">
        <v>109</v>
      </c>
      <c r="G15" s="190">
        <v>186305.94399999996</v>
      </c>
      <c r="H15" s="190">
        <v>182874.285</v>
      </c>
      <c r="I15" s="57">
        <f>+H15/G15</f>
        <v>0.9815805179033904</v>
      </c>
    </row>
    <row r="16" spans="1:10" ht="15" customHeight="1" x14ac:dyDescent="0.25">
      <c r="A16" s="164"/>
      <c r="B16" s="169" t="s">
        <v>45</v>
      </c>
      <c r="C16" s="177">
        <v>22</v>
      </c>
      <c r="D16" s="173">
        <v>33.01</v>
      </c>
      <c r="E16" s="80">
        <f t="shared" si="1"/>
        <v>3.988732465164747E-3</v>
      </c>
      <c r="F16" s="112" t="s">
        <v>110</v>
      </c>
      <c r="G16" s="190">
        <v>199570.19199999989</v>
      </c>
      <c r="H16" s="190">
        <v>197224.22099999999</v>
      </c>
      <c r="I16" s="57">
        <f>+H16/G16</f>
        <v>0.98824488278289624</v>
      </c>
    </row>
    <row r="17" spans="1:11" ht="15" customHeight="1" x14ac:dyDescent="0.25">
      <c r="A17" s="164"/>
      <c r="B17" s="169" t="s">
        <v>41</v>
      </c>
      <c r="C17" s="177">
        <v>109</v>
      </c>
      <c r="D17" s="173">
        <v>163.95999999999998</v>
      </c>
      <c r="E17" s="80">
        <f t="shared" si="1"/>
        <v>1.9811953195650166E-2</v>
      </c>
      <c r="F17" s="112" t="s">
        <v>111</v>
      </c>
      <c r="G17" s="190">
        <v>205343.72800000012</v>
      </c>
      <c r="H17" s="190">
        <v>198970.75799999986</v>
      </c>
      <c r="I17" s="57">
        <f>+H17/G17</f>
        <v>0.96896437956945902</v>
      </c>
    </row>
    <row r="18" spans="1:11" ht="15" customHeight="1" x14ac:dyDescent="0.25">
      <c r="A18" s="164"/>
      <c r="B18" s="169" t="s">
        <v>39</v>
      </c>
      <c r="C18" s="177">
        <v>502</v>
      </c>
      <c r="D18" s="173">
        <v>757.49</v>
      </c>
      <c r="E18" s="80">
        <f t="shared" si="1"/>
        <v>9.1530595426769001E-2</v>
      </c>
      <c r="F18" s="112" t="s">
        <v>102</v>
      </c>
      <c r="G18" s="190">
        <v>209473.77399999995</v>
      </c>
      <c r="H18" s="190">
        <v>212393.17300000001</v>
      </c>
      <c r="I18" s="236">
        <f t="shared" ref="I18:I24" si="2">+H18/G18</f>
        <v>1.0139368234230604</v>
      </c>
    </row>
    <row r="19" spans="1:11" ht="15" customHeight="1" x14ac:dyDescent="0.25">
      <c r="A19" s="164"/>
      <c r="B19" s="169" t="s">
        <v>88</v>
      </c>
      <c r="C19" s="177">
        <v>40</v>
      </c>
      <c r="D19" s="173">
        <v>60.3</v>
      </c>
      <c r="E19" s="80">
        <f t="shared" si="1"/>
        <v>7.2862940820791963E-3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41</v>
      </c>
      <c r="C20" s="177"/>
      <c r="D20" s="173"/>
      <c r="E20" s="80">
        <f>+D20/$D$4</f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88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40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A23" s="164"/>
      <c r="B23" s="169" t="s">
        <v>9</v>
      </c>
      <c r="C23" s="177"/>
      <c r="D23" s="173">
        <v>151.99</v>
      </c>
      <c r="E23" s="80">
        <f t="shared" si="1"/>
        <v>1.8365569445028478E-2</v>
      </c>
      <c r="F23" s="112" t="s">
        <v>161</v>
      </c>
      <c r="G23" s="272">
        <v>237591.573</v>
      </c>
      <c r="H23" s="311">
        <f>+D27</f>
        <v>17523.239000000001</v>
      </c>
      <c r="I23" s="98">
        <f t="shared" si="2"/>
        <v>7.3753621724622367E-2</v>
      </c>
    </row>
    <row r="24" spans="1:11" ht="15" customHeight="1" x14ac:dyDescent="0.25">
      <c r="A24" s="164"/>
      <c r="B24" s="169" t="s">
        <v>46</v>
      </c>
      <c r="C24" s="177"/>
      <c r="D24" s="173">
        <v>58.34</v>
      </c>
      <c r="E24" s="80">
        <f t="shared" si="1"/>
        <v>7.0494593158955286E-3</v>
      </c>
      <c r="G24" s="273">
        <f>+SUM(G14:G23)</f>
        <v>2122275.2460000003</v>
      </c>
      <c r="H24" s="273">
        <f>+SUM(H14:H23)</f>
        <v>1894950.9459999998</v>
      </c>
      <c r="I24" s="274">
        <f t="shared" si="2"/>
        <v>0.89288651392958829</v>
      </c>
      <c r="J24" s="275">
        <f>+H24-G24</f>
        <v>-227324.30000000051</v>
      </c>
    </row>
    <row r="25" spans="1:11" ht="15" customHeight="1" thickBot="1" x14ac:dyDescent="0.3">
      <c r="A25" s="164"/>
      <c r="B25" s="10" t="s">
        <v>40</v>
      </c>
      <c r="C25" s="177"/>
      <c r="D25" s="55">
        <v>726.25000000000023</v>
      </c>
      <c r="E25" s="80">
        <f t="shared" si="1"/>
        <v>8.7755739255555854E-2</v>
      </c>
      <c r="F25" s="299"/>
    </row>
    <row r="26" spans="1:11" ht="15" customHeight="1" thickBot="1" x14ac:dyDescent="0.3">
      <c r="B26" s="178" t="s">
        <v>0</v>
      </c>
      <c r="C26" s="170"/>
      <c r="D26" s="171">
        <f>SUM(D5:D25)</f>
        <v>8275.8119999999999</v>
      </c>
      <c r="E26" s="80">
        <f t="shared" si="1"/>
        <v>1</v>
      </c>
      <c r="F26" s="179"/>
      <c r="G26" s="179"/>
    </row>
    <row r="27" spans="1:11" ht="15" customHeight="1" thickBot="1" x14ac:dyDescent="0.3">
      <c r="B27" s="166" t="s">
        <v>1</v>
      </c>
      <c r="C27" s="167"/>
      <c r="D27" s="233">
        <v>17523.239000000001</v>
      </c>
      <c r="E27" s="294">
        <f>+D27/E2</f>
        <v>7.4112855963928137E-2</v>
      </c>
      <c r="F27" s="68"/>
      <c r="G27" s="179"/>
    </row>
    <row r="28" spans="1:11" x14ac:dyDescent="0.25">
      <c r="D28" s="108">
        <f>+(E2/30)*2</f>
        <v>15762.662471163196</v>
      </c>
      <c r="E28" s="98">
        <f>+D28/E2</f>
        <v>6.6666666666666666E-2</v>
      </c>
      <c r="K28" s="215"/>
    </row>
    <row r="29" spans="1:11" x14ac:dyDescent="0.25">
      <c r="D29" s="138">
        <f>+D27-D28</f>
        <v>1760.5765288368057</v>
      </c>
      <c r="E29" s="251">
        <f>E27-E28</f>
        <v>7.4461892972614713E-3</v>
      </c>
      <c r="K29" s="215"/>
    </row>
    <row r="30" spans="1:11" x14ac:dyDescent="0.25">
      <c r="G30" s="300" t="s">
        <v>190</v>
      </c>
      <c r="H30" s="87">
        <v>58</v>
      </c>
      <c r="I30" s="88">
        <f>+H30*1.5</f>
        <v>87</v>
      </c>
      <c r="K30" s="215"/>
    </row>
    <row r="31" spans="1:11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  <c r="K31" s="215"/>
    </row>
    <row r="32" spans="1:11" x14ac:dyDescent="0.25">
      <c r="B32" s="162" t="s">
        <v>61</v>
      </c>
      <c r="C32" s="162">
        <v>1157</v>
      </c>
      <c r="D32" s="108">
        <v>2142</v>
      </c>
      <c r="E32" s="57">
        <f>+C32/D32</f>
        <v>0.54014939309056953</v>
      </c>
      <c r="G32" s="86" t="s">
        <v>86</v>
      </c>
      <c r="H32" s="87">
        <v>15438</v>
      </c>
      <c r="I32" s="88">
        <v>389.7</v>
      </c>
      <c r="J32" s="224"/>
      <c r="K32" s="215"/>
    </row>
    <row r="33" spans="1:11" x14ac:dyDescent="0.25">
      <c r="B33" s="162" t="s">
        <v>62</v>
      </c>
      <c r="C33" s="162">
        <v>1000</v>
      </c>
      <c r="D33" s="108">
        <v>1890</v>
      </c>
      <c r="E33" s="57">
        <f>+C33/D33</f>
        <v>0.52910052910052907</v>
      </c>
      <c r="G33" s="86" t="s">
        <v>171</v>
      </c>
      <c r="H33" s="87">
        <v>12</v>
      </c>
      <c r="I33" s="88">
        <v>0.30000000000000004</v>
      </c>
      <c r="J33" s="297" t="s">
        <v>188</v>
      </c>
      <c r="K33" s="215"/>
    </row>
    <row r="34" spans="1:11" x14ac:dyDescent="0.25">
      <c r="B34" s="162" t="s">
        <v>63</v>
      </c>
      <c r="C34" s="67">
        <v>1255</v>
      </c>
      <c r="D34" s="108">
        <v>3006</v>
      </c>
      <c r="E34" s="57">
        <f>+C34/D34</f>
        <v>0.41749833666001329</v>
      </c>
      <c r="G34" s="89" t="s">
        <v>169</v>
      </c>
      <c r="H34" s="87">
        <v>248</v>
      </c>
      <c r="I34" s="88">
        <f>+H34*1.5</f>
        <v>372</v>
      </c>
      <c r="J34" s="298">
        <f>+I34+I32</f>
        <v>761.7</v>
      </c>
      <c r="K34" s="215" t="s">
        <v>191</v>
      </c>
    </row>
    <row r="35" spans="1:11" x14ac:dyDescent="0.25">
      <c r="C35" s="162">
        <f>+SUM(C32:C34)</f>
        <v>3412</v>
      </c>
      <c r="D35" s="110">
        <f>+SUM(D32:D34)</f>
        <v>7038</v>
      </c>
      <c r="E35" s="57">
        <f>+C35/D35</f>
        <v>0.48479681727763568</v>
      </c>
      <c r="G35" s="89" t="s">
        <v>168</v>
      </c>
      <c r="H35" s="87">
        <v>16</v>
      </c>
      <c r="I35" s="88">
        <f>+H35*1.5</f>
        <v>24</v>
      </c>
      <c r="J35" s="228" t="s">
        <v>193</v>
      </c>
      <c r="K35" s="215"/>
    </row>
    <row r="36" spans="1:11" x14ac:dyDescent="0.25">
      <c r="G36" s="231" t="s">
        <v>123</v>
      </c>
      <c r="H36" s="138">
        <v>231</v>
      </c>
      <c r="I36" s="232">
        <v>346.5</v>
      </c>
      <c r="J36" s="218" t="s">
        <v>146</v>
      </c>
      <c r="K36" s="215"/>
    </row>
    <row r="37" spans="1:1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  <c r="K37" s="215"/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219</v>
      </c>
      <c r="I38" s="88">
        <f>+H38*1.5</f>
        <v>328.5</v>
      </c>
      <c r="J38" s="224" t="s">
        <v>152</v>
      </c>
      <c r="K38" s="215"/>
    </row>
    <row r="39" spans="1:11" x14ac:dyDescent="0.25">
      <c r="B39" s="73">
        <v>10</v>
      </c>
      <c r="C39" s="74">
        <v>8</v>
      </c>
      <c r="D39" s="74">
        <v>27</v>
      </c>
      <c r="E39" s="75">
        <f>+SUM(B39:D39)</f>
        <v>45</v>
      </c>
      <c r="J39" s="218"/>
      <c r="K39" s="215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  <c r="K40" s="215"/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  <c r="K41" s="215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  <c r="K42" s="215"/>
    </row>
    <row r="43" spans="1:11" x14ac:dyDescent="0.25">
      <c r="A43" s="207" t="s">
        <v>71</v>
      </c>
      <c r="B43" s="199">
        <v>8.33</v>
      </c>
      <c r="C43" s="199">
        <v>1495</v>
      </c>
      <c r="D43" s="200">
        <v>3600</v>
      </c>
      <c r="E43" s="201">
        <f t="shared" si="3"/>
        <v>0.4152777777777778</v>
      </c>
      <c r="F43" s="201">
        <f t="shared" si="4"/>
        <v>0.34708333333333335</v>
      </c>
      <c r="G43" s="202">
        <v>12</v>
      </c>
      <c r="H43" s="71"/>
      <c r="K43" s="215"/>
    </row>
    <row r="44" spans="1:11" x14ac:dyDescent="0.25">
      <c r="A44" s="207" t="s">
        <v>72</v>
      </c>
      <c r="B44" s="199">
        <v>8.02</v>
      </c>
      <c r="C44" s="199">
        <v>1501</v>
      </c>
      <c r="D44" s="200">
        <v>3900</v>
      </c>
      <c r="E44" s="201">
        <f t="shared" si="3"/>
        <v>0.38487179487179485</v>
      </c>
      <c r="F44" s="201">
        <f t="shared" si="4"/>
        <v>0.33416666666666667</v>
      </c>
      <c r="G44" s="202">
        <v>12</v>
      </c>
      <c r="H44" s="237" t="s">
        <v>195</v>
      </c>
      <c r="J44" s="162" t="s">
        <v>177</v>
      </c>
      <c r="K44" s="215"/>
    </row>
    <row r="45" spans="1:11" x14ac:dyDescent="0.25">
      <c r="A45" s="207" t="s">
        <v>73</v>
      </c>
      <c r="B45" s="199"/>
      <c r="C45" s="199"/>
      <c r="D45" s="200">
        <v>3900</v>
      </c>
      <c r="E45" s="201">
        <f t="shared" si="3"/>
        <v>0</v>
      </c>
      <c r="F45" s="201">
        <f t="shared" si="4"/>
        <v>0</v>
      </c>
      <c r="G45" s="202">
        <v>12</v>
      </c>
      <c r="H45" s="301">
        <v>45925</v>
      </c>
      <c r="I45" s="129" t="s">
        <v>176</v>
      </c>
      <c r="J45" s="162">
        <v>143</v>
      </c>
      <c r="K45" s="215"/>
    </row>
    <row r="46" spans="1:11" x14ac:dyDescent="0.25">
      <c r="A46" s="207" t="s">
        <v>74</v>
      </c>
      <c r="B46" s="199">
        <v>16.03</v>
      </c>
      <c r="C46" s="199">
        <v>2769</v>
      </c>
      <c r="D46" s="200">
        <v>3900</v>
      </c>
      <c r="E46" s="201">
        <f t="shared" si="3"/>
        <v>0.71</v>
      </c>
      <c r="F46" s="201">
        <f t="shared" si="4"/>
        <v>0.66791666666666671</v>
      </c>
      <c r="G46" s="202">
        <v>12</v>
      </c>
      <c r="H46" s="301">
        <v>45931</v>
      </c>
      <c r="I46" s="129" t="s">
        <v>176</v>
      </c>
      <c r="J46" s="162">
        <v>47</v>
      </c>
      <c r="K46" s="215"/>
    </row>
    <row r="47" spans="1:11" x14ac:dyDescent="0.25">
      <c r="A47" s="259" t="s">
        <v>75</v>
      </c>
      <c r="B47" s="260">
        <v>10.62</v>
      </c>
      <c r="C47" s="261">
        <v>2560</v>
      </c>
      <c r="D47" s="262">
        <v>4300</v>
      </c>
      <c r="E47" s="263">
        <f t="shared" si="3"/>
        <v>0.59534883720930232</v>
      </c>
      <c r="F47" s="201">
        <f t="shared" si="4"/>
        <v>0.44249999999999995</v>
      </c>
      <c r="G47" s="202">
        <v>16</v>
      </c>
      <c r="H47" s="301"/>
      <c r="I47" s="129" t="s">
        <v>92</v>
      </c>
      <c r="J47" s="66">
        <f>+J46*1.5</f>
        <v>70.5</v>
      </c>
      <c r="K47" s="215"/>
    </row>
    <row r="48" spans="1:11" x14ac:dyDescent="0.25">
      <c r="C48" s="71" t="s">
        <v>83</v>
      </c>
      <c r="D48" s="72" t="s">
        <v>79</v>
      </c>
      <c r="H48" s="237" t="s">
        <v>197</v>
      </c>
      <c r="J48" s="162" t="s">
        <v>157</v>
      </c>
      <c r="K48" s="215"/>
    </row>
    <row r="49" spans="2:11" x14ac:dyDescent="0.25">
      <c r="B49" s="162" t="s">
        <v>78</v>
      </c>
      <c r="H49" s="301">
        <v>45929</v>
      </c>
      <c r="I49" s="129" t="s">
        <v>176</v>
      </c>
      <c r="J49" s="162">
        <v>5120</v>
      </c>
      <c r="K49" s="198"/>
    </row>
    <row r="50" spans="2:11" x14ac:dyDescent="0.25">
      <c r="C50" s="71">
        <v>1</v>
      </c>
      <c r="D50" s="225" t="s">
        <v>153</v>
      </c>
      <c r="H50" s="71"/>
      <c r="I50" s="162" t="s">
        <v>92</v>
      </c>
      <c r="J50" s="66">
        <f>+J49*0.025</f>
        <v>128</v>
      </c>
      <c r="K50" s="215"/>
    </row>
    <row r="51" spans="2:11" x14ac:dyDescent="0.25">
      <c r="C51" s="71">
        <v>2</v>
      </c>
      <c r="D51" s="225" t="s">
        <v>153</v>
      </c>
      <c r="H51" s="71"/>
      <c r="K51" s="215"/>
    </row>
    <row r="52" spans="2:11" x14ac:dyDescent="0.25">
      <c r="C52" s="71">
        <v>3</v>
      </c>
      <c r="D52" s="225" t="s">
        <v>154</v>
      </c>
      <c r="H52" s="71"/>
      <c r="K52" s="215"/>
    </row>
    <row r="53" spans="2:11" x14ac:dyDescent="0.25">
      <c r="C53" s="71">
        <v>4</v>
      </c>
      <c r="D53" s="108">
        <v>0</v>
      </c>
      <c r="H53" s="71"/>
      <c r="K53" s="215"/>
    </row>
    <row r="54" spans="2:11" x14ac:dyDescent="0.25">
      <c r="C54" s="71">
        <v>5</v>
      </c>
      <c r="D54" s="108">
        <v>5</v>
      </c>
      <c r="K54" s="215"/>
    </row>
    <row r="55" spans="2:11" x14ac:dyDescent="0.25">
      <c r="C55" s="71">
        <v>6</v>
      </c>
      <c r="D55" s="108">
        <v>5</v>
      </c>
      <c r="K55" s="215"/>
    </row>
    <row r="56" spans="2:11" x14ac:dyDescent="0.25">
      <c r="C56" s="71">
        <v>7</v>
      </c>
      <c r="D56" s="225" t="s">
        <v>153</v>
      </c>
      <c r="K56" s="215"/>
    </row>
    <row r="57" spans="2:11" x14ac:dyDescent="0.25">
      <c r="C57" s="71">
        <v>8</v>
      </c>
      <c r="D57" s="225" t="s">
        <v>153</v>
      </c>
      <c r="K57" s="215"/>
    </row>
    <row r="60" spans="2:11" x14ac:dyDescent="0.25">
      <c r="B60" s="162" t="s">
        <v>116</v>
      </c>
      <c r="C60" s="162" t="s">
        <v>58</v>
      </c>
      <c r="D60" s="93">
        <v>0.38</v>
      </c>
    </row>
    <row r="61" spans="2:11" x14ac:dyDescent="0.25">
      <c r="C61" s="162" t="s">
        <v>59</v>
      </c>
      <c r="D61" s="93">
        <v>0.44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85" zoomScaleNormal="85" workbookViewId="0">
      <selection activeCell="A34" sqref="A34:XFD34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3.5703125" style="162" bestFit="1" customWidth="1"/>
    <col min="6" max="16384" width="11.42578125" style="162"/>
  </cols>
  <sheetData>
    <row r="1" spans="1:10" ht="15" customHeight="1" x14ac:dyDescent="0.25">
      <c r="A1" s="161"/>
      <c r="B1" s="518">
        <v>45935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62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10"/>
      <c r="C4" s="310"/>
      <c r="D4" s="165">
        <f>D19</f>
        <v>4385.8740000000007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1685</v>
      </c>
      <c r="D5" s="172">
        <v>71.73</v>
      </c>
      <c r="E5" s="80">
        <f>+D5/$D$4</f>
        <v>1.6354779001859148E-2</v>
      </c>
      <c r="F5" s="58" t="s">
        <v>51</v>
      </c>
      <c r="G5" s="59">
        <v>45929</v>
      </c>
      <c r="H5" s="190">
        <v>6736.0000000000009</v>
      </c>
      <c r="I5" s="141">
        <v>7013.3159999999989</v>
      </c>
      <c r="J5" s="60">
        <f t="shared" ref="J5:J12" si="0">+I5/H5</f>
        <v>1.0411692399049879</v>
      </c>
    </row>
    <row r="6" spans="1:10" ht="15" customHeight="1" x14ac:dyDescent="0.25">
      <c r="A6" s="164"/>
      <c r="B6" s="169" t="s">
        <v>10</v>
      </c>
      <c r="C6" s="177">
        <v>6358</v>
      </c>
      <c r="D6" s="173">
        <v>271.30400000000003</v>
      </c>
      <c r="E6" s="80">
        <f t="shared" ref="E6:E19" si="1">+D6/$D$4</f>
        <v>6.1858594204940678E-2</v>
      </c>
      <c r="F6" s="58" t="s">
        <v>52</v>
      </c>
      <c r="G6" s="59">
        <v>45930</v>
      </c>
      <c r="H6" s="190">
        <v>9114</v>
      </c>
      <c r="I6" s="141">
        <v>9040.5419999999995</v>
      </c>
      <c r="J6" s="60">
        <f t="shared" si="0"/>
        <v>0.99194009216589851</v>
      </c>
    </row>
    <row r="7" spans="1:10" ht="15" customHeight="1" x14ac:dyDescent="0.25">
      <c r="A7" s="164"/>
      <c r="B7" s="169" t="s">
        <v>35</v>
      </c>
      <c r="C7" s="177">
        <v>17770</v>
      </c>
      <c r="D7" s="173">
        <v>757.06400000000008</v>
      </c>
      <c r="E7" s="80">
        <f t="shared" si="1"/>
        <v>0.17261416994651463</v>
      </c>
      <c r="F7" s="58" t="s">
        <v>53</v>
      </c>
      <c r="G7" s="59">
        <v>45931</v>
      </c>
      <c r="H7" s="190">
        <v>8334</v>
      </c>
      <c r="I7" s="141">
        <v>9247.4259999999995</v>
      </c>
      <c r="J7" s="60">
        <f t="shared" si="0"/>
        <v>1.109602351811855</v>
      </c>
    </row>
    <row r="8" spans="1:10" ht="15" customHeight="1" x14ac:dyDescent="0.25">
      <c r="A8" s="164"/>
      <c r="B8" s="169" t="s">
        <v>4</v>
      </c>
      <c r="C8" s="177">
        <v>4565</v>
      </c>
      <c r="D8" s="173">
        <v>194.78200000000001</v>
      </c>
      <c r="E8" s="80">
        <f t="shared" si="1"/>
        <v>4.4411216555696763E-2</v>
      </c>
      <c r="F8" s="58" t="s">
        <v>54</v>
      </c>
      <c r="G8" s="59">
        <v>45932</v>
      </c>
      <c r="H8" s="190">
        <v>9169</v>
      </c>
      <c r="I8" s="141">
        <v>8275.8119999999999</v>
      </c>
      <c r="J8" s="60">
        <f t="shared" si="0"/>
        <v>0.9025861053550005</v>
      </c>
    </row>
    <row r="9" spans="1:10" ht="15" customHeight="1" x14ac:dyDescent="0.25">
      <c r="A9" s="164"/>
      <c r="B9" s="169" t="s">
        <v>37</v>
      </c>
      <c r="C9" s="177">
        <v>14805</v>
      </c>
      <c r="D9" s="173">
        <v>630.89200000000005</v>
      </c>
      <c r="E9" s="245">
        <f t="shared" si="1"/>
        <v>0.1438463576473013</v>
      </c>
      <c r="F9" s="58" t="s">
        <v>55</v>
      </c>
      <c r="G9" s="59">
        <v>45933</v>
      </c>
      <c r="H9" s="190">
        <v>9530</v>
      </c>
      <c r="I9" s="141">
        <v>8752.4599999999991</v>
      </c>
      <c r="J9" s="60">
        <f t="shared" si="0"/>
        <v>0.91841133263378794</v>
      </c>
    </row>
    <row r="10" spans="1:10" ht="15" customHeight="1" x14ac:dyDescent="0.25">
      <c r="A10" s="164"/>
      <c r="B10" s="169" t="s">
        <v>38</v>
      </c>
      <c r="C10" s="177">
        <v>19705</v>
      </c>
      <c r="D10" s="173">
        <v>839.30600000000004</v>
      </c>
      <c r="E10" s="245">
        <f t="shared" si="1"/>
        <v>0.19136573462894738</v>
      </c>
      <c r="F10" s="58" t="s">
        <v>56</v>
      </c>
      <c r="G10" s="59">
        <v>45934</v>
      </c>
      <c r="H10" s="190">
        <v>6701</v>
      </c>
      <c r="I10" s="141">
        <v>6711.11</v>
      </c>
      <c r="J10" s="60">
        <f t="shared" si="0"/>
        <v>1.0015087300402925</v>
      </c>
    </row>
    <row r="11" spans="1:10" ht="15" customHeight="1" x14ac:dyDescent="0.25">
      <c r="A11" s="164"/>
      <c r="B11" s="169" t="s">
        <v>42</v>
      </c>
      <c r="C11" s="177">
        <v>10885</v>
      </c>
      <c r="D11" s="173">
        <v>464.98599999999999</v>
      </c>
      <c r="E11" s="80">
        <f t="shared" si="1"/>
        <v>0.10601900556194727</v>
      </c>
      <c r="F11" s="58" t="s">
        <v>57</v>
      </c>
      <c r="G11" s="59">
        <v>45935</v>
      </c>
      <c r="H11" s="190">
        <v>5368.0000000000009</v>
      </c>
      <c r="I11" s="141">
        <v>4385.8740000000007</v>
      </c>
      <c r="J11" s="60">
        <f t="shared" si="0"/>
        <v>0.81704061102831593</v>
      </c>
    </row>
    <row r="12" spans="1:10" ht="15" customHeight="1" x14ac:dyDescent="0.25">
      <c r="A12" s="164"/>
      <c r="B12" s="169" t="s">
        <v>196</v>
      </c>
      <c r="C12" s="177">
        <v>1224</v>
      </c>
      <c r="D12" s="173">
        <v>30.76</v>
      </c>
      <c r="E12" s="80">
        <f t="shared" si="1"/>
        <v>7.0134253742811575E-3</v>
      </c>
      <c r="H12" s="139">
        <f>+SUM(H5:H11)</f>
        <v>54952</v>
      </c>
      <c r="I12" s="142">
        <f>+SUM(I5:I11)</f>
        <v>53426.54</v>
      </c>
      <c r="J12" s="140">
        <f t="shared" si="0"/>
        <v>0.97224013684670263</v>
      </c>
    </row>
    <row r="13" spans="1:10" ht="15" customHeight="1" x14ac:dyDescent="0.25">
      <c r="A13" s="164"/>
      <c r="B13" s="169" t="s">
        <v>39</v>
      </c>
      <c r="C13" s="177">
        <v>46</v>
      </c>
      <c r="D13" s="173">
        <v>69.52</v>
      </c>
      <c r="E13" s="80">
        <f t="shared" si="1"/>
        <v>1.5850888557218012E-2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41</v>
      </c>
      <c r="C14" s="177">
        <v>104</v>
      </c>
      <c r="D14" s="173">
        <v>156.36000000000001</v>
      </c>
      <c r="E14" s="80">
        <f t="shared" si="1"/>
        <v>3.5650818970175614E-2</v>
      </c>
      <c r="F14" s="112" t="s">
        <v>108</v>
      </c>
      <c r="G14" s="190">
        <v>204007.80300000001</v>
      </c>
      <c r="H14" s="190">
        <v>190629.128</v>
      </c>
      <c r="I14" s="57">
        <f t="shared" ref="I14:I24" si="2">+H14/G14</f>
        <v>0.93442076820953746</v>
      </c>
    </row>
    <row r="15" spans="1:10" ht="15" customHeight="1" x14ac:dyDescent="0.25">
      <c r="A15" s="164"/>
      <c r="B15" s="169" t="s">
        <v>85</v>
      </c>
      <c r="C15" s="177">
        <v>221</v>
      </c>
      <c r="D15" s="173">
        <v>333.27000000000004</v>
      </c>
      <c r="E15" s="80">
        <f t="shared" si="1"/>
        <v>7.5987135061335545E-2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88</v>
      </c>
      <c r="C16" s="177">
        <v>20</v>
      </c>
      <c r="D16" s="173">
        <v>30.17</v>
      </c>
      <c r="E16" s="80">
        <f t="shared" si="1"/>
        <v>6.8789025858927997E-3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40</v>
      </c>
      <c r="C17" s="177"/>
      <c r="D17" s="173">
        <v>445.46999999999997</v>
      </c>
      <c r="E17" s="80">
        <f t="shared" si="1"/>
        <v>0.10156926532773169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thickBot="1" x14ac:dyDescent="0.3">
      <c r="A18" s="164"/>
      <c r="B18" s="169" t="s">
        <v>9</v>
      </c>
      <c r="C18" s="177"/>
      <c r="D18" s="173">
        <v>90.259999999999991</v>
      </c>
      <c r="E18" s="80">
        <f t="shared" si="1"/>
        <v>2.0579706576157906E-2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thickBot="1" x14ac:dyDescent="0.3">
      <c r="B19" s="178" t="s">
        <v>0</v>
      </c>
      <c r="C19" s="170"/>
      <c r="D19" s="171">
        <f>SUM(D5:D18)</f>
        <v>4385.8740000000007</v>
      </c>
      <c r="E19" s="80">
        <f t="shared" si="1"/>
        <v>1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B20" s="166" t="s">
        <v>1</v>
      </c>
      <c r="C20" s="167"/>
      <c r="D20" s="233">
        <v>37967.061999999984</v>
      </c>
      <c r="E20" s="80"/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x14ac:dyDescent="0.25">
      <c r="E21" s="80"/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x14ac:dyDescent="0.25">
      <c r="E22" s="80"/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x14ac:dyDescent="0.25">
      <c r="E23" s="80"/>
      <c r="F23" s="112" t="s">
        <v>161</v>
      </c>
      <c r="G23" s="272">
        <v>237591.573</v>
      </c>
      <c r="H23" s="311">
        <f>+D20</f>
        <v>37967.061999999984</v>
      </c>
      <c r="I23" s="98">
        <f t="shared" si="2"/>
        <v>0.15979969962991905</v>
      </c>
    </row>
    <row r="24" spans="1:11" x14ac:dyDescent="0.25">
      <c r="E24" s="80"/>
      <c r="G24" s="273">
        <f>+SUM(G14:G23)</f>
        <v>2122275.2460000003</v>
      </c>
      <c r="H24" s="273">
        <f>+SUM(H14:H23)</f>
        <v>1915394.7689999996</v>
      </c>
      <c r="I24" s="274">
        <f t="shared" si="2"/>
        <v>0.90251948827565009</v>
      </c>
      <c r="J24" s="275">
        <f>+H24-G24</f>
        <v>-206880.47700000065</v>
      </c>
    </row>
    <row r="25" spans="1:11" x14ac:dyDescent="0.25">
      <c r="E25" s="80"/>
      <c r="F25" s="299"/>
    </row>
    <row r="26" spans="1:11" ht="16.5" thickBot="1" x14ac:dyDescent="0.3">
      <c r="E26" s="80"/>
      <c r="F26" s="179"/>
      <c r="G26" s="179"/>
    </row>
    <row r="27" spans="1:11" ht="15" customHeight="1" thickBot="1" x14ac:dyDescent="0.3">
      <c r="E27" s="313">
        <f>+D20/E2</f>
        <v>0.16057804138718462</v>
      </c>
      <c r="F27" s="68"/>
      <c r="G27" s="179"/>
    </row>
    <row r="28" spans="1:11" x14ac:dyDescent="0.25">
      <c r="D28" s="108">
        <f>+(E2/31)*5</f>
        <v>38135.473720556118</v>
      </c>
      <c r="E28" s="314">
        <f>+D28/E2</f>
        <v>0.16129032258064516</v>
      </c>
      <c r="K28" s="215"/>
    </row>
    <row r="29" spans="1:11" x14ac:dyDescent="0.25">
      <c r="D29" s="183">
        <f>+D20-D28</f>
        <v>-168.41172055613424</v>
      </c>
      <c r="E29" s="315">
        <f>E27-E28</f>
        <v>-7.1228119346053442E-4</v>
      </c>
      <c r="K29" s="215"/>
    </row>
    <row r="30" spans="1:11" x14ac:dyDescent="0.25">
      <c r="G30" s="300" t="s">
        <v>190</v>
      </c>
      <c r="H30" s="87">
        <v>65</v>
      </c>
      <c r="I30" s="88">
        <f>+H30*1.5</f>
        <v>97.5</v>
      </c>
      <c r="K30" s="215"/>
    </row>
    <row r="31" spans="1:11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  <c r="K31" s="215"/>
    </row>
    <row r="32" spans="1:11" x14ac:dyDescent="0.25">
      <c r="B32" s="162" t="s">
        <v>61</v>
      </c>
      <c r="C32" s="162">
        <v>774</v>
      </c>
      <c r="D32" s="108">
        <v>2142</v>
      </c>
      <c r="E32" s="57">
        <f>+C32/D32</f>
        <v>0.36134453781512604</v>
      </c>
      <c r="G32" s="86" t="s">
        <v>86</v>
      </c>
      <c r="H32" s="87">
        <v>15438</v>
      </c>
      <c r="I32" s="88">
        <v>389.7</v>
      </c>
      <c r="J32" s="224"/>
      <c r="K32" s="215"/>
    </row>
    <row r="33" spans="1:11" x14ac:dyDescent="0.25">
      <c r="B33" s="162" t="s">
        <v>62</v>
      </c>
      <c r="C33" s="162">
        <v>1062</v>
      </c>
      <c r="D33" s="108">
        <v>1890</v>
      </c>
      <c r="E33" s="57">
        <f>+C33/D33</f>
        <v>0.56190476190476191</v>
      </c>
      <c r="G33" s="86" t="s">
        <v>171</v>
      </c>
      <c r="H33" s="87">
        <v>12</v>
      </c>
      <c r="I33" s="88">
        <v>0.30000000000000004</v>
      </c>
      <c r="J33" s="297" t="s">
        <v>188</v>
      </c>
      <c r="K33" s="215"/>
    </row>
    <row r="34" spans="1:11" x14ac:dyDescent="0.25">
      <c r="B34" s="162" t="s">
        <v>63</v>
      </c>
      <c r="C34" s="67">
        <v>2956</v>
      </c>
      <c r="D34" s="108">
        <v>3006</v>
      </c>
      <c r="E34" s="57">
        <f>+C34/D34</f>
        <v>0.9833666001330672</v>
      </c>
      <c r="G34" s="89" t="s">
        <v>169</v>
      </c>
      <c r="H34" s="87">
        <v>231</v>
      </c>
      <c r="I34" s="88">
        <f>+H34*1.5</f>
        <v>346.5</v>
      </c>
      <c r="J34" s="298">
        <f>+I34+I32</f>
        <v>736.2</v>
      </c>
      <c r="K34" s="215" t="s">
        <v>191</v>
      </c>
    </row>
    <row r="35" spans="1:11" x14ac:dyDescent="0.25">
      <c r="C35" s="162">
        <f>+SUM(C32:C34)</f>
        <v>4792</v>
      </c>
      <c r="D35" s="110">
        <f>+SUM(D32:D34)</f>
        <v>7038</v>
      </c>
      <c r="E35" s="57">
        <f>+C35/D35</f>
        <v>0.68087524865018467</v>
      </c>
      <c r="G35" s="89" t="s">
        <v>168</v>
      </c>
      <c r="H35" s="87">
        <v>21</v>
      </c>
      <c r="I35" s="88">
        <f>+H35*1.5</f>
        <v>31.5</v>
      </c>
      <c r="J35" s="228" t="s">
        <v>193</v>
      </c>
      <c r="K35" s="215"/>
    </row>
    <row r="36" spans="1:11" x14ac:dyDescent="0.25">
      <c r="G36" s="231" t="s">
        <v>123</v>
      </c>
      <c r="H36" s="138">
        <v>231</v>
      </c>
      <c r="I36" s="232">
        <v>346.5</v>
      </c>
      <c r="J36" s="218" t="s">
        <v>146</v>
      </c>
      <c r="K36" s="215"/>
    </row>
    <row r="37" spans="1:1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  <c r="K37" s="215"/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219</v>
      </c>
      <c r="I38" s="88">
        <f>+H38*1.5</f>
        <v>328.5</v>
      </c>
      <c r="J38" s="224" t="s">
        <v>152</v>
      </c>
      <c r="K38" s="215"/>
    </row>
    <row r="39" spans="1:11" x14ac:dyDescent="0.25">
      <c r="B39" s="73">
        <v>12</v>
      </c>
      <c r="C39" s="74">
        <v>1</v>
      </c>
      <c r="D39" s="74">
        <v>8</v>
      </c>
      <c r="E39" s="75">
        <f>+SUM(B39:D39)</f>
        <v>21</v>
      </c>
      <c r="J39" s="218"/>
      <c r="K39" s="215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  <c r="K40" s="215"/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  <c r="K41" s="215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  <c r="K42" s="215"/>
    </row>
    <row r="43" spans="1:11" x14ac:dyDescent="0.25">
      <c r="A43" s="207" t="s">
        <v>71</v>
      </c>
      <c r="B43" s="199">
        <v>9.08</v>
      </c>
      <c r="C43" s="199">
        <v>982</v>
      </c>
      <c r="D43" s="200">
        <v>3600</v>
      </c>
      <c r="E43" s="201">
        <f t="shared" si="3"/>
        <v>0.27277777777777779</v>
      </c>
      <c r="F43" s="201">
        <f t="shared" si="4"/>
        <v>0.37833333333333335</v>
      </c>
      <c r="G43" s="202">
        <v>12</v>
      </c>
      <c r="H43" s="71"/>
      <c r="K43" s="215"/>
    </row>
    <row r="44" spans="1:11" x14ac:dyDescent="0.25">
      <c r="A44" s="207" t="s">
        <v>72</v>
      </c>
      <c r="B44" s="199">
        <v>12.71</v>
      </c>
      <c r="C44" s="199">
        <v>1582</v>
      </c>
      <c r="D44" s="200">
        <v>3900</v>
      </c>
      <c r="E44" s="201">
        <f t="shared" si="3"/>
        <v>0.40564102564102567</v>
      </c>
      <c r="F44" s="201">
        <f t="shared" si="4"/>
        <v>0.52958333333333341</v>
      </c>
      <c r="G44" s="202">
        <v>12</v>
      </c>
      <c r="H44" s="237" t="s">
        <v>195</v>
      </c>
      <c r="J44" s="162" t="s">
        <v>177</v>
      </c>
      <c r="K44" s="215"/>
    </row>
    <row r="45" spans="1:11" x14ac:dyDescent="0.25">
      <c r="A45" s="207" t="s">
        <v>73</v>
      </c>
      <c r="B45" s="199">
        <v>15.45</v>
      </c>
      <c r="C45" s="199">
        <v>2511</v>
      </c>
      <c r="D45" s="200">
        <v>3900</v>
      </c>
      <c r="E45" s="201">
        <f t="shared" si="3"/>
        <v>0.64384615384615385</v>
      </c>
      <c r="F45" s="201">
        <f t="shared" si="4"/>
        <v>0.64374999999999993</v>
      </c>
      <c r="G45" s="202">
        <v>12</v>
      </c>
      <c r="H45" s="301">
        <v>45925</v>
      </c>
      <c r="I45" s="129" t="s">
        <v>176</v>
      </c>
      <c r="J45" s="162">
        <v>143</v>
      </c>
      <c r="K45" s="215"/>
    </row>
    <row r="46" spans="1:11" x14ac:dyDescent="0.25">
      <c r="A46" s="207" t="s">
        <v>74</v>
      </c>
      <c r="B46" s="199">
        <v>4</v>
      </c>
      <c r="C46" s="199">
        <v>2169</v>
      </c>
      <c r="D46" s="200">
        <v>3900</v>
      </c>
      <c r="E46" s="201">
        <f t="shared" si="3"/>
        <v>0.55615384615384611</v>
      </c>
      <c r="F46" s="201">
        <f t="shared" si="4"/>
        <v>0.16666666666666666</v>
      </c>
      <c r="G46" s="202">
        <v>12</v>
      </c>
      <c r="H46" s="301">
        <v>45931</v>
      </c>
      <c r="I46" s="129" t="s">
        <v>176</v>
      </c>
      <c r="J46" s="162">
        <v>47</v>
      </c>
      <c r="K46" s="215"/>
    </row>
    <row r="47" spans="1:11" x14ac:dyDescent="0.25">
      <c r="A47" s="259" t="s">
        <v>75</v>
      </c>
      <c r="B47" s="260">
        <v>14</v>
      </c>
      <c r="C47" s="261">
        <v>1981</v>
      </c>
      <c r="D47" s="262">
        <v>4300</v>
      </c>
      <c r="E47" s="263">
        <f t="shared" si="3"/>
        <v>0.46069767441860465</v>
      </c>
      <c r="F47" s="201">
        <f t="shared" si="4"/>
        <v>0.58333333333333337</v>
      </c>
      <c r="G47" s="202">
        <v>16</v>
      </c>
      <c r="H47" s="301"/>
      <c r="I47" s="129" t="s">
        <v>92</v>
      </c>
      <c r="J47" s="66">
        <f>+J46*1.5</f>
        <v>70.5</v>
      </c>
      <c r="K47" s="215"/>
    </row>
    <row r="48" spans="1:11" x14ac:dyDescent="0.25">
      <c r="C48" s="71" t="s">
        <v>83</v>
      </c>
      <c r="D48" s="72" t="s">
        <v>79</v>
      </c>
      <c r="H48" s="237" t="s">
        <v>197</v>
      </c>
      <c r="J48" s="162" t="s">
        <v>157</v>
      </c>
      <c r="K48" s="215"/>
    </row>
    <row r="49" spans="2:11" x14ac:dyDescent="0.25">
      <c r="B49" s="162" t="s">
        <v>78</v>
      </c>
      <c r="H49" s="301">
        <v>45929</v>
      </c>
      <c r="I49" s="129" t="s">
        <v>176</v>
      </c>
      <c r="J49" s="162">
        <v>5120</v>
      </c>
      <c r="K49" s="198"/>
    </row>
    <row r="50" spans="2:11" x14ac:dyDescent="0.25">
      <c r="C50" s="71">
        <v>1</v>
      </c>
      <c r="D50" s="225" t="s">
        <v>153</v>
      </c>
      <c r="H50" s="71"/>
      <c r="I50" s="162" t="s">
        <v>92</v>
      </c>
      <c r="J50" s="66">
        <f>+J49*0.025</f>
        <v>128</v>
      </c>
      <c r="K50" s="215"/>
    </row>
    <row r="51" spans="2:11" x14ac:dyDescent="0.25">
      <c r="C51" s="71">
        <v>2</v>
      </c>
      <c r="D51" s="225" t="s">
        <v>153</v>
      </c>
      <c r="H51" s="237" t="s">
        <v>167</v>
      </c>
      <c r="J51" s="66" t="s">
        <v>202</v>
      </c>
      <c r="K51" s="215"/>
    </row>
    <row r="52" spans="2:11" x14ac:dyDescent="0.25">
      <c r="C52" s="71">
        <v>3</v>
      </c>
      <c r="D52" s="225" t="s">
        <v>154</v>
      </c>
      <c r="H52" s="301">
        <v>45934</v>
      </c>
      <c r="I52" s="129" t="s">
        <v>201</v>
      </c>
      <c r="J52" s="162">
        <v>88</v>
      </c>
      <c r="K52" s="215"/>
    </row>
    <row r="53" spans="2:11" x14ac:dyDescent="0.25">
      <c r="C53" s="71">
        <v>4</v>
      </c>
      <c r="D53" s="108">
        <v>0</v>
      </c>
      <c r="H53" s="301">
        <v>45934</v>
      </c>
      <c r="I53" s="129" t="s">
        <v>176</v>
      </c>
      <c r="J53" s="162">
        <v>217</v>
      </c>
      <c r="K53" s="215"/>
    </row>
    <row r="54" spans="2:11" x14ac:dyDescent="0.25">
      <c r="C54" s="71">
        <v>5</v>
      </c>
      <c r="D54" s="108">
        <v>4</v>
      </c>
      <c r="H54" s="301">
        <v>45935</v>
      </c>
      <c r="I54" s="129" t="s">
        <v>201</v>
      </c>
      <c r="J54" s="162">
        <v>170</v>
      </c>
      <c r="K54" s="215"/>
    </row>
    <row r="55" spans="2:11" x14ac:dyDescent="0.25">
      <c r="C55" s="71">
        <v>6</v>
      </c>
      <c r="D55" s="108">
        <v>4</v>
      </c>
      <c r="H55" s="301">
        <v>45935</v>
      </c>
      <c r="I55" s="129" t="s">
        <v>176</v>
      </c>
      <c r="J55" s="162">
        <v>56</v>
      </c>
      <c r="K55" s="215"/>
    </row>
    <row r="56" spans="2:11" x14ac:dyDescent="0.25">
      <c r="C56" s="71">
        <v>7</v>
      </c>
      <c r="D56" s="225" t="s">
        <v>153</v>
      </c>
      <c r="H56" s="147" t="s">
        <v>33</v>
      </c>
      <c r="I56" s="162" t="s">
        <v>202</v>
      </c>
      <c r="J56" s="162">
        <f>+SUM(J52:J55)</f>
        <v>531</v>
      </c>
      <c r="K56" s="215"/>
    </row>
    <row r="57" spans="2:11" x14ac:dyDescent="0.25">
      <c r="C57" s="71">
        <v>8</v>
      </c>
      <c r="D57" s="225" t="s">
        <v>153</v>
      </c>
      <c r="I57" s="162" t="s">
        <v>92</v>
      </c>
      <c r="J57" s="66">
        <f>J56*1.5</f>
        <v>796.5</v>
      </c>
      <c r="K57" s="215"/>
    </row>
    <row r="60" spans="2:11" x14ac:dyDescent="0.25">
      <c r="B60" s="162" t="s">
        <v>116</v>
      </c>
      <c r="C60" s="162" t="s">
        <v>58</v>
      </c>
      <c r="D60" s="93">
        <v>0.47</v>
      </c>
    </row>
    <row r="61" spans="2:11" x14ac:dyDescent="0.25">
      <c r="C61" s="162" t="s">
        <v>59</v>
      </c>
      <c r="D61" s="93">
        <v>0.52</v>
      </c>
    </row>
    <row r="63" spans="2:11" x14ac:dyDescent="0.25">
      <c r="C63" s="162" t="s">
        <v>203</v>
      </c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opLeftCell="A23" workbookViewId="0">
      <selection activeCell="E35" sqref="E35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62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12"/>
      <c r="C4" s="312"/>
      <c r="D4" s="165">
        <f>D23</f>
        <v>6999.3560000000007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2240</v>
      </c>
      <c r="D5" s="172">
        <v>95.541999999999987</v>
      </c>
      <c r="E5" s="80">
        <f>+D5/$D$4</f>
        <v>1.3650112953248838E-2</v>
      </c>
      <c r="F5" s="58" t="s">
        <v>51</v>
      </c>
      <c r="G5" s="59">
        <v>45936</v>
      </c>
      <c r="H5" s="190">
        <v>6564</v>
      </c>
      <c r="I5" s="141">
        <v>6999.3560000000007</v>
      </c>
      <c r="J5" s="60">
        <f t="shared" ref="J5:J12" si="0">+I5/H5</f>
        <v>1.0663248019500307</v>
      </c>
    </row>
    <row r="6" spans="1:10" ht="15" customHeight="1" x14ac:dyDescent="0.25">
      <c r="A6" s="164"/>
      <c r="B6" s="169" t="s">
        <v>10</v>
      </c>
      <c r="C6" s="177">
        <v>16929</v>
      </c>
      <c r="D6" s="173">
        <v>721.69499999999982</v>
      </c>
      <c r="E6" s="80">
        <f t="shared" ref="E6:E19" si="1">+D6/$D$4</f>
        <v>0.10310877172128403</v>
      </c>
      <c r="F6" s="58" t="s">
        <v>52</v>
      </c>
      <c r="G6" s="59">
        <v>45937</v>
      </c>
      <c r="H6" s="190">
        <v>8729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10560</v>
      </c>
      <c r="D7" s="173">
        <v>449.44</v>
      </c>
      <c r="E7" s="80">
        <f t="shared" si="1"/>
        <v>6.4211621754915738E-2</v>
      </c>
      <c r="F7" s="58" t="s">
        <v>53</v>
      </c>
      <c r="G7" s="59">
        <v>45938</v>
      </c>
      <c r="H7" s="190">
        <v>7809.9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3650</v>
      </c>
      <c r="D8" s="173">
        <v>155.93800000000002</v>
      </c>
      <c r="E8" s="80">
        <f t="shared" si="1"/>
        <v>2.2278906802282953E-2</v>
      </c>
      <c r="F8" s="58" t="s">
        <v>54</v>
      </c>
      <c r="G8" s="59">
        <v>45939</v>
      </c>
      <c r="H8" s="190">
        <v>8890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33305</v>
      </c>
      <c r="D9" s="173">
        <v>1420.8280000000004</v>
      </c>
      <c r="E9" s="245">
        <f t="shared" si="1"/>
        <v>0.20299410402899928</v>
      </c>
      <c r="F9" s="58" t="s">
        <v>55</v>
      </c>
      <c r="G9" s="59">
        <v>45940</v>
      </c>
      <c r="H9" s="190">
        <v>9344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33964</v>
      </c>
      <c r="D10" s="173">
        <v>1447.8639999999998</v>
      </c>
      <c r="E10" s="245">
        <f t="shared" si="1"/>
        <v>0.20685674510626401</v>
      </c>
      <c r="F10" s="58" t="s">
        <v>56</v>
      </c>
      <c r="G10" s="59">
        <v>45941</v>
      </c>
      <c r="H10" s="190">
        <v>6670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12510</v>
      </c>
      <c r="D11" s="173">
        <v>534.83800000000008</v>
      </c>
      <c r="E11" s="80">
        <f t="shared" si="1"/>
        <v>7.6412458517612192E-2</v>
      </c>
      <c r="F11" s="58" t="s">
        <v>57</v>
      </c>
      <c r="G11" s="59">
        <v>45942</v>
      </c>
      <c r="H11" s="190">
        <v>4401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196</v>
      </c>
      <c r="C12" s="177">
        <v>7056</v>
      </c>
      <c r="D12" s="173">
        <v>177.43</v>
      </c>
      <c r="E12" s="80">
        <f t="shared" si="1"/>
        <v>2.5349475008843669E-2</v>
      </c>
      <c r="H12" s="139">
        <f>+SUM(H5:H11)</f>
        <v>52407.9</v>
      </c>
      <c r="I12" s="142">
        <f>+SUM(I5:I11)</f>
        <v>6999.3560000000007</v>
      </c>
      <c r="J12" s="140">
        <f t="shared" si="0"/>
        <v>0.13355536092840967</v>
      </c>
    </row>
    <row r="13" spans="1:10" ht="15" customHeight="1" x14ac:dyDescent="0.25">
      <c r="A13" s="164"/>
      <c r="B13" s="169" t="s">
        <v>44</v>
      </c>
      <c r="C13" s="177">
        <v>24</v>
      </c>
      <c r="D13" s="173">
        <v>36.299999999999997</v>
      </c>
      <c r="E13" s="80">
        <f t="shared" si="1"/>
        <v>5.186191415324495E-3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434</v>
      </c>
      <c r="D14" s="173">
        <v>655.1099999999999</v>
      </c>
      <c r="E14" s="80">
        <f t="shared" si="1"/>
        <v>9.3595753666480153E-2</v>
      </c>
      <c r="F14" s="112" t="s">
        <v>108</v>
      </c>
      <c r="G14" s="190">
        <v>204007.80300000001</v>
      </c>
      <c r="H14" s="190">
        <v>190629.128</v>
      </c>
      <c r="I14" s="57">
        <f t="shared" ref="I14:I24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137</v>
      </c>
      <c r="D15" s="173">
        <v>206.68</v>
      </c>
      <c r="E15" s="80">
        <f t="shared" si="1"/>
        <v>2.9528430901357209E-2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194</v>
      </c>
      <c r="C16" s="177">
        <v>88</v>
      </c>
      <c r="D16" s="173">
        <v>132.88000000000002</v>
      </c>
      <c r="E16" s="80">
        <f t="shared" si="1"/>
        <v>1.8984603726399974E-2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45</v>
      </c>
      <c r="C17" s="177">
        <v>43</v>
      </c>
      <c r="D17" s="173">
        <v>64.52</v>
      </c>
      <c r="E17" s="80">
        <f t="shared" si="1"/>
        <v>9.217990912306788E-3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41</v>
      </c>
      <c r="C18" s="177">
        <v>194</v>
      </c>
      <c r="D18" s="173">
        <v>291.56100000000004</v>
      </c>
      <c r="E18" s="80">
        <f t="shared" si="1"/>
        <v>4.1655403725714198E-2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85</v>
      </c>
      <c r="C19" s="177">
        <v>23</v>
      </c>
      <c r="D19" s="173">
        <v>34.72</v>
      </c>
      <c r="E19" s="80">
        <f t="shared" si="1"/>
        <v>4.9604563619853022E-3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40</v>
      </c>
      <c r="C20" s="177"/>
      <c r="D20" s="173">
        <v>296.98</v>
      </c>
      <c r="E20" s="80"/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9</v>
      </c>
      <c r="C21" s="177"/>
      <c r="D21" s="173">
        <v>212.98</v>
      </c>
      <c r="E21" s="80"/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A22" s="164"/>
      <c r="B22" s="169" t="s">
        <v>46</v>
      </c>
      <c r="C22" s="177"/>
      <c r="D22" s="173">
        <v>64.050000000000011</v>
      </c>
      <c r="E22" s="80"/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thickBot="1" x14ac:dyDescent="0.3">
      <c r="B23" s="178" t="s">
        <v>0</v>
      </c>
      <c r="C23" s="170"/>
      <c r="D23" s="171">
        <f>SUM(D5:D22)</f>
        <v>6999.3560000000007</v>
      </c>
      <c r="E23" s="80"/>
      <c r="F23" s="112" t="s">
        <v>161</v>
      </c>
      <c r="G23" s="272">
        <v>237591.573</v>
      </c>
      <c r="H23" s="311">
        <f>+D24</f>
        <v>45130.637999999999</v>
      </c>
      <c r="I23" s="98">
        <f t="shared" si="2"/>
        <v>0.18995049963325086</v>
      </c>
    </row>
    <row r="24" spans="1:11" ht="15" customHeight="1" x14ac:dyDescent="0.25">
      <c r="B24" s="166" t="s">
        <v>1</v>
      </c>
      <c r="C24" s="167"/>
      <c r="D24" s="233">
        <v>45130.637999999999</v>
      </c>
      <c r="E24" s="80"/>
      <c r="G24" s="273">
        <f>+SUM(G14:G23)</f>
        <v>2122275.2460000003</v>
      </c>
      <c r="H24" s="273">
        <f>+SUM(H14:H23)</f>
        <v>1922558.3449999997</v>
      </c>
      <c r="I24" s="274">
        <f t="shared" si="2"/>
        <v>0.9058949109563329</v>
      </c>
      <c r="J24" s="275">
        <f>+H24-G24</f>
        <v>-199716.90100000054</v>
      </c>
    </row>
    <row r="25" spans="1:11" x14ac:dyDescent="0.25">
      <c r="E25" s="80"/>
      <c r="F25" s="299"/>
    </row>
    <row r="26" spans="1:11" ht="16.5" thickBot="1" x14ac:dyDescent="0.3">
      <c r="E26" s="80"/>
      <c r="F26" s="179"/>
      <c r="G26" s="179"/>
    </row>
    <row r="27" spans="1:11" ht="19.5" thickBot="1" x14ac:dyDescent="0.3">
      <c r="E27" s="313">
        <f>+D24/E2</f>
        <v>0.19087569790346301</v>
      </c>
      <c r="F27" s="68"/>
      <c r="G27" s="179"/>
    </row>
    <row r="28" spans="1:11" x14ac:dyDescent="0.25">
      <c r="D28" s="108">
        <f>+(E2/31)*6</f>
        <v>45762.568464667347</v>
      </c>
      <c r="E28" s="314">
        <f>+D28/E2</f>
        <v>0.19354838709677422</v>
      </c>
      <c r="K28" s="215"/>
    </row>
    <row r="29" spans="1:11" x14ac:dyDescent="0.25">
      <c r="D29" s="183">
        <f>+D24-D28</f>
        <v>-631.93046466734813</v>
      </c>
      <c r="E29" s="99">
        <f>E27-E28</f>
        <v>-2.6726891933112062E-3</v>
      </c>
      <c r="K29" s="215"/>
    </row>
    <row r="30" spans="1:11" x14ac:dyDescent="0.25">
      <c r="G30" s="300" t="s">
        <v>190</v>
      </c>
      <c r="H30" s="87">
        <v>23</v>
      </c>
      <c r="I30" s="88">
        <f>+H30*1.5</f>
        <v>34.5</v>
      </c>
      <c r="K30" s="215"/>
    </row>
    <row r="31" spans="1:11" x14ac:dyDescent="0.25">
      <c r="B31" s="66" t="s">
        <v>60</v>
      </c>
      <c r="D31" s="109" t="s">
        <v>105</v>
      </c>
      <c r="E31" s="109" t="s">
        <v>80</v>
      </c>
      <c r="G31" s="163"/>
      <c r="H31" s="237" t="s">
        <v>157</v>
      </c>
      <c r="I31" s="237" t="s">
        <v>92</v>
      </c>
      <c r="J31" s="71"/>
      <c r="K31" s="215"/>
    </row>
    <row r="32" spans="1:11" x14ac:dyDescent="0.25">
      <c r="B32" s="162" t="s">
        <v>61</v>
      </c>
      <c r="C32" s="162">
        <v>835</v>
      </c>
      <c r="D32" s="108">
        <v>2142</v>
      </c>
      <c r="E32" s="57">
        <f>+C32/D32</f>
        <v>0.38982259570494865</v>
      </c>
      <c r="G32" s="86" t="s">
        <v>86</v>
      </c>
      <c r="H32" s="87">
        <v>15438</v>
      </c>
      <c r="I32" s="88">
        <v>389.7</v>
      </c>
      <c r="J32" s="224"/>
      <c r="K32" s="215"/>
    </row>
    <row r="33" spans="1:11" x14ac:dyDescent="0.25">
      <c r="B33" s="162" t="s">
        <v>62</v>
      </c>
      <c r="C33" s="162">
        <v>890</v>
      </c>
      <c r="D33" s="108">
        <v>1890</v>
      </c>
      <c r="E33" s="57">
        <f>+C33/D33</f>
        <v>0.47089947089947087</v>
      </c>
      <c r="G33" s="86" t="s">
        <v>171</v>
      </c>
      <c r="H33" s="87">
        <v>12</v>
      </c>
      <c r="I33" s="88">
        <v>0.30000000000000004</v>
      </c>
      <c r="J33" s="297" t="s">
        <v>188</v>
      </c>
      <c r="K33" s="215"/>
    </row>
    <row r="34" spans="1:11" ht="15" customHeight="1" x14ac:dyDescent="0.25">
      <c r="B34" s="162" t="s">
        <v>63</v>
      </c>
      <c r="C34" s="67">
        <v>2205</v>
      </c>
      <c r="D34" s="108">
        <v>3006</v>
      </c>
      <c r="E34" s="57">
        <f>+C34/D34</f>
        <v>0.73353293413173648</v>
      </c>
      <c r="G34" s="89" t="s">
        <v>169</v>
      </c>
      <c r="H34" s="87">
        <v>231</v>
      </c>
      <c r="I34" s="88">
        <f>+H34*1.5</f>
        <v>346.5</v>
      </c>
      <c r="J34" s="298">
        <f>+I34+I32</f>
        <v>736.2</v>
      </c>
      <c r="K34" s="215" t="s">
        <v>191</v>
      </c>
    </row>
    <row r="35" spans="1:11" x14ac:dyDescent="0.25">
      <c r="C35" s="162">
        <f>+SUM(C32:C34)</f>
        <v>3930</v>
      </c>
      <c r="D35" s="110">
        <f>+SUM(D32:D34)</f>
        <v>7038</v>
      </c>
      <c r="E35" s="57">
        <f>+C35/D35</f>
        <v>0.55839727195225919</v>
      </c>
      <c r="G35" s="89" t="s">
        <v>168</v>
      </c>
      <c r="H35" s="87">
        <v>21</v>
      </c>
      <c r="I35" s="88">
        <f>+H35*1.5</f>
        <v>31.5</v>
      </c>
      <c r="J35" s="228" t="s">
        <v>193</v>
      </c>
      <c r="K35" s="215"/>
    </row>
    <row r="36" spans="1:11" x14ac:dyDescent="0.25">
      <c r="G36" s="231" t="s">
        <v>123</v>
      </c>
      <c r="H36" s="138">
        <v>231</v>
      </c>
      <c r="I36" s="232">
        <v>346.5</v>
      </c>
      <c r="J36" s="218" t="s">
        <v>146</v>
      </c>
      <c r="K36" s="215"/>
    </row>
    <row r="37" spans="1:11" x14ac:dyDescent="0.25">
      <c r="B37" s="162" t="s">
        <v>66</v>
      </c>
      <c r="D37" s="162"/>
      <c r="G37" s="89" t="s">
        <v>170</v>
      </c>
      <c r="H37" s="87">
        <v>22</v>
      </c>
      <c r="I37" s="88">
        <v>33</v>
      </c>
      <c r="J37" s="218" t="s">
        <v>146</v>
      </c>
      <c r="K37" s="215"/>
    </row>
    <row r="38" spans="1:11" x14ac:dyDescent="0.25">
      <c r="B38" s="76" t="s">
        <v>67</v>
      </c>
      <c r="C38" s="77" t="s">
        <v>68</v>
      </c>
      <c r="D38" s="78" t="s">
        <v>69</v>
      </c>
      <c r="E38" s="79" t="s">
        <v>33</v>
      </c>
      <c r="G38" s="89" t="s">
        <v>107</v>
      </c>
      <c r="H38" s="87">
        <v>219</v>
      </c>
      <c r="I38" s="88">
        <f>+H38*1.5</f>
        <v>328.5</v>
      </c>
      <c r="J38" s="224" t="s">
        <v>152</v>
      </c>
      <c r="K38" s="215"/>
    </row>
    <row r="39" spans="1:11" x14ac:dyDescent="0.25">
      <c r="B39" s="73">
        <v>30</v>
      </c>
      <c r="C39" s="74">
        <v>2</v>
      </c>
      <c r="D39" s="74">
        <v>17</v>
      </c>
      <c r="E39" s="75">
        <f>+SUM(B39:D39)</f>
        <v>49</v>
      </c>
      <c r="J39" s="218"/>
      <c r="K39" s="215"/>
    </row>
    <row r="40" spans="1:11" x14ac:dyDescent="0.25">
      <c r="E40" s="198" t="s">
        <v>76</v>
      </c>
      <c r="F40" s="198" t="s">
        <v>137</v>
      </c>
      <c r="H40" s="144" t="s">
        <v>124</v>
      </c>
      <c r="I40" s="220" t="s">
        <v>148</v>
      </c>
      <c r="J40" s="218" t="s">
        <v>146</v>
      </c>
      <c r="K40" s="215"/>
    </row>
    <row r="41" spans="1:11" x14ac:dyDescent="0.25">
      <c r="D41" s="162"/>
      <c r="G41" s="71" t="s">
        <v>90</v>
      </c>
      <c r="H41" s="144" t="s">
        <v>120</v>
      </c>
      <c r="I41" s="145">
        <v>0</v>
      </c>
      <c r="J41" s="218"/>
      <c r="K41" s="215"/>
    </row>
    <row r="42" spans="1:11" x14ac:dyDescent="0.25">
      <c r="A42" s="207" t="s">
        <v>70</v>
      </c>
      <c r="B42" s="199">
        <v>0</v>
      </c>
      <c r="C42" s="199">
        <v>0</v>
      </c>
      <c r="D42" s="200">
        <v>2400</v>
      </c>
      <c r="E42" s="201">
        <f t="shared" ref="E42:E47" si="3">+C42/D42</f>
        <v>0</v>
      </c>
      <c r="F42" s="201">
        <f t="shared" ref="F42:F47" si="4">+B42/24</f>
        <v>0</v>
      </c>
      <c r="G42" s="202">
        <v>7</v>
      </c>
      <c r="H42" s="144" t="s">
        <v>121</v>
      </c>
      <c r="I42" s="220" t="s">
        <v>149</v>
      </c>
      <c r="J42" s="218" t="s">
        <v>146</v>
      </c>
      <c r="K42" s="215"/>
    </row>
    <row r="43" spans="1:11" x14ac:dyDescent="0.25">
      <c r="A43" s="207" t="s">
        <v>71</v>
      </c>
      <c r="B43" s="199">
        <v>7.64</v>
      </c>
      <c r="C43" s="199">
        <v>1765</v>
      </c>
      <c r="D43" s="200">
        <v>3600</v>
      </c>
      <c r="E43" s="201">
        <f t="shared" si="3"/>
        <v>0.49027777777777776</v>
      </c>
      <c r="F43" s="201">
        <f t="shared" si="4"/>
        <v>0.3183333333333333</v>
      </c>
      <c r="G43" s="202">
        <v>12</v>
      </c>
      <c r="H43" s="71"/>
      <c r="K43" s="215"/>
    </row>
    <row r="44" spans="1:11" x14ac:dyDescent="0.25">
      <c r="A44" s="207" t="s">
        <v>72</v>
      </c>
      <c r="B44" s="199">
        <v>9.94</v>
      </c>
      <c r="C44" s="199">
        <v>1388</v>
      </c>
      <c r="D44" s="200">
        <v>3900</v>
      </c>
      <c r="E44" s="201">
        <f t="shared" si="3"/>
        <v>0.35589743589743589</v>
      </c>
      <c r="F44" s="201">
        <f t="shared" si="4"/>
        <v>0.41416666666666663</v>
      </c>
      <c r="G44" s="202">
        <v>12</v>
      </c>
      <c r="H44" s="237" t="s">
        <v>195</v>
      </c>
      <c r="J44" s="162" t="s">
        <v>177</v>
      </c>
      <c r="K44" s="215"/>
    </row>
    <row r="45" spans="1:11" x14ac:dyDescent="0.25">
      <c r="A45" s="207" t="s">
        <v>73</v>
      </c>
      <c r="B45" s="199">
        <v>12.39</v>
      </c>
      <c r="C45" s="199">
        <v>2621</v>
      </c>
      <c r="D45" s="200">
        <v>3900</v>
      </c>
      <c r="E45" s="201">
        <f t="shared" si="3"/>
        <v>0.67205128205128206</v>
      </c>
      <c r="F45" s="201">
        <f t="shared" si="4"/>
        <v>0.51624999999999999</v>
      </c>
      <c r="G45" s="202">
        <v>12</v>
      </c>
      <c r="H45" s="301">
        <v>45925</v>
      </c>
      <c r="I45" s="129" t="s">
        <v>176</v>
      </c>
      <c r="J45" s="162">
        <v>143</v>
      </c>
      <c r="K45" s="215"/>
    </row>
    <row r="46" spans="1:11" x14ac:dyDescent="0.25">
      <c r="A46" s="207" t="s">
        <v>74</v>
      </c>
      <c r="B46" s="199">
        <v>5.62</v>
      </c>
      <c r="C46" s="199">
        <v>2618</v>
      </c>
      <c r="D46" s="200">
        <v>3900</v>
      </c>
      <c r="E46" s="201">
        <f t="shared" si="3"/>
        <v>0.67128205128205132</v>
      </c>
      <c r="F46" s="201">
        <f t="shared" si="4"/>
        <v>0.23416666666666666</v>
      </c>
      <c r="G46" s="202">
        <v>12</v>
      </c>
      <c r="H46" s="301">
        <v>45931</v>
      </c>
      <c r="I46" s="129" t="s">
        <v>176</v>
      </c>
      <c r="J46" s="162">
        <v>47</v>
      </c>
      <c r="K46" s="215"/>
    </row>
    <row r="47" spans="1:11" x14ac:dyDescent="0.25">
      <c r="A47" s="259" t="s">
        <v>75</v>
      </c>
      <c r="B47" s="260">
        <v>10.49</v>
      </c>
      <c r="C47" s="261">
        <v>2467</v>
      </c>
      <c r="D47" s="262">
        <v>4300</v>
      </c>
      <c r="E47" s="263">
        <f t="shared" si="3"/>
        <v>0.5737209302325581</v>
      </c>
      <c r="F47" s="201">
        <f t="shared" si="4"/>
        <v>0.43708333333333332</v>
      </c>
      <c r="G47" s="202">
        <v>16</v>
      </c>
      <c r="H47" s="301"/>
      <c r="I47" s="129" t="s">
        <v>92</v>
      </c>
      <c r="J47" s="66">
        <f>+J46*1.5</f>
        <v>70.5</v>
      </c>
      <c r="K47" s="215"/>
    </row>
    <row r="48" spans="1:11" x14ac:dyDescent="0.25">
      <c r="C48" s="71" t="s">
        <v>83</v>
      </c>
      <c r="D48" s="72" t="s">
        <v>79</v>
      </c>
      <c r="H48" s="237" t="s">
        <v>197</v>
      </c>
      <c r="J48" s="162" t="s">
        <v>157</v>
      </c>
      <c r="K48" s="215"/>
    </row>
    <row r="49" spans="2:11" x14ac:dyDescent="0.25">
      <c r="B49" s="162" t="s">
        <v>78</v>
      </c>
      <c r="H49" s="301">
        <v>45929</v>
      </c>
      <c r="I49" s="129" t="s">
        <v>176</v>
      </c>
      <c r="J49" s="162">
        <v>5120</v>
      </c>
      <c r="K49" s="198"/>
    </row>
    <row r="50" spans="2:11" x14ac:dyDescent="0.25">
      <c r="C50" s="71">
        <v>1</v>
      </c>
      <c r="D50" s="225" t="s">
        <v>153</v>
      </c>
      <c r="H50" s="71"/>
      <c r="I50" s="162" t="s">
        <v>92</v>
      </c>
      <c r="J50" s="66">
        <f>+J49*0.025</f>
        <v>128</v>
      </c>
      <c r="K50" s="215"/>
    </row>
    <row r="51" spans="2:11" x14ac:dyDescent="0.25">
      <c r="C51" s="71">
        <v>2</v>
      </c>
      <c r="D51" s="225" t="s">
        <v>153</v>
      </c>
      <c r="H51" s="237" t="s">
        <v>167</v>
      </c>
      <c r="J51" s="66" t="s">
        <v>202</v>
      </c>
      <c r="K51" s="215"/>
    </row>
    <row r="52" spans="2:11" x14ac:dyDescent="0.25">
      <c r="C52" s="71">
        <v>3</v>
      </c>
      <c r="D52" s="225" t="s">
        <v>154</v>
      </c>
      <c r="H52" s="301">
        <v>45934</v>
      </c>
      <c r="I52" s="129" t="s">
        <v>201</v>
      </c>
      <c r="J52" s="162">
        <v>88</v>
      </c>
      <c r="K52" s="215"/>
    </row>
    <row r="53" spans="2:11" x14ac:dyDescent="0.25">
      <c r="C53" s="71">
        <v>4</v>
      </c>
      <c r="D53" s="108">
        <v>0</v>
      </c>
      <c r="H53" s="301">
        <v>45934</v>
      </c>
      <c r="I53" s="129" t="s">
        <v>176</v>
      </c>
      <c r="J53" s="162">
        <v>217</v>
      </c>
      <c r="K53" s="215"/>
    </row>
    <row r="54" spans="2:11" x14ac:dyDescent="0.25">
      <c r="C54" s="71">
        <v>5</v>
      </c>
      <c r="D54" s="108">
        <v>3</v>
      </c>
      <c r="H54" s="301">
        <v>45935</v>
      </c>
      <c r="I54" s="129" t="s">
        <v>201</v>
      </c>
      <c r="J54" s="162">
        <v>170</v>
      </c>
      <c r="K54" s="215"/>
    </row>
    <row r="55" spans="2:11" x14ac:dyDescent="0.25">
      <c r="C55" s="71">
        <v>6</v>
      </c>
      <c r="D55" s="108">
        <v>4</v>
      </c>
      <c r="H55" s="301">
        <v>45935</v>
      </c>
      <c r="I55" s="129" t="s">
        <v>176</v>
      </c>
      <c r="J55" s="162">
        <v>56</v>
      </c>
      <c r="K55" s="215"/>
    </row>
    <row r="56" spans="2:11" x14ac:dyDescent="0.25">
      <c r="C56" s="71">
        <v>7</v>
      </c>
      <c r="D56" s="225" t="s">
        <v>153</v>
      </c>
      <c r="H56" s="147" t="s">
        <v>33</v>
      </c>
      <c r="I56" s="162" t="s">
        <v>202</v>
      </c>
      <c r="J56" s="162">
        <f>+SUM(J52:J55)</f>
        <v>531</v>
      </c>
      <c r="K56" s="215"/>
    </row>
    <row r="57" spans="2:11" x14ac:dyDescent="0.25">
      <c r="C57" s="71">
        <v>8</v>
      </c>
      <c r="D57" s="225" t="s">
        <v>153</v>
      </c>
      <c r="I57" s="162" t="s">
        <v>92</v>
      </c>
      <c r="J57" s="66">
        <f>J56*1.5</f>
        <v>796.5</v>
      </c>
      <c r="K57" s="215"/>
    </row>
    <row r="60" spans="2:11" x14ac:dyDescent="0.25">
      <c r="B60" s="162" t="s">
        <v>116</v>
      </c>
      <c r="C60" s="162" t="s">
        <v>58</v>
      </c>
      <c r="D60" s="93"/>
    </row>
    <row r="61" spans="2:11" x14ac:dyDescent="0.25">
      <c r="C61" s="162" t="s">
        <v>59</v>
      </c>
      <c r="D61" s="93"/>
    </row>
    <row r="63" spans="2:11" x14ac:dyDescent="0.25">
      <c r="C63" s="162" t="s">
        <v>203</v>
      </c>
    </row>
    <row r="84" spans="6:6" x14ac:dyDescent="0.25">
      <c r="F84" s="163"/>
    </row>
  </sheetData>
  <protectedRanges>
    <protectedRange password="D554" sqref="I40:I42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opLeftCell="A4" workbookViewId="0">
      <selection activeCell="E31" sqref="E31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10" width="11.42578125" style="162"/>
    <col min="11" max="11" width="7.140625" style="162" bestFit="1" customWidth="1"/>
    <col min="12" max="16384" width="11.42578125" style="162"/>
  </cols>
  <sheetData>
    <row r="1" spans="1:10" ht="15" customHeight="1" x14ac:dyDescent="0.25">
      <c r="A1" s="161"/>
      <c r="B1" s="518">
        <v>45938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62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16"/>
      <c r="C4" s="316"/>
      <c r="D4" s="165">
        <f>D22</f>
        <v>8954.1869999999981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4575</v>
      </c>
      <c r="D5" s="172">
        <v>195.45000000000002</v>
      </c>
      <c r="E5" s="80">
        <f>+D5/$D$4</f>
        <v>2.1827777329198068E-2</v>
      </c>
      <c r="F5" s="58" t="s">
        <v>51</v>
      </c>
      <c r="G5" s="59">
        <v>45936</v>
      </c>
      <c r="H5" s="190">
        <v>6564</v>
      </c>
      <c r="I5" s="141">
        <v>6999.3560000000007</v>
      </c>
      <c r="J5" s="60">
        <f t="shared" ref="J5:J12" si="0">+I5/H5</f>
        <v>1.0663248019500307</v>
      </c>
    </row>
    <row r="6" spans="1:10" ht="15" customHeight="1" x14ac:dyDescent="0.25">
      <c r="A6" s="164"/>
      <c r="B6" s="169" t="s">
        <v>10</v>
      </c>
      <c r="C6" s="177">
        <v>21075</v>
      </c>
      <c r="D6" s="173">
        <v>898.95400000000006</v>
      </c>
      <c r="E6" s="80">
        <f t="shared" ref="E6:E19" si="1">+D6/$D$4</f>
        <v>0.10039482088100241</v>
      </c>
      <c r="F6" s="58" t="s">
        <v>52</v>
      </c>
      <c r="G6" s="59">
        <v>45937</v>
      </c>
      <c r="H6" s="190">
        <v>8729</v>
      </c>
      <c r="I6" s="141">
        <v>8716.02</v>
      </c>
      <c r="J6" s="60">
        <f t="shared" si="0"/>
        <v>0.99851300263489517</v>
      </c>
    </row>
    <row r="7" spans="1:10" ht="15" customHeight="1" x14ac:dyDescent="0.25">
      <c r="A7" s="164"/>
      <c r="B7" s="169" t="s">
        <v>35</v>
      </c>
      <c r="C7" s="177">
        <v>19650</v>
      </c>
      <c r="D7" s="173">
        <v>836.75400000000002</v>
      </c>
      <c r="E7" s="80">
        <f t="shared" si="1"/>
        <v>9.3448349917195181E-2</v>
      </c>
      <c r="F7" s="58" t="s">
        <v>53</v>
      </c>
      <c r="G7" s="59">
        <v>45938</v>
      </c>
      <c r="H7" s="190">
        <v>7809.9</v>
      </c>
      <c r="I7" s="141">
        <v>8954.1869999999981</v>
      </c>
      <c r="J7" s="60">
        <f t="shared" si="0"/>
        <v>1.146517497023009</v>
      </c>
    </row>
    <row r="8" spans="1:10" ht="15" customHeight="1" x14ac:dyDescent="0.25">
      <c r="A8" s="164"/>
      <c r="B8" s="169" t="s">
        <v>4</v>
      </c>
      <c r="C8" s="177">
        <v>6188</v>
      </c>
      <c r="D8" s="173">
        <v>264.18</v>
      </c>
      <c r="E8" s="80">
        <f t="shared" si="1"/>
        <v>2.9503516064607549E-2</v>
      </c>
      <c r="F8" s="58" t="s">
        <v>54</v>
      </c>
      <c r="G8" s="59">
        <v>45939</v>
      </c>
      <c r="H8" s="190">
        <v>8890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36731</v>
      </c>
      <c r="D9" s="173">
        <v>1567.0499999999997</v>
      </c>
      <c r="E9" s="245">
        <f t="shared" si="1"/>
        <v>0.17500751324492106</v>
      </c>
      <c r="F9" s="58" t="s">
        <v>55</v>
      </c>
      <c r="G9" s="59">
        <v>45940</v>
      </c>
      <c r="H9" s="190">
        <v>9344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44747</v>
      </c>
      <c r="D10" s="173">
        <v>1908.5319999999999</v>
      </c>
      <c r="E10" s="245">
        <f t="shared" si="1"/>
        <v>0.21314408555461264</v>
      </c>
      <c r="F10" s="58" t="s">
        <v>56</v>
      </c>
      <c r="G10" s="59">
        <v>45941</v>
      </c>
      <c r="H10" s="190">
        <v>6670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12625</v>
      </c>
      <c r="D11" s="173">
        <v>539.43600000000004</v>
      </c>
      <c r="E11" s="80">
        <f t="shared" si="1"/>
        <v>6.0243995351001729E-2</v>
      </c>
      <c r="F11" s="58" t="s">
        <v>57</v>
      </c>
      <c r="G11" s="59">
        <v>45942</v>
      </c>
      <c r="H11" s="190">
        <v>4401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39</v>
      </c>
      <c r="C12" s="177">
        <v>801</v>
      </c>
      <c r="D12" s="173">
        <v>1208.7080000000001</v>
      </c>
      <c r="E12" s="80">
        <f t="shared" si="1"/>
        <v>0.13498802292156734</v>
      </c>
      <c r="H12" s="139">
        <f>+SUM(H5:H11)</f>
        <v>52407.9</v>
      </c>
      <c r="I12" s="142">
        <f>+SUM(I5:I11)</f>
        <v>24669.562999999998</v>
      </c>
      <c r="J12" s="140">
        <f t="shared" si="0"/>
        <v>0.47072221936005826</v>
      </c>
    </row>
    <row r="13" spans="1:10" ht="15" customHeight="1" x14ac:dyDescent="0.25">
      <c r="A13" s="164"/>
      <c r="B13" s="169" t="s">
        <v>43</v>
      </c>
      <c r="C13" s="177">
        <v>254</v>
      </c>
      <c r="D13" s="173">
        <v>383.6</v>
      </c>
      <c r="E13" s="80">
        <f t="shared" si="1"/>
        <v>4.284029359672744E-2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40</v>
      </c>
      <c r="C14" s="177">
        <v>363.96000000000004</v>
      </c>
      <c r="D14" s="173">
        <v>363.96000000000004</v>
      </c>
      <c r="E14" s="80">
        <f t="shared" si="1"/>
        <v>4.0646906302046197E-2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80</v>
      </c>
      <c r="D15" s="173">
        <v>120.43</v>
      </c>
      <c r="E15" s="80">
        <f t="shared" si="1"/>
        <v>1.3449573925583644E-2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88</v>
      </c>
      <c r="D16" s="173">
        <v>132.4</v>
      </c>
      <c r="E16" s="80">
        <f t="shared" si="1"/>
        <v>1.4786378707525321E-2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150</v>
      </c>
      <c r="D17" s="173">
        <v>225.67300000000003</v>
      </c>
      <c r="E17" s="80">
        <f t="shared" si="1"/>
        <v>2.5203069804103945E-2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88</v>
      </c>
      <c r="C18" s="177">
        <v>20</v>
      </c>
      <c r="D18" s="173">
        <v>30.4</v>
      </c>
      <c r="E18" s="80">
        <f t="shared" si="1"/>
        <v>3.395059763661403E-3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184</v>
      </c>
      <c r="C19" s="177"/>
      <c r="D19" s="173">
        <v>32.97</v>
      </c>
      <c r="E19" s="80">
        <f t="shared" si="1"/>
        <v>3.6820763292077781E-3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9</v>
      </c>
      <c r="C20" s="177"/>
      <c r="D20" s="173">
        <v>186.09</v>
      </c>
      <c r="E20" s="80"/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thickBot="1" x14ac:dyDescent="0.3">
      <c r="A21" s="164"/>
      <c r="B21" s="169" t="s">
        <v>46</v>
      </c>
      <c r="C21" s="177"/>
      <c r="D21" s="173">
        <v>59.6</v>
      </c>
      <c r="E21" s="80"/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B22" s="178" t="s">
        <v>0</v>
      </c>
      <c r="C22" s="170"/>
      <c r="D22" s="171">
        <f>SUM(D5:D21)</f>
        <v>8954.1869999999981</v>
      </c>
      <c r="E22" s="80"/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thickBot="1" x14ac:dyDescent="0.3">
      <c r="B23" s="166" t="s">
        <v>1</v>
      </c>
      <c r="C23" s="167"/>
      <c r="D23" s="233">
        <v>62832.534999999989</v>
      </c>
      <c r="E23" s="313">
        <f>+D23/E2</f>
        <v>0.26574417071544093</v>
      </c>
      <c r="F23" s="112" t="s">
        <v>161</v>
      </c>
      <c r="G23" s="272">
        <v>237591.573</v>
      </c>
      <c r="H23" s="311">
        <f>+D24</f>
        <v>61016.757952889791</v>
      </c>
      <c r="I23" s="98">
        <f t="shared" si="2"/>
        <v>0.25681364529241862</v>
      </c>
    </row>
    <row r="24" spans="1:11" x14ac:dyDescent="0.25">
      <c r="D24" s="108">
        <f>+(E2/31)*8</f>
        <v>61016.757952889791</v>
      </c>
      <c r="E24" s="314">
        <f>+D24/E2</f>
        <v>0.25806451612903225</v>
      </c>
      <c r="K24" s="215"/>
    </row>
    <row r="25" spans="1:11" x14ac:dyDescent="0.25">
      <c r="D25" s="183">
        <f>+D23-D24</f>
        <v>1815.7770471101976</v>
      </c>
      <c r="E25" s="99">
        <f>E23-E24</f>
        <v>7.6796545864086796E-3</v>
      </c>
      <c r="K25" s="215"/>
    </row>
    <row r="26" spans="1:11" x14ac:dyDescent="0.25">
      <c r="G26" s="300" t="s">
        <v>190</v>
      </c>
      <c r="H26" s="87">
        <v>40</v>
      </c>
      <c r="I26" s="88">
        <f>+H26*1.5</f>
        <v>60</v>
      </c>
      <c r="K26" s="215"/>
    </row>
    <row r="27" spans="1:11" x14ac:dyDescent="0.25">
      <c r="B27" s="66" t="s">
        <v>60</v>
      </c>
      <c r="D27" s="109" t="s">
        <v>105</v>
      </c>
      <c r="E27" s="109" t="s">
        <v>80</v>
      </c>
      <c r="G27" s="163"/>
      <c r="H27" s="237" t="s">
        <v>157</v>
      </c>
      <c r="I27" s="237" t="s">
        <v>92</v>
      </c>
      <c r="J27" s="71"/>
      <c r="K27" s="215"/>
    </row>
    <row r="28" spans="1:11" x14ac:dyDescent="0.25">
      <c r="B28" s="162" t="s">
        <v>61</v>
      </c>
      <c r="C28" s="162">
        <v>1586</v>
      </c>
      <c r="D28" s="108">
        <v>2142</v>
      </c>
      <c r="E28" s="57">
        <f>+C28/D28</f>
        <v>0.74042950513538752</v>
      </c>
      <c r="G28" s="86" t="s">
        <v>86</v>
      </c>
      <c r="H28" s="87">
        <f>15438+414</f>
        <v>15852</v>
      </c>
      <c r="I28" s="88">
        <f>+H28*0.025</f>
        <v>396.3</v>
      </c>
      <c r="J28" s="224"/>
      <c r="K28" s="215"/>
    </row>
    <row r="29" spans="1:11" ht="15" customHeight="1" x14ac:dyDescent="0.25">
      <c r="B29" s="162" t="s">
        <v>62</v>
      </c>
      <c r="C29" s="162">
        <v>997</v>
      </c>
      <c r="D29" s="108">
        <v>1890</v>
      </c>
      <c r="E29" s="57">
        <f>+C29/D29</f>
        <v>0.52751322751322749</v>
      </c>
      <c r="G29" s="86" t="s">
        <v>171</v>
      </c>
      <c r="H29" s="87">
        <v>12</v>
      </c>
      <c r="I29" s="88">
        <v>0.30000000000000004</v>
      </c>
      <c r="J29" s="297" t="s">
        <v>188</v>
      </c>
      <c r="K29" s="215"/>
    </row>
    <row r="30" spans="1:11" x14ac:dyDescent="0.25">
      <c r="B30" s="162" t="s">
        <v>63</v>
      </c>
      <c r="C30" s="67">
        <v>1197</v>
      </c>
      <c r="D30" s="108">
        <v>3006</v>
      </c>
      <c r="E30" s="57">
        <f>+C30/D30</f>
        <v>0.39820359281437123</v>
      </c>
      <c r="G30" s="89" t="s">
        <v>169</v>
      </c>
      <c r="H30" s="87">
        <v>268</v>
      </c>
      <c r="I30" s="88">
        <f>+H30*1.5</f>
        <v>402</v>
      </c>
      <c r="J30" s="298">
        <f>+I30+I28</f>
        <v>798.3</v>
      </c>
      <c r="K30" s="215" t="s">
        <v>191</v>
      </c>
    </row>
    <row r="31" spans="1:11" x14ac:dyDescent="0.25">
      <c r="C31" s="162">
        <f>+SUM(C28:C30)</f>
        <v>3780</v>
      </c>
      <c r="D31" s="110">
        <f>+SUM(D28:D30)</f>
        <v>7038</v>
      </c>
      <c r="E31" s="57">
        <f>+C31/D31</f>
        <v>0.53708439897698212</v>
      </c>
      <c r="G31" s="89" t="s">
        <v>168</v>
      </c>
      <c r="H31" s="87">
        <v>21</v>
      </c>
      <c r="I31" s="88">
        <f>+H31*1.5</f>
        <v>31.5</v>
      </c>
      <c r="J31" s="228" t="s">
        <v>193</v>
      </c>
      <c r="K31" s="215"/>
    </row>
    <row r="32" spans="1:11" ht="15" customHeight="1" x14ac:dyDescent="0.25">
      <c r="G32" s="231" t="s">
        <v>123</v>
      </c>
      <c r="H32" s="138">
        <v>231</v>
      </c>
      <c r="I32" s="232">
        <v>346.5</v>
      </c>
      <c r="J32" s="218" t="s">
        <v>146</v>
      </c>
      <c r="K32" s="215"/>
    </row>
    <row r="33" spans="1:11" x14ac:dyDescent="0.25">
      <c r="B33" s="162" t="s">
        <v>66</v>
      </c>
      <c r="D33" s="162"/>
      <c r="G33" s="89" t="s">
        <v>170</v>
      </c>
      <c r="H33" s="87">
        <v>22</v>
      </c>
      <c r="I33" s="88">
        <v>33</v>
      </c>
      <c r="J33" s="218" t="s">
        <v>146</v>
      </c>
      <c r="K33" s="215"/>
    </row>
    <row r="34" spans="1:11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219</v>
      </c>
      <c r="I34" s="88">
        <f>+H34*1.5</f>
        <v>328.5</v>
      </c>
      <c r="J34" s="224" t="s">
        <v>152</v>
      </c>
      <c r="K34" s="215"/>
    </row>
    <row r="35" spans="1:11" x14ac:dyDescent="0.25">
      <c r="B35" s="73">
        <v>15</v>
      </c>
      <c r="C35" s="74">
        <v>5</v>
      </c>
      <c r="D35" s="74">
        <v>9</v>
      </c>
      <c r="E35" s="75">
        <f>+SUM(B35:D35)</f>
        <v>29</v>
      </c>
      <c r="J35" s="218"/>
      <c r="K35" s="215"/>
    </row>
    <row r="36" spans="1:11" x14ac:dyDescent="0.25">
      <c r="E36" s="198" t="s">
        <v>76</v>
      </c>
      <c r="F36" s="198" t="s">
        <v>137</v>
      </c>
      <c r="H36" s="144" t="s">
        <v>124</v>
      </c>
      <c r="I36" s="220" t="s">
        <v>148</v>
      </c>
      <c r="J36" s="218" t="s">
        <v>146</v>
      </c>
      <c r="K36" s="215"/>
    </row>
    <row r="37" spans="1:11" x14ac:dyDescent="0.25">
      <c r="D37" s="162"/>
      <c r="G37" s="71" t="s">
        <v>90</v>
      </c>
      <c r="H37" s="144" t="s">
        <v>120</v>
      </c>
      <c r="I37" s="145">
        <v>0</v>
      </c>
      <c r="J37" s="218"/>
      <c r="K37" s="215"/>
    </row>
    <row r="38" spans="1:11" x14ac:dyDescent="0.25">
      <c r="A38" s="207" t="s">
        <v>70</v>
      </c>
      <c r="B38" s="199">
        <v>0</v>
      </c>
      <c r="C38" s="199">
        <v>0</v>
      </c>
      <c r="D38" s="200">
        <v>2400</v>
      </c>
      <c r="E38" s="201">
        <f t="shared" ref="E38:E43" si="3">+C38/D38</f>
        <v>0</v>
      </c>
      <c r="F38" s="201">
        <f t="shared" ref="F38:F43" si="4">+B38/24</f>
        <v>0</v>
      </c>
      <c r="G38" s="202">
        <v>7</v>
      </c>
      <c r="H38" s="144" t="s">
        <v>121</v>
      </c>
      <c r="I38" s="220" t="s">
        <v>149</v>
      </c>
      <c r="J38" s="218" t="s">
        <v>146</v>
      </c>
      <c r="K38" s="215"/>
    </row>
    <row r="39" spans="1:11" x14ac:dyDescent="0.25">
      <c r="A39" s="207" t="s">
        <v>71</v>
      </c>
      <c r="B39" s="199">
        <v>16.670000000000002</v>
      </c>
      <c r="C39" s="199">
        <v>1547</v>
      </c>
      <c r="D39" s="200">
        <v>3600</v>
      </c>
      <c r="E39" s="201">
        <f t="shared" si="3"/>
        <v>0.42972222222222223</v>
      </c>
      <c r="F39" s="201">
        <f t="shared" si="4"/>
        <v>0.69458333333333344</v>
      </c>
      <c r="G39" s="202">
        <v>12</v>
      </c>
      <c r="H39" s="71"/>
      <c r="K39" s="215"/>
    </row>
    <row r="40" spans="1:11" x14ac:dyDescent="0.25">
      <c r="A40" s="207" t="s">
        <v>72</v>
      </c>
      <c r="B40" s="199">
        <v>13.26</v>
      </c>
      <c r="C40" s="199">
        <v>1587</v>
      </c>
      <c r="D40" s="200">
        <v>3900</v>
      </c>
      <c r="E40" s="201">
        <f t="shared" si="3"/>
        <v>0.40692307692307694</v>
      </c>
      <c r="F40" s="201">
        <f t="shared" si="4"/>
        <v>0.55249999999999999</v>
      </c>
      <c r="G40" s="202">
        <v>12</v>
      </c>
      <c r="H40" s="237" t="s">
        <v>195</v>
      </c>
      <c r="J40" s="162" t="s">
        <v>177</v>
      </c>
      <c r="K40" s="215" t="s">
        <v>92</v>
      </c>
    </row>
    <row r="41" spans="1:11" x14ac:dyDescent="0.25">
      <c r="A41" s="207" t="s">
        <v>73</v>
      </c>
      <c r="B41" s="199">
        <v>14.85</v>
      </c>
      <c r="C41" s="199">
        <v>2860</v>
      </c>
      <c r="D41" s="200">
        <v>3900</v>
      </c>
      <c r="E41" s="201">
        <f t="shared" si="3"/>
        <v>0.73333333333333328</v>
      </c>
      <c r="F41" s="201">
        <f t="shared" si="4"/>
        <v>0.61875000000000002</v>
      </c>
      <c r="G41" s="202">
        <v>12</v>
      </c>
      <c r="H41" s="301">
        <v>45925</v>
      </c>
      <c r="I41" s="129" t="s">
        <v>176</v>
      </c>
      <c r="J41" s="162">
        <v>143</v>
      </c>
      <c r="K41" s="318">
        <f>+J41*1.5</f>
        <v>214.5</v>
      </c>
    </row>
    <row r="42" spans="1:11" x14ac:dyDescent="0.25">
      <c r="A42" s="207" t="s">
        <v>74</v>
      </c>
      <c r="B42" s="199">
        <v>8.5</v>
      </c>
      <c r="C42" s="199">
        <v>1989</v>
      </c>
      <c r="D42" s="200">
        <v>3900</v>
      </c>
      <c r="E42" s="201">
        <f t="shared" si="3"/>
        <v>0.51</v>
      </c>
      <c r="F42" s="201">
        <f t="shared" si="4"/>
        <v>0.35416666666666669</v>
      </c>
      <c r="G42" s="202">
        <v>12</v>
      </c>
      <c r="H42" s="301">
        <v>45931</v>
      </c>
      <c r="I42" s="129" t="s">
        <v>176</v>
      </c>
      <c r="J42" s="162">
        <v>47</v>
      </c>
      <c r="K42" s="318">
        <f>+J42*1.5</f>
        <v>70.5</v>
      </c>
    </row>
    <row r="43" spans="1:11" x14ac:dyDescent="0.25">
      <c r="A43" s="259" t="s">
        <v>75</v>
      </c>
      <c r="B43" s="260">
        <v>7.74</v>
      </c>
      <c r="C43" s="261">
        <v>2000</v>
      </c>
      <c r="D43" s="262">
        <v>4300</v>
      </c>
      <c r="E43" s="263">
        <f t="shared" si="3"/>
        <v>0.46511627906976744</v>
      </c>
      <c r="F43" s="201">
        <f t="shared" si="4"/>
        <v>0.32250000000000001</v>
      </c>
      <c r="G43" s="202">
        <v>16</v>
      </c>
      <c r="H43" s="301">
        <v>45939</v>
      </c>
      <c r="I43" s="129" t="s">
        <v>176</v>
      </c>
      <c r="J43" s="162">
        <v>49</v>
      </c>
      <c r="K43" s="318">
        <f>+J43*1.5</f>
        <v>73.5</v>
      </c>
    </row>
    <row r="44" spans="1:11" x14ac:dyDescent="0.25">
      <c r="C44" s="71" t="s">
        <v>83</v>
      </c>
      <c r="D44" s="72" t="s">
        <v>79</v>
      </c>
      <c r="I44" s="129" t="s">
        <v>92</v>
      </c>
      <c r="K44" s="215"/>
    </row>
    <row r="45" spans="1:11" x14ac:dyDescent="0.25">
      <c r="B45" s="162" t="s">
        <v>78</v>
      </c>
      <c r="H45" s="301"/>
      <c r="K45" s="198"/>
    </row>
    <row r="46" spans="1:11" x14ac:dyDescent="0.25">
      <c r="C46" s="71">
        <v>1</v>
      </c>
      <c r="D46" s="225" t="s">
        <v>153</v>
      </c>
      <c r="H46" s="237" t="s">
        <v>197</v>
      </c>
      <c r="J46" s="162" t="s">
        <v>157</v>
      </c>
      <c r="K46" s="215" t="s">
        <v>92</v>
      </c>
    </row>
    <row r="47" spans="1:11" x14ac:dyDescent="0.25">
      <c r="C47" s="71">
        <v>2</v>
      </c>
      <c r="D47" s="225" t="s">
        <v>153</v>
      </c>
      <c r="H47" s="301">
        <v>45929</v>
      </c>
      <c r="I47" s="129" t="s">
        <v>176</v>
      </c>
      <c r="J47" s="162">
        <v>5120</v>
      </c>
      <c r="K47" s="318">
        <f>+J47*0.025</f>
        <v>128</v>
      </c>
    </row>
    <row r="48" spans="1:11" x14ac:dyDescent="0.25">
      <c r="C48" s="71">
        <v>3</v>
      </c>
      <c r="D48" s="225" t="s">
        <v>154</v>
      </c>
      <c r="H48" s="301">
        <v>45939</v>
      </c>
      <c r="I48" s="129" t="s">
        <v>176</v>
      </c>
      <c r="J48" s="162">
        <v>430</v>
      </c>
      <c r="K48" s="318">
        <f>+J48*0.025</f>
        <v>10.75</v>
      </c>
    </row>
    <row r="49" spans="2:11" x14ac:dyDescent="0.25">
      <c r="C49" s="71">
        <v>4</v>
      </c>
      <c r="D49" s="108">
        <v>0</v>
      </c>
      <c r="H49" s="301"/>
      <c r="I49" s="129"/>
      <c r="K49" s="215"/>
    </row>
    <row r="50" spans="2:11" x14ac:dyDescent="0.25">
      <c r="C50" s="71">
        <v>5</v>
      </c>
      <c r="D50" s="108">
        <v>10</v>
      </c>
      <c r="H50" s="301"/>
      <c r="I50" s="129"/>
      <c r="K50" s="215"/>
    </row>
    <row r="51" spans="2:11" x14ac:dyDescent="0.25">
      <c r="C51" s="71">
        <v>6</v>
      </c>
      <c r="D51" s="108">
        <v>5</v>
      </c>
      <c r="H51" s="301"/>
      <c r="I51" s="129"/>
      <c r="K51" s="215"/>
    </row>
    <row r="52" spans="2:11" x14ac:dyDescent="0.25">
      <c r="C52" s="71">
        <v>7</v>
      </c>
      <c r="D52" s="225" t="s">
        <v>153</v>
      </c>
      <c r="H52" s="147"/>
      <c r="K52" s="215"/>
    </row>
    <row r="53" spans="2:11" x14ac:dyDescent="0.25">
      <c r="C53" s="71">
        <v>8</v>
      </c>
      <c r="D53" s="225" t="s">
        <v>153</v>
      </c>
      <c r="J53" s="66"/>
      <c r="K53" s="215"/>
    </row>
    <row r="56" spans="2:11" x14ac:dyDescent="0.25">
      <c r="B56" s="162" t="s">
        <v>116</v>
      </c>
      <c r="C56" s="162" t="s">
        <v>58</v>
      </c>
      <c r="D56" s="93"/>
    </row>
    <row r="57" spans="2:11" x14ac:dyDescent="0.25">
      <c r="C57" s="162" t="s">
        <v>59</v>
      </c>
      <c r="D57" s="93"/>
    </row>
    <row r="59" spans="2:11" x14ac:dyDescent="0.25">
      <c r="C59" s="162" t="s">
        <v>203</v>
      </c>
    </row>
  </sheetData>
  <protectedRanges>
    <protectedRange password="D554" sqref="I36:I38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opLeftCell="A37" workbookViewId="0">
      <selection activeCell="A25" sqref="A25:K61"/>
    </sheetView>
  </sheetViews>
  <sheetFormatPr baseColWidth="10" defaultColWidth="11.42578125" defaultRowHeight="15.75" x14ac:dyDescent="0.25"/>
  <cols>
    <col min="1" max="1" width="2.42578125" style="162" customWidth="1"/>
    <col min="2" max="2" width="42.42578125" style="162" customWidth="1"/>
    <col min="3" max="3" width="15.28515625" style="162" customWidth="1"/>
    <col min="4" max="4" width="15.28515625" style="163" customWidth="1"/>
    <col min="5" max="5" width="17.28515625" style="162" customWidth="1"/>
    <col min="6" max="9" width="11.42578125" style="162"/>
    <col min="10" max="10" width="12.7109375" style="162" bestFit="1" customWidth="1"/>
    <col min="11" max="11" width="7.140625" style="162" bestFit="1" customWidth="1"/>
    <col min="12" max="16384" width="11.42578125" style="162"/>
  </cols>
  <sheetData>
    <row r="1" spans="1:10" ht="15" customHeight="1" x14ac:dyDescent="0.25">
      <c r="A1" s="161"/>
      <c r="B1" s="518">
        <v>45939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17"/>
      <c r="C4" s="317"/>
      <c r="D4" s="165">
        <f>D23</f>
        <v>8141.7020000000002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4565</v>
      </c>
      <c r="D5" s="172">
        <v>194.78800000000001</v>
      </c>
      <c r="E5" s="80">
        <f>+D5/$D$4</f>
        <v>2.3924727286751591E-2</v>
      </c>
      <c r="F5" s="58" t="s">
        <v>51</v>
      </c>
      <c r="G5" s="59">
        <v>45936</v>
      </c>
      <c r="H5" s="190">
        <v>6564</v>
      </c>
      <c r="I5" s="141">
        <v>6999.3560000000007</v>
      </c>
      <c r="J5" s="60">
        <f t="shared" ref="J5:J12" si="0">+I5/H5</f>
        <v>1.0663248019500307</v>
      </c>
    </row>
    <row r="6" spans="1:10" ht="15" customHeight="1" x14ac:dyDescent="0.25">
      <c r="A6" s="164"/>
      <c r="B6" s="169" t="s">
        <v>10</v>
      </c>
      <c r="C6" s="177">
        <v>15059</v>
      </c>
      <c r="D6" s="173">
        <v>642.654</v>
      </c>
      <c r="E6" s="80">
        <f t="shared" ref="E6:E23" si="1">+D6/$D$4</f>
        <v>7.8933618548062801E-2</v>
      </c>
      <c r="F6" s="58" t="s">
        <v>52</v>
      </c>
      <c r="G6" s="59">
        <v>45937</v>
      </c>
      <c r="H6" s="190">
        <v>8729</v>
      </c>
      <c r="I6" s="141">
        <v>8716.02</v>
      </c>
      <c r="J6" s="60">
        <f t="shared" si="0"/>
        <v>0.99851300263489517</v>
      </c>
    </row>
    <row r="7" spans="1:10" ht="15" customHeight="1" x14ac:dyDescent="0.25">
      <c r="A7" s="164"/>
      <c r="B7" s="169" t="s">
        <v>35</v>
      </c>
      <c r="C7" s="177">
        <v>22007</v>
      </c>
      <c r="D7" s="173">
        <v>937.26400000000001</v>
      </c>
      <c r="E7" s="80">
        <f t="shared" si="1"/>
        <v>0.11511892722185116</v>
      </c>
      <c r="F7" s="58" t="s">
        <v>53</v>
      </c>
      <c r="G7" s="59">
        <v>45938</v>
      </c>
      <c r="H7" s="190">
        <v>7809.9</v>
      </c>
      <c r="I7" s="141">
        <v>8954.1869999999981</v>
      </c>
      <c r="J7" s="60">
        <f t="shared" si="0"/>
        <v>1.146517497023009</v>
      </c>
    </row>
    <row r="8" spans="1:10" ht="15" customHeight="1" x14ac:dyDescent="0.25">
      <c r="A8" s="164"/>
      <c r="B8" s="169" t="s">
        <v>4</v>
      </c>
      <c r="C8" s="177">
        <v>2520</v>
      </c>
      <c r="D8" s="173">
        <v>107.61</v>
      </c>
      <c r="E8" s="80">
        <f t="shared" si="1"/>
        <v>1.3217138136473185E-2</v>
      </c>
      <c r="F8" s="58" t="s">
        <v>54</v>
      </c>
      <c r="G8" s="59">
        <v>45939</v>
      </c>
      <c r="H8" s="190">
        <v>8890</v>
      </c>
      <c r="I8" s="141">
        <v>8141.7020000000002</v>
      </c>
      <c r="J8" s="60">
        <f t="shared" si="0"/>
        <v>0.91582699662542189</v>
      </c>
    </row>
    <row r="9" spans="1:10" ht="15" customHeight="1" x14ac:dyDescent="0.25">
      <c r="A9" s="164"/>
      <c r="B9" s="169" t="s">
        <v>37</v>
      </c>
      <c r="C9" s="177">
        <v>33656</v>
      </c>
      <c r="D9" s="173">
        <v>1435.3579999999999</v>
      </c>
      <c r="E9" s="245">
        <f t="shared" si="1"/>
        <v>0.17629704452459694</v>
      </c>
      <c r="F9" s="58" t="s">
        <v>55</v>
      </c>
      <c r="G9" s="59">
        <v>45940</v>
      </c>
      <c r="H9" s="190">
        <v>9344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50114</v>
      </c>
      <c r="D10" s="173">
        <v>2138.39</v>
      </c>
      <c r="E10" s="245">
        <f t="shared" si="1"/>
        <v>0.26264655719406088</v>
      </c>
      <c r="F10" s="58" t="s">
        <v>56</v>
      </c>
      <c r="G10" s="59">
        <v>45941</v>
      </c>
      <c r="H10" s="190">
        <v>6670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7990</v>
      </c>
      <c r="D11" s="173">
        <v>341.43799999999999</v>
      </c>
      <c r="E11" s="80">
        <f t="shared" si="1"/>
        <v>4.1936931614544475E-2</v>
      </c>
      <c r="F11" s="58" t="s">
        <v>57</v>
      </c>
      <c r="G11" s="59">
        <v>45942</v>
      </c>
      <c r="H11" s="190">
        <v>4401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39</v>
      </c>
      <c r="C12" s="177">
        <v>620</v>
      </c>
      <c r="D12" s="173">
        <v>935.66</v>
      </c>
      <c r="E12" s="80">
        <f t="shared" si="1"/>
        <v>0.11492191681788402</v>
      </c>
      <c r="H12" s="139">
        <f>+SUM(H5:H11)</f>
        <v>52407.9</v>
      </c>
      <c r="I12" s="142">
        <f>+SUM(I5:I11)</f>
        <v>32811.264999999999</v>
      </c>
      <c r="J12" s="140">
        <f t="shared" si="0"/>
        <v>0.62607479025108803</v>
      </c>
    </row>
    <row r="13" spans="1:10" ht="15" customHeight="1" x14ac:dyDescent="0.25">
      <c r="A13" s="164"/>
      <c r="B13" s="169" t="s">
        <v>43</v>
      </c>
      <c r="C13" s="177">
        <v>318</v>
      </c>
      <c r="D13" s="173">
        <v>479.79</v>
      </c>
      <c r="E13" s="80">
        <f t="shared" si="1"/>
        <v>5.8929938727799176E-2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141</v>
      </c>
      <c r="C14" s="177">
        <v>45</v>
      </c>
      <c r="D14" s="173">
        <v>67.97</v>
      </c>
      <c r="E14" s="80">
        <f t="shared" si="1"/>
        <v>8.3483772803278726E-3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40</v>
      </c>
      <c r="D15" s="173">
        <v>60</v>
      </c>
      <c r="E15" s="80">
        <f t="shared" si="1"/>
        <v>7.3694664825610171E-3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91</v>
      </c>
      <c r="D16" s="173">
        <v>137.19</v>
      </c>
      <c r="E16" s="80">
        <f t="shared" si="1"/>
        <v>1.6850285112375765E-2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145</v>
      </c>
      <c r="D17" s="173">
        <v>218.6</v>
      </c>
      <c r="E17" s="80">
        <f t="shared" si="1"/>
        <v>2.6849422884797306E-2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88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184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9</v>
      </c>
      <c r="C20" s="177"/>
      <c r="D20" s="173">
        <v>119.11</v>
      </c>
      <c r="E20" s="80">
        <f t="shared" si="1"/>
        <v>1.4629619212297379E-2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40</v>
      </c>
      <c r="C21" s="177"/>
      <c r="D21" s="173">
        <v>237.68</v>
      </c>
      <c r="E21" s="80">
        <f t="shared" si="1"/>
        <v>2.9192913226251709E-2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A22" s="164"/>
      <c r="B22" s="169" t="s">
        <v>46</v>
      </c>
      <c r="C22" s="177"/>
      <c r="D22" s="173">
        <v>88.2</v>
      </c>
      <c r="E22" s="80">
        <f t="shared" si="1"/>
        <v>1.0833115729364696E-2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thickBot="1" x14ac:dyDescent="0.3">
      <c r="B23" s="178" t="s">
        <v>0</v>
      </c>
      <c r="C23" s="170"/>
      <c r="D23" s="171">
        <f>SUM(D5:D22)</f>
        <v>8141.7020000000002</v>
      </c>
      <c r="E23" s="80">
        <f t="shared" si="1"/>
        <v>1</v>
      </c>
      <c r="F23" s="112" t="s">
        <v>161</v>
      </c>
      <c r="G23" s="272">
        <v>237591.573</v>
      </c>
      <c r="H23" s="311">
        <f>+D24</f>
        <v>70974.232000000004</v>
      </c>
      <c r="I23" s="98">
        <f t="shared" si="2"/>
        <v>0.29872369252759651</v>
      </c>
    </row>
    <row r="24" spans="1:11" ht="15" customHeight="1" thickBot="1" x14ac:dyDescent="0.3">
      <c r="B24" s="166" t="s">
        <v>1</v>
      </c>
      <c r="C24" s="167"/>
      <c r="D24" s="233">
        <v>70974.232000000004</v>
      </c>
      <c r="E24" s="313">
        <f>+D24/E2</f>
        <v>0.3001786960370979</v>
      </c>
      <c r="F24" s="163"/>
    </row>
    <row r="25" spans="1:11" x14ac:dyDescent="0.25">
      <c r="D25" s="108">
        <f>+(E2/31)*9</f>
        <v>68643.852697001013</v>
      </c>
      <c r="E25" s="314">
        <f>+D25/E2</f>
        <v>0.29032258064516131</v>
      </c>
      <c r="K25" s="215"/>
    </row>
    <row r="26" spans="1:11" x14ac:dyDescent="0.25">
      <c r="D26" s="183">
        <f>+D24-D25</f>
        <v>2330.3793029989902</v>
      </c>
      <c r="E26" s="99">
        <f>E24-E25</f>
        <v>9.8561153919365929E-3</v>
      </c>
      <c r="K26" s="215"/>
    </row>
    <row r="27" spans="1:11" x14ac:dyDescent="0.25">
      <c r="G27" s="300" t="s">
        <v>190</v>
      </c>
      <c r="H27" s="87">
        <v>40</v>
      </c>
      <c r="I27" s="88">
        <f>+H27*1.5</f>
        <v>60</v>
      </c>
      <c r="K27" s="215"/>
    </row>
    <row r="28" spans="1:11" ht="15" customHeight="1" x14ac:dyDescent="0.25">
      <c r="B28" s="66" t="s">
        <v>60</v>
      </c>
      <c r="D28" s="109" t="s">
        <v>105</v>
      </c>
      <c r="E28" s="109" t="s">
        <v>80</v>
      </c>
      <c r="G28" s="163"/>
      <c r="H28" s="237" t="s">
        <v>157</v>
      </c>
      <c r="I28" s="237" t="s">
        <v>92</v>
      </c>
      <c r="J28" s="71"/>
      <c r="K28" s="215"/>
    </row>
    <row r="29" spans="1:11" x14ac:dyDescent="0.25">
      <c r="B29" s="162" t="s">
        <v>61</v>
      </c>
      <c r="C29" s="162">
        <v>1612</v>
      </c>
      <c r="D29" s="108">
        <v>2142</v>
      </c>
      <c r="E29" s="57">
        <f>+C29/D29</f>
        <v>0.75256769374416432</v>
      </c>
      <c r="G29" s="86" t="s">
        <v>86</v>
      </c>
      <c r="H29" s="87">
        <f>15438+414+1080</f>
        <v>16932</v>
      </c>
      <c r="I29" s="88">
        <f>+H29*0.025</f>
        <v>423.3</v>
      </c>
      <c r="J29" s="224"/>
      <c r="K29" s="215"/>
    </row>
    <row r="30" spans="1:11" x14ac:dyDescent="0.25">
      <c r="B30" s="162" t="s">
        <v>62</v>
      </c>
      <c r="C30" s="162">
        <v>990</v>
      </c>
      <c r="D30" s="108">
        <v>1890</v>
      </c>
      <c r="E30" s="57">
        <f>+C30/D30</f>
        <v>0.52380952380952384</v>
      </c>
      <c r="G30" s="86" t="s">
        <v>171</v>
      </c>
      <c r="H30" s="87">
        <v>12</v>
      </c>
      <c r="I30" s="88">
        <v>0.30000000000000004</v>
      </c>
      <c r="J30" s="297" t="s">
        <v>188</v>
      </c>
      <c r="K30" s="215"/>
    </row>
    <row r="31" spans="1:11" ht="15" customHeight="1" x14ac:dyDescent="0.25">
      <c r="B31" s="162" t="s">
        <v>63</v>
      </c>
      <c r="C31" s="67">
        <v>1958</v>
      </c>
      <c r="D31" s="108">
        <v>3006</v>
      </c>
      <c r="E31" s="57">
        <f>+C31/D31</f>
        <v>0.65136393878908849</v>
      </c>
      <c r="G31" s="89" t="s">
        <v>169</v>
      </c>
      <c r="H31" s="87">
        <v>228</v>
      </c>
      <c r="I31" s="88">
        <f>+H31*1.5</f>
        <v>342</v>
      </c>
      <c r="J31" s="298">
        <f>+I31+I29</f>
        <v>765.3</v>
      </c>
      <c r="K31" s="215" t="s">
        <v>191</v>
      </c>
    </row>
    <row r="32" spans="1:11" x14ac:dyDescent="0.25">
      <c r="C32" s="162">
        <f>+SUM(C29:C31)</f>
        <v>4560</v>
      </c>
      <c r="D32" s="110">
        <f>+SUM(D29:D31)</f>
        <v>7038</v>
      </c>
      <c r="E32" s="57">
        <f>+C32/D32</f>
        <v>0.64791133844842286</v>
      </c>
      <c r="G32" s="89" t="s">
        <v>168</v>
      </c>
      <c r="H32" s="87">
        <v>21</v>
      </c>
      <c r="I32" s="88">
        <f>+H32*1.5</f>
        <v>31.5</v>
      </c>
      <c r="J32" s="228" t="s">
        <v>193</v>
      </c>
      <c r="K32" s="215"/>
    </row>
    <row r="33" spans="1:11" x14ac:dyDescent="0.25">
      <c r="G33" s="231" t="s">
        <v>123</v>
      </c>
      <c r="H33" s="138">
        <v>231</v>
      </c>
      <c r="I33" s="232">
        <v>346.5</v>
      </c>
      <c r="J33" s="218" t="s">
        <v>146</v>
      </c>
      <c r="K33" s="215"/>
    </row>
    <row r="34" spans="1:11" x14ac:dyDescent="0.25">
      <c r="B34" s="162" t="s">
        <v>66</v>
      </c>
      <c r="D34" s="162"/>
      <c r="G34" s="89" t="s">
        <v>170</v>
      </c>
      <c r="H34" s="87">
        <v>22</v>
      </c>
      <c r="I34" s="88">
        <v>33</v>
      </c>
      <c r="J34" s="218" t="s">
        <v>146</v>
      </c>
      <c r="K34" s="215"/>
    </row>
    <row r="35" spans="1:11" x14ac:dyDescent="0.25">
      <c r="B35" s="76" t="s">
        <v>67</v>
      </c>
      <c r="C35" s="77" t="s">
        <v>68</v>
      </c>
      <c r="D35" s="78" t="s">
        <v>69</v>
      </c>
      <c r="E35" s="79" t="s">
        <v>33</v>
      </c>
      <c r="G35" s="89" t="s">
        <v>107</v>
      </c>
      <c r="H35" s="87">
        <v>219</v>
      </c>
      <c r="I35" s="88">
        <f>+H35*1.5</f>
        <v>328.5</v>
      </c>
      <c r="J35" s="224" t="s">
        <v>152</v>
      </c>
      <c r="K35" s="215"/>
    </row>
    <row r="36" spans="1:11" x14ac:dyDescent="0.25">
      <c r="B36" s="73">
        <v>15</v>
      </c>
      <c r="C36" s="74">
        <v>5</v>
      </c>
      <c r="D36" s="74">
        <v>9</v>
      </c>
      <c r="E36" s="75">
        <f>+SUM(B36:D36)</f>
        <v>29</v>
      </c>
      <c r="J36" s="218"/>
      <c r="K36" s="215"/>
    </row>
    <row r="37" spans="1:11" x14ac:dyDescent="0.25">
      <c r="E37" s="198" t="s">
        <v>76</v>
      </c>
      <c r="F37" s="198" t="s">
        <v>137</v>
      </c>
      <c r="H37" s="144" t="s">
        <v>124</v>
      </c>
      <c r="I37" s="220" t="s">
        <v>148</v>
      </c>
      <c r="J37" s="218" t="s">
        <v>146</v>
      </c>
      <c r="K37" s="215"/>
    </row>
    <row r="38" spans="1:11" x14ac:dyDescent="0.25">
      <c r="D38" s="162"/>
      <c r="G38" s="71" t="s">
        <v>90</v>
      </c>
      <c r="H38" s="144" t="s">
        <v>120</v>
      </c>
      <c r="I38" s="145">
        <v>0</v>
      </c>
      <c r="J38" s="218"/>
      <c r="K38" s="215"/>
    </row>
    <row r="39" spans="1:11" x14ac:dyDescent="0.25">
      <c r="A39" s="207" t="s">
        <v>70</v>
      </c>
      <c r="B39" s="199">
        <v>1.8</v>
      </c>
      <c r="C39" s="199">
        <v>1404</v>
      </c>
      <c r="D39" s="200">
        <v>2400</v>
      </c>
      <c r="E39" s="201">
        <f t="shared" ref="E39:E44" si="3">+C39/D39</f>
        <v>0.58499999999999996</v>
      </c>
      <c r="F39" s="201">
        <f t="shared" ref="F39:F44" si="4">+B39/24</f>
        <v>7.4999999999999997E-2</v>
      </c>
      <c r="G39" s="202">
        <v>7</v>
      </c>
      <c r="H39" s="144" t="s">
        <v>121</v>
      </c>
      <c r="I39" s="220" t="s">
        <v>149</v>
      </c>
      <c r="J39" s="218" t="s">
        <v>146</v>
      </c>
      <c r="K39" s="215"/>
    </row>
    <row r="40" spans="1:11" x14ac:dyDescent="0.25">
      <c r="A40" s="207" t="s">
        <v>71</v>
      </c>
      <c r="B40" s="199">
        <v>7.94</v>
      </c>
      <c r="C40" s="199">
        <v>1475</v>
      </c>
      <c r="D40" s="200">
        <v>3600</v>
      </c>
      <c r="E40" s="201">
        <f t="shared" si="3"/>
        <v>0.40972222222222221</v>
      </c>
      <c r="F40" s="201">
        <f t="shared" si="4"/>
        <v>0.33083333333333337</v>
      </c>
      <c r="G40" s="202">
        <v>12</v>
      </c>
      <c r="H40" s="71"/>
      <c r="K40" s="215"/>
    </row>
    <row r="41" spans="1:11" x14ac:dyDescent="0.25">
      <c r="A41" s="207" t="s">
        <v>72</v>
      </c>
      <c r="B41" s="199">
        <v>10.18</v>
      </c>
      <c r="C41" s="199">
        <v>1387</v>
      </c>
      <c r="D41" s="200">
        <v>3900</v>
      </c>
      <c r="E41" s="201">
        <f t="shared" si="3"/>
        <v>0.35564102564102562</v>
      </c>
      <c r="F41" s="201">
        <f t="shared" si="4"/>
        <v>0.42416666666666664</v>
      </c>
      <c r="G41" s="202">
        <v>12</v>
      </c>
      <c r="H41" s="237" t="s">
        <v>195</v>
      </c>
      <c r="J41" s="162" t="s">
        <v>177</v>
      </c>
      <c r="K41" s="215" t="s">
        <v>92</v>
      </c>
    </row>
    <row r="42" spans="1:11" x14ac:dyDescent="0.25">
      <c r="A42" s="207" t="s">
        <v>73</v>
      </c>
      <c r="B42" s="199">
        <v>12.9</v>
      </c>
      <c r="C42" s="199">
        <v>2830</v>
      </c>
      <c r="D42" s="200">
        <v>3900</v>
      </c>
      <c r="E42" s="201">
        <f t="shared" si="3"/>
        <v>0.72564102564102562</v>
      </c>
      <c r="F42" s="201">
        <f t="shared" si="4"/>
        <v>0.53749999999999998</v>
      </c>
      <c r="G42" s="202">
        <v>12</v>
      </c>
      <c r="H42" s="301">
        <v>45925</v>
      </c>
      <c r="I42" s="129" t="s">
        <v>176</v>
      </c>
      <c r="J42" s="162">
        <v>143</v>
      </c>
      <c r="K42" s="318">
        <f>+J42*1.5</f>
        <v>214.5</v>
      </c>
    </row>
    <row r="43" spans="1:11" x14ac:dyDescent="0.25">
      <c r="A43" s="207" t="s">
        <v>74</v>
      </c>
      <c r="B43" s="199">
        <v>15.34</v>
      </c>
      <c r="C43" s="199">
        <v>2760</v>
      </c>
      <c r="D43" s="200">
        <v>3900</v>
      </c>
      <c r="E43" s="201">
        <f t="shared" si="3"/>
        <v>0.70769230769230773</v>
      </c>
      <c r="F43" s="201">
        <f t="shared" si="4"/>
        <v>0.63916666666666666</v>
      </c>
      <c r="G43" s="202">
        <v>12</v>
      </c>
      <c r="H43" s="301">
        <v>45931</v>
      </c>
      <c r="I43" s="129" t="s">
        <v>176</v>
      </c>
      <c r="J43" s="162">
        <v>47</v>
      </c>
      <c r="K43" s="318">
        <f>+J43*1.5</f>
        <v>70.5</v>
      </c>
    </row>
    <row r="44" spans="1:11" x14ac:dyDescent="0.25">
      <c r="A44" s="259" t="s">
        <v>75</v>
      </c>
      <c r="B44" s="260">
        <v>18.14</v>
      </c>
      <c r="C44" s="261">
        <v>2522</v>
      </c>
      <c r="D44" s="262">
        <v>4300</v>
      </c>
      <c r="E44" s="263">
        <f t="shared" si="3"/>
        <v>0.58651162790697675</v>
      </c>
      <c r="F44" s="201">
        <f t="shared" si="4"/>
        <v>0.75583333333333336</v>
      </c>
      <c r="G44" s="202">
        <v>16</v>
      </c>
      <c r="H44" s="301">
        <v>45939</v>
      </c>
      <c r="I44" s="129" t="s">
        <v>176</v>
      </c>
      <c r="J44" s="162">
        <v>49</v>
      </c>
      <c r="K44" s="318">
        <f>+J44*1.5</f>
        <v>73.5</v>
      </c>
    </row>
    <row r="45" spans="1:11" x14ac:dyDescent="0.25">
      <c r="C45" s="71" t="s">
        <v>83</v>
      </c>
      <c r="D45" s="72" t="s">
        <v>79</v>
      </c>
      <c r="I45" s="129" t="s">
        <v>92</v>
      </c>
      <c r="K45" s="215"/>
    </row>
    <row r="46" spans="1:11" x14ac:dyDescent="0.25">
      <c r="B46" s="162" t="s">
        <v>78</v>
      </c>
      <c r="H46" s="301"/>
      <c r="K46" s="198"/>
    </row>
    <row r="47" spans="1:11" x14ac:dyDescent="0.25">
      <c r="C47" s="71">
        <v>1</v>
      </c>
      <c r="D47" s="225" t="s">
        <v>153</v>
      </c>
      <c r="H47" s="237" t="s">
        <v>197</v>
      </c>
      <c r="J47" s="162" t="s">
        <v>157</v>
      </c>
      <c r="K47" s="215" t="s">
        <v>92</v>
      </c>
    </row>
    <row r="48" spans="1:11" x14ac:dyDescent="0.25">
      <c r="C48" s="71">
        <v>2</v>
      </c>
      <c r="D48" s="225" t="s">
        <v>153</v>
      </c>
      <c r="H48" s="301">
        <v>45929</v>
      </c>
      <c r="I48" s="129" t="s">
        <v>176</v>
      </c>
      <c r="J48" s="162">
        <v>5120</v>
      </c>
      <c r="K48" s="318">
        <f>+J48*0.025</f>
        <v>128</v>
      </c>
    </row>
    <row r="49" spans="2:11" x14ac:dyDescent="0.25">
      <c r="C49" s="71">
        <v>3</v>
      </c>
      <c r="D49" s="225" t="s">
        <v>154</v>
      </c>
      <c r="H49" s="301">
        <v>45939</v>
      </c>
      <c r="I49" s="129" t="s">
        <v>176</v>
      </c>
      <c r="J49" s="162">
        <v>430</v>
      </c>
      <c r="K49" s="318">
        <f>+J49*0.025</f>
        <v>10.75</v>
      </c>
    </row>
    <row r="50" spans="2:11" x14ac:dyDescent="0.25">
      <c r="C50" s="71">
        <v>4</v>
      </c>
      <c r="D50" s="108">
        <v>0</v>
      </c>
      <c r="H50" s="301">
        <v>45940</v>
      </c>
      <c r="I50" s="129" t="s">
        <v>175</v>
      </c>
      <c r="J50" s="162">
        <v>1080</v>
      </c>
      <c r="K50" s="318">
        <f>+J50*0.025</f>
        <v>27</v>
      </c>
    </row>
    <row r="51" spans="2:11" x14ac:dyDescent="0.25">
      <c r="C51" s="71">
        <v>5</v>
      </c>
      <c r="D51" s="108">
        <v>9</v>
      </c>
      <c r="H51" s="301"/>
      <c r="I51" s="129"/>
      <c r="K51" s="215"/>
    </row>
    <row r="52" spans="2:11" x14ac:dyDescent="0.25">
      <c r="C52" s="71">
        <v>6</v>
      </c>
      <c r="D52" s="108">
        <v>13</v>
      </c>
      <c r="H52" s="301"/>
      <c r="I52" s="129"/>
      <c r="K52" s="215"/>
    </row>
    <row r="53" spans="2:11" x14ac:dyDescent="0.25">
      <c r="C53" s="71">
        <v>7</v>
      </c>
      <c r="D53" s="225" t="s">
        <v>153</v>
      </c>
      <c r="H53" s="147"/>
      <c r="K53" s="215"/>
    </row>
    <row r="54" spans="2:11" x14ac:dyDescent="0.25">
      <c r="C54" s="71">
        <v>8</v>
      </c>
      <c r="D54" s="225" t="s">
        <v>153</v>
      </c>
      <c r="J54" s="66"/>
      <c r="K54" s="215"/>
    </row>
    <row r="57" spans="2:11" x14ac:dyDescent="0.25">
      <c r="B57" s="162" t="s">
        <v>116</v>
      </c>
      <c r="C57" s="162" t="s">
        <v>58</v>
      </c>
      <c r="D57" s="93">
        <v>0.66</v>
      </c>
    </row>
    <row r="58" spans="2:11" x14ac:dyDescent="0.25">
      <c r="C58" s="162" t="s">
        <v>59</v>
      </c>
      <c r="D58" s="93">
        <v>0.72</v>
      </c>
    </row>
    <row r="60" spans="2:11" x14ac:dyDescent="0.25">
      <c r="C60" s="162" t="s">
        <v>204</v>
      </c>
    </row>
  </sheetData>
  <protectedRanges>
    <protectedRange password="D554" sqref="I37:I3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opLeftCell="A36" workbookViewId="0">
      <selection activeCell="A25" sqref="A25:K60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3.28515625" style="162" customWidth="1"/>
    <col min="6" max="6" width="15.42578125" style="162" customWidth="1"/>
    <col min="7" max="7" width="16.42578125" style="162" customWidth="1"/>
    <col min="8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19"/>
      <c r="C4" s="319"/>
      <c r="D4" s="165">
        <f>D23</f>
        <v>7468.2059999999992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1595</v>
      </c>
      <c r="D5" s="172">
        <v>68.191999999999993</v>
      </c>
      <c r="E5" s="80">
        <f>+D5/$D$4</f>
        <v>9.1309746945919812E-3</v>
      </c>
      <c r="F5" s="58" t="s">
        <v>51</v>
      </c>
      <c r="G5" s="59">
        <v>45936</v>
      </c>
      <c r="H5" s="190">
        <v>7317.0000000000009</v>
      </c>
      <c r="I5" s="141">
        <v>7468.2059999999992</v>
      </c>
      <c r="J5" s="60">
        <f t="shared" ref="J5:J12" si="0">+I5/H5</f>
        <v>1.0206650266502664</v>
      </c>
    </row>
    <row r="6" spans="1:10" ht="15" customHeight="1" x14ac:dyDescent="0.25">
      <c r="A6" s="164"/>
      <c r="B6" s="169" t="s">
        <v>10</v>
      </c>
      <c r="C6" s="177">
        <v>15424</v>
      </c>
      <c r="D6" s="173">
        <v>657.73199999999997</v>
      </c>
      <c r="E6" s="80">
        <f t="shared" ref="E6:E23" si="1">+D6/$D$4</f>
        <v>8.8070950372820464E-2</v>
      </c>
      <c r="F6" s="58" t="s">
        <v>52</v>
      </c>
      <c r="G6" s="59">
        <v>45937</v>
      </c>
      <c r="H6" s="190">
        <v>8572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15540</v>
      </c>
      <c r="D7" s="173">
        <v>662.16200000000003</v>
      </c>
      <c r="E7" s="80">
        <f t="shared" si="1"/>
        <v>8.8664131653572509E-2</v>
      </c>
      <c r="F7" s="58" t="s">
        <v>53</v>
      </c>
      <c r="G7" s="59">
        <v>45938</v>
      </c>
      <c r="H7" s="190">
        <v>8810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3024</v>
      </c>
      <c r="D8" s="173">
        <v>129.15</v>
      </c>
      <c r="E8" s="80">
        <f t="shared" si="1"/>
        <v>1.7293309798899498E-2</v>
      </c>
      <c r="F8" s="58" t="s">
        <v>54</v>
      </c>
      <c r="G8" s="59">
        <v>45939</v>
      </c>
      <c r="H8" s="190">
        <v>8913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34257</v>
      </c>
      <c r="D9" s="173">
        <v>1460.182</v>
      </c>
      <c r="E9" s="245">
        <f t="shared" si="1"/>
        <v>0.19551978078805005</v>
      </c>
      <c r="F9" s="58" t="s">
        <v>55</v>
      </c>
      <c r="G9" s="59">
        <v>45940</v>
      </c>
      <c r="H9" s="190">
        <v>8731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47962</v>
      </c>
      <c r="D10" s="173">
        <v>2046.4159999999999</v>
      </c>
      <c r="E10" s="245">
        <f t="shared" si="1"/>
        <v>0.27401707987165863</v>
      </c>
      <c r="F10" s="58" t="s">
        <v>56</v>
      </c>
      <c r="G10" s="59">
        <v>45941</v>
      </c>
      <c r="H10" s="190">
        <v>7946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5597</v>
      </c>
      <c r="D11" s="173">
        <v>239.12200000000001</v>
      </c>
      <c r="E11" s="80">
        <f t="shared" si="1"/>
        <v>3.2018666865911309E-2</v>
      </c>
      <c r="F11" s="58" t="s">
        <v>57</v>
      </c>
      <c r="G11" s="59">
        <v>45942</v>
      </c>
      <c r="H11" s="190">
        <v>6040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39</v>
      </c>
      <c r="C12" s="177">
        <v>392</v>
      </c>
      <c r="D12" s="173">
        <v>591.79999999999995</v>
      </c>
      <c r="E12" s="80">
        <f t="shared" si="1"/>
        <v>7.924259186208843E-2</v>
      </c>
      <c r="H12" s="139">
        <f>+SUM(H5:H11)</f>
        <v>56329</v>
      </c>
      <c r="I12" s="142">
        <f>+SUM(I5:I11)</f>
        <v>7468.2059999999992</v>
      </c>
      <c r="J12" s="140">
        <f t="shared" si="0"/>
        <v>0.13258190274991566</v>
      </c>
    </row>
    <row r="13" spans="1:10" ht="15" customHeight="1" x14ac:dyDescent="0.25">
      <c r="A13" s="164"/>
      <c r="B13" s="169" t="s">
        <v>43</v>
      </c>
      <c r="C13" s="177">
        <v>342</v>
      </c>
      <c r="D13" s="173">
        <v>516.52</v>
      </c>
      <c r="E13" s="80">
        <f t="shared" si="1"/>
        <v>6.916252711829321E-2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141</v>
      </c>
      <c r="C14" s="177">
        <v>20</v>
      </c>
      <c r="D14" s="173">
        <v>30.19</v>
      </c>
      <c r="E14" s="80">
        <f t="shared" si="1"/>
        <v>4.0424701728902501E-3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49</v>
      </c>
      <c r="C15" s="177"/>
      <c r="D15" s="173"/>
      <c r="E15" s="80">
        <f t="shared" si="1"/>
        <v>0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23</v>
      </c>
      <c r="D16" s="173">
        <v>34.53</v>
      </c>
      <c r="E16" s="80">
        <f t="shared" si="1"/>
        <v>4.6236003666744064E-3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173</v>
      </c>
      <c r="D17" s="173">
        <v>260.01</v>
      </c>
      <c r="E17" s="80">
        <f t="shared" si="1"/>
        <v>3.4815590250188599E-2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88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196</v>
      </c>
      <c r="C19" s="177">
        <v>2880</v>
      </c>
      <c r="D19" s="173">
        <v>72.47</v>
      </c>
      <c r="E19" s="80">
        <f t="shared" si="1"/>
        <v>9.7038030284649357E-3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9</v>
      </c>
      <c r="C20" s="177"/>
      <c r="D20" s="173">
        <v>247.07</v>
      </c>
      <c r="E20" s="80">
        <f t="shared" si="1"/>
        <v>3.3082911746140913E-2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40</v>
      </c>
      <c r="C21" s="177"/>
      <c r="D21" s="173">
        <v>421.51</v>
      </c>
      <c r="E21" s="80">
        <f t="shared" si="1"/>
        <v>5.6440596309207329E-2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A22" s="164"/>
      <c r="B22" s="169" t="s">
        <v>46</v>
      </c>
      <c r="C22" s="177"/>
      <c r="D22" s="173">
        <v>31.15</v>
      </c>
      <c r="E22" s="80">
        <f t="shared" si="1"/>
        <v>4.1710151005475747E-3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thickBot="1" x14ac:dyDescent="0.3">
      <c r="B23" s="178" t="s">
        <v>0</v>
      </c>
      <c r="C23" s="170"/>
      <c r="D23" s="171">
        <f>SUM(D5:D22)</f>
        <v>7468.2059999999992</v>
      </c>
      <c r="E23" s="80">
        <f t="shared" si="1"/>
        <v>1</v>
      </c>
      <c r="F23" s="112" t="s">
        <v>161</v>
      </c>
      <c r="G23" s="190">
        <v>237591.573</v>
      </c>
      <c r="H23" s="311">
        <f>+D24</f>
        <v>98258.872000000003</v>
      </c>
      <c r="I23" s="98">
        <f t="shared" si="2"/>
        <v>0.41356210895577511</v>
      </c>
    </row>
    <row r="24" spans="1:11" ht="15" customHeight="1" thickBot="1" x14ac:dyDescent="0.3">
      <c r="B24" s="166" t="s">
        <v>1</v>
      </c>
      <c r="C24" s="167"/>
      <c r="D24" s="233">
        <v>98258.872000000003</v>
      </c>
      <c r="E24" s="313">
        <f>+D24/E2</f>
        <v>0.41557645979228219</v>
      </c>
      <c r="F24" s="163"/>
    </row>
    <row r="25" spans="1:11" ht="15" customHeight="1" x14ac:dyDescent="0.25">
      <c r="D25" s="108">
        <f>+(E2/31)*13</f>
        <v>99152.231673445916</v>
      </c>
      <c r="E25" s="314">
        <f>+D25/E2</f>
        <v>0.41935483870967749</v>
      </c>
      <c r="K25" s="215"/>
    </row>
    <row r="26" spans="1:11" ht="15" customHeight="1" x14ac:dyDescent="0.25">
      <c r="D26" s="183">
        <f>+D24-D25</f>
        <v>-893.35967344591336</v>
      </c>
      <c r="E26" s="99">
        <f>E24-E25</f>
        <v>-3.7783789173952975E-3</v>
      </c>
      <c r="K26" s="215"/>
    </row>
    <row r="27" spans="1:11" x14ac:dyDescent="0.25">
      <c r="G27" s="300" t="s">
        <v>190</v>
      </c>
      <c r="H27" s="87">
        <v>135</v>
      </c>
      <c r="I27" s="88">
        <f>+H27*1.5</f>
        <v>202.5</v>
      </c>
      <c r="K27" s="215"/>
    </row>
    <row r="28" spans="1:11" x14ac:dyDescent="0.25">
      <c r="B28" s="66" t="s">
        <v>60</v>
      </c>
      <c r="D28" s="109" t="s">
        <v>105</v>
      </c>
      <c r="E28" s="109" t="s">
        <v>80</v>
      </c>
      <c r="G28" s="163"/>
      <c r="H28" s="237" t="s">
        <v>157</v>
      </c>
      <c r="I28" s="237" t="s">
        <v>92</v>
      </c>
      <c r="J28" s="71"/>
      <c r="K28" s="215"/>
    </row>
    <row r="29" spans="1:11" x14ac:dyDescent="0.25">
      <c r="B29" s="162" t="s">
        <v>61</v>
      </c>
      <c r="C29" s="162">
        <v>927</v>
      </c>
      <c r="D29" s="108">
        <v>2142</v>
      </c>
      <c r="E29" s="57">
        <f>+C29/D29</f>
        <v>0.4327731092436975</v>
      </c>
      <c r="G29" s="86" t="s">
        <v>86</v>
      </c>
      <c r="H29" s="87">
        <f>15438+414+1080</f>
        <v>16932</v>
      </c>
      <c r="I29" s="88">
        <f>+H29*0.025</f>
        <v>423.3</v>
      </c>
      <c r="J29" s="224"/>
      <c r="K29" s="215"/>
    </row>
    <row r="30" spans="1:11" ht="15" customHeight="1" x14ac:dyDescent="0.25">
      <c r="B30" s="162" t="s">
        <v>62</v>
      </c>
      <c r="C30" s="162">
        <v>1247</v>
      </c>
      <c r="D30" s="108">
        <v>1890</v>
      </c>
      <c r="E30" s="57">
        <f>+C30/D30</f>
        <v>0.65978835978835981</v>
      </c>
      <c r="G30" s="86" t="s">
        <v>171</v>
      </c>
      <c r="H30" s="87">
        <v>12</v>
      </c>
      <c r="I30" s="88">
        <v>0.30000000000000004</v>
      </c>
      <c r="J30" s="297" t="s">
        <v>188</v>
      </c>
      <c r="K30" s="215"/>
    </row>
    <row r="31" spans="1:11" x14ac:dyDescent="0.25">
      <c r="B31" s="162" t="s">
        <v>63</v>
      </c>
      <c r="C31" s="67">
        <v>975</v>
      </c>
      <c r="D31" s="108">
        <v>3006</v>
      </c>
      <c r="E31" s="57">
        <f>+C31/D31</f>
        <v>0.32435129740518964</v>
      </c>
      <c r="G31" s="89" t="s">
        <v>169</v>
      </c>
      <c r="H31" s="87">
        <v>266</v>
      </c>
      <c r="I31" s="88">
        <f>+H31*1.5</f>
        <v>399</v>
      </c>
      <c r="J31" s="298">
        <f>+I31+I29</f>
        <v>822.3</v>
      </c>
      <c r="K31" s="215" t="s">
        <v>191</v>
      </c>
    </row>
    <row r="32" spans="1:11" x14ac:dyDescent="0.25">
      <c r="C32" s="162">
        <f>+SUM(C29:C31)</f>
        <v>3149</v>
      </c>
      <c r="D32" s="110">
        <f>+SUM(D29:D31)</f>
        <v>7038</v>
      </c>
      <c r="E32" s="57">
        <f>+C32/D32</f>
        <v>0.44742824666098324</v>
      </c>
      <c r="G32" s="89" t="s">
        <v>168</v>
      </c>
      <c r="H32" s="87">
        <v>21</v>
      </c>
      <c r="I32" s="88">
        <f>+H32*1.5</f>
        <v>31.5</v>
      </c>
      <c r="J32" s="228" t="s">
        <v>193</v>
      </c>
      <c r="K32" s="215"/>
    </row>
    <row r="33" spans="1:11" ht="15" customHeight="1" x14ac:dyDescent="0.25">
      <c r="G33" s="231" t="s">
        <v>123</v>
      </c>
      <c r="H33" s="138">
        <v>231</v>
      </c>
      <c r="I33" s="232">
        <v>346.5</v>
      </c>
      <c r="J33" s="218" t="s">
        <v>146</v>
      </c>
      <c r="K33" s="215"/>
    </row>
    <row r="34" spans="1:11" x14ac:dyDescent="0.25">
      <c r="B34" s="162" t="s">
        <v>66</v>
      </c>
      <c r="D34" s="162"/>
      <c r="G34" s="89" t="s">
        <v>170</v>
      </c>
      <c r="H34" s="87">
        <f>22+47</f>
        <v>69</v>
      </c>
      <c r="I34" s="88">
        <v>33</v>
      </c>
      <c r="J34" s="218" t="s">
        <v>146</v>
      </c>
      <c r="K34" s="215"/>
    </row>
    <row r="35" spans="1:11" x14ac:dyDescent="0.25">
      <c r="B35" s="76" t="s">
        <v>67</v>
      </c>
      <c r="C35" s="77" t="s">
        <v>68</v>
      </c>
      <c r="D35" s="78" t="s">
        <v>69</v>
      </c>
      <c r="E35" s="79" t="s">
        <v>33</v>
      </c>
      <c r="G35" s="89" t="s">
        <v>107</v>
      </c>
      <c r="H35" s="87">
        <v>219</v>
      </c>
      <c r="I35" s="88">
        <f>+H35*1.5</f>
        <v>328.5</v>
      </c>
      <c r="J35" s="224" t="s">
        <v>152</v>
      </c>
      <c r="K35" s="215"/>
    </row>
    <row r="36" spans="1:11" x14ac:dyDescent="0.25">
      <c r="B36" s="73">
        <v>23</v>
      </c>
      <c r="C36" s="74">
        <v>5</v>
      </c>
      <c r="D36" s="74">
        <v>15</v>
      </c>
      <c r="E36" s="75">
        <f>+SUM(B36:D36)</f>
        <v>43</v>
      </c>
      <c r="J36" s="218"/>
      <c r="K36" s="215"/>
    </row>
    <row r="37" spans="1:11" x14ac:dyDescent="0.25">
      <c r="E37" s="198" t="s">
        <v>76</v>
      </c>
      <c r="F37" s="198" t="s">
        <v>137</v>
      </c>
      <c r="H37" s="144" t="s">
        <v>124</v>
      </c>
      <c r="I37" s="220" t="s">
        <v>148</v>
      </c>
      <c r="J37" s="218" t="s">
        <v>146</v>
      </c>
      <c r="K37" s="215"/>
    </row>
    <row r="38" spans="1:11" x14ac:dyDescent="0.25">
      <c r="D38" s="162"/>
      <c r="G38" s="71" t="s">
        <v>90</v>
      </c>
      <c r="H38" s="144" t="s">
        <v>120</v>
      </c>
      <c r="I38" s="145">
        <v>0</v>
      </c>
      <c r="J38" s="218"/>
      <c r="K38" s="215"/>
    </row>
    <row r="39" spans="1:11" x14ac:dyDescent="0.25">
      <c r="A39" s="207" t="s">
        <v>70</v>
      </c>
      <c r="B39" s="199">
        <v>0</v>
      </c>
      <c r="C39" s="199">
        <v>0</v>
      </c>
      <c r="D39" s="200">
        <v>2400</v>
      </c>
      <c r="E39" s="201">
        <f t="shared" ref="E39:E44" si="3">+C39/D39</f>
        <v>0</v>
      </c>
      <c r="F39" s="201">
        <f t="shared" ref="F39:F44" si="4">+B39/24</f>
        <v>0</v>
      </c>
      <c r="G39" s="202">
        <v>7</v>
      </c>
      <c r="H39" s="144" t="s">
        <v>121</v>
      </c>
      <c r="I39" s="220" t="s">
        <v>149</v>
      </c>
      <c r="J39" s="218" t="s">
        <v>146</v>
      </c>
      <c r="K39" s="215"/>
    </row>
    <row r="40" spans="1:11" x14ac:dyDescent="0.25">
      <c r="A40" s="207" t="s">
        <v>71</v>
      </c>
      <c r="B40" s="199">
        <v>5.75</v>
      </c>
      <c r="C40" s="199">
        <v>2030</v>
      </c>
      <c r="D40" s="200">
        <v>3600</v>
      </c>
      <c r="E40" s="201">
        <f t="shared" si="3"/>
        <v>0.56388888888888888</v>
      </c>
      <c r="F40" s="201">
        <f t="shared" si="4"/>
        <v>0.23958333333333334</v>
      </c>
      <c r="G40" s="202">
        <v>12</v>
      </c>
      <c r="H40" s="71"/>
      <c r="K40" s="215"/>
    </row>
    <row r="41" spans="1:11" x14ac:dyDescent="0.25">
      <c r="A41" s="207" t="s">
        <v>72</v>
      </c>
      <c r="B41" s="199">
        <v>7.45</v>
      </c>
      <c r="C41" s="199">
        <v>1644</v>
      </c>
      <c r="D41" s="200">
        <v>3900</v>
      </c>
      <c r="E41" s="201">
        <f t="shared" si="3"/>
        <v>0.42153846153846153</v>
      </c>
      <c r="F41" s="201">
        <f t="shared" si="4"/>
        <v>0.31041666666666667</v>
      </c>
      <c r="G41" s="202">
        <v>12</v>
      </c>
      <c r="H41" s="237" t="s">
        <v>195</v>
      </c>
      <c r="J41" s="162" t="s">
        <v>177</v>
      </c>
      <c r="K41" s="215" t="s">
        <v>92</v>
      </c>
    </row>
    <row r="42" spans="1:11" x14ac:dyDescent="0.25">
      <c r="A42" s="207" t="s">
        <v>73</v>
      </c>
      <c r="B42" s="199">
        <v>3.73</v>
      </c>
      <c r="C42" s="199">
        <v>2951</v>
      </c>
      <c r="D42" s="200">
        <v>3900</v>
      </c>
      <c r="E42" s="201">
        <f t="shared" si="3"/>
        <v>0.75666666666666671</v>
      </c>
      <c r="F42" s="201">
        <f t="shared" si="4"/>
        <v>0.15541666666666668</v>
      </c>
      <c r="G42" s="202">
        <v>12</v>
      </c>
      <c r="H42" s="301">
        <v>45925</v>
      </c>
      <c r="I42" s="129" t="s">
        <v>176</v>
      </c>
      <c r="J42" s="162">
        <v>143</v>
      </c>
      <c r="K42" s="318">
        <f>+J42*1.5</f>
        <v>214.5</v>
      </c>
    </row>
    <row r="43" spans="1:11" x14ac:dyDescent="0.25">
      <c r="A43" s="207" t="s">
        <v>74</v>
      </c>
      <c r="B43" s="199">
        <v>11.42</v>
      </c>
      <c r="C43" s="199">
        <v>2411</v>
      </c>
      <c r="D43" s="200">
        <v>3900</v>
      </c>
      <c r="E43" s="201">
        <f t="shared" si="3"/>
        <v>0.61820512820512818</v>
      </c>
      <c r="F43" s="201">
        <f t="shared" si="4"/>
        <v>0.47583333333333333</v>
      </c>
      <c r="G43" s="202">
        <v>12</v>
      </c>
      <c r="H43" s="301">
        <v>45931</v>
      </c>
      <c r="I43" s="129" t="s">
        <v>176</v>
      </c>
      <c r="J43" s="162">
        <v>47</v>
      </c>
      <c r="K43" s="318">
        <f>+J43*1.5</f>
        <v>70.5</v>
      </c>
    </row>
    <row r="44" spans="1:11" x14ac:dyDescent="0.25">
      <c r="A44" s="259" t="s">
        <v>75</v>
      </c>
      <c r="B44" s="260">
        <v>8.7200000000000006</v>
      </c>
      <c r="C44" s="261">
        <v>1354</v>
      </c>
      <c r="D44" s="262">
        <v>4300</v>
      </c>
      <c r="E44" s="263">
        <f t="shared" si="3"/>
        <v>0.31488372093023254</v>
      </c>
      <c r="F44" s="201">
        <f t="shared" si="4"/>
        <v>0.36333333333333334</v>
      </c>
      <c r="G44" s="202">
        <v>16</v>
      </c>
      <c r="H44" s="301">
        <v>45939</v>
      </c>
      <c r="I44" s="129" t="s">
        <v>176</v>
      </c>
      <c r="J44" s="162">
        <v>49</v>
      </c>
      <c r="K44" s="318">
        <f>+J44*1.5</f>
        <v>73.5</v>
      </c>
    </row>
    <row r="45" spans="1:11" x14ac:dyDescent="0.25">
      <c r="C45" s="71" t="s">
        <v>83</v>
      </c>
      <c r="D45" s="72" t="s">
        <v>79</v>
      </c>
      <c r="I45" s="129"/>
      <c r="K45" s="215"/>
    </row>
    <row r="46" spans="1:11" x14ac:dyDescent="0.25">
      <c r="B46" s="162" t="s">
        <v>78</v>
      </c>
      <c r="H46" s="301"/>
      <c r="K46" s="198"/>
    </row>
    <row r="47" spans="1:11" x14ac:dyDescent="0.25">
      <c r="C47" s="71">
        <v>1</v>
      </c>
      <c r="D47" s="225" t="s">
        <v>153</v>
      </c>
      <c r="H47" s="237" t="s">
        <v>197</v>
      </c>
      <c r="J47" s="162" t="s">
        <v>157</v>
      </c>
      <c r="K47" s="215" t="s">
        <v>92</v>
      </c>
    </row>
    <row r="48" spans="1:11" x14ac:dyDescent="0.25">
      <c r="C48" s="71">
        <v>2</v>
      </c>
      <c r="D48" s="225" t="s">
        <v>153</v>
      </c>
      <c r="H48" s="301">
        <v>45929</v>
      </c>
      <c r="I48" s="129" t="s">
        <v>176</v>
      </c>
      <c r="J48" s="162">
        <v>5120</v>
      </c>
      <c r="K48" s="318">
        <f>+J48*0.025</f>
        <v>128</v>
      </c>
    </row>
    <row r="49" spans="2:11" x14ac:dyDescent="0.25">
      <c r="C49" s="71">
        <v>3</v>
      </c>
      <c r="D49" s="225" t="s">
        <v>154</v>
      </c>
      <c r="H49" s="301">
        <v>45939</v>
      </c>
      <c r="I49" s="129" t="s">
        <v>176</v>
      </c>
      <c r="J49" s="162">
        <v>430</v>
      </c>
      <c r="K49" s="318">
        <f>+J49*0.025</f>
        <v>10.75</v>
      </c>
    </row>
    <row r="50" spans="2:11" x14ac:dyDescent="0.25">
      <c r="C50" s="71">
        <v>4</v>
      </c>
      <c r="D50" s="108">
        <v>0</v>
      </c>
      <c r="H50" s="301">
        <v>45940</v>
      </c>
      <c r="I50" s="129" t="s">
        <v>175</v>
      </c>
      <c r="J50" s="162">
        <v>1080</v>
      </c>
      <c r="K50" s="318">
        <f>+J50*0.025</f>
        <v>27</v>
      </c>
    </row>
    <row r="51" spans="2:11" x14ac:dyDescent="0.25">
      <c r="C51" s="71">
        <v>5</v>
      </c>
      <c r="D51" s="108">
        <v>8</v>
      </c>
      <c r="H51" s="301"/>
      <c r="I51" s="129"/>
      <c r="K51" s="215"/>
    </row>
    <row r="52" spans="2:11" x14ac:dyDescent="0.25">
      <c r="C52" s="71">
        <v>6</v>
      </c>
      <c r="D52" s="108">
        <v>5</v>
      </c>
      <c r="H52" s="237" t="s">
        <v>205</v>
      </c>
      <c r="J52" s="162" t="s">
        <v>177</v>
      </c>
      <c r="K52" s="215" t="s">
        <v>92</v>
      </c>
    </row>
    <row r="53" spans="2:11" x14ac:dyDescent="0.25">
      <c r="C53" s="71">
        <v>7</v>
      </c>
      <c r="D53" s="225" t="s">
        <v>153</v>
      </c>
      <c r="H53" s="301">
        <v>45942</v>
      </c>
      <c r="I53" s="129" t="s">
        <v>176</v>
      </c>
      <c r="J53" s="162">
        <v>47</v>
      </c>
      <c r="K53" s="318">
        <f>+J53*1.5</f>
        <v>70.5</v>
      </c>
    </row>
    <row r="54" spans="2:11" x14ac:dyDescent="0.25">
      <c r="C54" s="71">
        <v>8</v>
      </c>
      <c r="D54" s="225" t="s">
        <v>153</v>
      </c>
      <c r="H54" s="301"/>
      <c r="I54" s="129"/>
      <c r="K54" s="318"/>
    </row>
    <row r="55" spans="2:11" x14ac:dyDescent="0.25">
      <c r="H55" s="301"/>
      <c r="I55" s="129"/>
      <c r="K55" s="318"/>
    </row>
    <row r="56" spans="2:11" x14ac:dyDescent="0.25">
      <c r="I56" s="129"/>
      <c r="K56" s="215"/>
    </row>
    <row r="57" spans="2:11" x14ac:dyDescent="0.25">
      <c r="B57" s="162" t="s">
        <v>116</v>
      </c>
      <c r="C57" s="162" t="s">
        <v>58</v>
      </c>
      <c r="D57" s="93"/>
    </row>
    <row r="58" spans="2:11" x14ac:dyDescent="0.25">
      <c r="C58" s="162" t="s">
        <v>59</v>
      </c>
      <c r="D58" s="93"/>
    </row>
    <row r="60" spans="2:11" x14ac:dyDescent="0.25">
      <c r="C60" s="162" t="s">
        <v>204</v>
      </c>
    </row>
  </sheetData>
  <protectedRanges>
    <protectedRange password="D554" sqref="I37:I3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opLeftCell="A37" workbookViewId="0">
      <selection activeCell="A25" sqref="A25:L61"/>
    </sheetView>
  </sheetViews>
  <sheetFormatPr baseColWidth="10" defaultColWidth="11.42578125" defaultRowHeight="15.75" x14ac:dyDescent="0.25"/>
  <cols>
    <col min="1" max="1" width="2.42578125" style="162" customWidth="1"/>
    <col min="2" max="2" width="42.28515625" style="162" customWidth="1"/>
    <col min="3" max="3" width="15.28515625" style="162" customWidth="1"/>
    <col min="4" max="4" width="15.28515625" style="163" customWidth="1"/>
    <col min="5" max="5" width="13.28515625" style="162" customWidth="1"/>
    <col min="6" max="6" width="15.42578125" style="162" customWidth="1"/>
    <col min="7" max="7" width="16.42578125" style="162" customWidth="1"/>
    <col min="8" max="8" width="14" style="162" customWidth="1"/>
    <col min="9" max="10" width="11.42578125" style="162"/>
    <col min="11" max="11" width="7.140625" style="162" bestFit="1" customWidth="1"/>
    <col min="12" max="16384" width="11.42578125" style="162"/>
  </cols>
  <sheetData>
    <row r="1" spans="1:10" ht="15" customHeight="1" x14ac:dyDescent="0.25">
      <c r="A1" s="161"/>
      <c r="B1" s="518">
        <v>45944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21"/>
      <c r="C4" s="321"/>
      <c r="D4" s="165">
        <f>D23</f>
        <v>9740.8159999999989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6065</v>
      </c>
      <c r="D5" s="172">
        <v>259.19</v>
      </c>
      <c r="E5" s="80">
        <f>+D5/$D$4</f>
        <v>2.660865373085787E-2</v>
      </c>
      <c r="F5" s="58" t="s">
        <v>51</v>
      </c>
      <c r="G5" s="59">
        <v>45936</v>
      </c>
      <c r="H5" s="190">
        <v>7317.0000000000009</v>
      </c>
      <c r="I5" s="141">
        <v>7468.2059999999992</v>
      </c>
      <c r="J5" s="60">
        <f t="shared" ref="J5:J12" si="0">+I5/H5</f>
        <v>1.0206650266502664</v>
      </c>
    </row>
    <row r="6" spans="1:10" ht="15" customHeight="1" x14ac:dyDescent="0.25">
      <c r="A6" s="164"/>
      <c r="B6" s="169" t="s">
        <v>10</v>
      </c>
      <c r="C6" s="177">
        <v>22402</v>
      </c>
      <c r="D6" s="173">
        <v>955.19</v>
      </c>
      <c r="E6" s="80">
        <f t="shared" ref="E6:E23" si="1">+D6/$D$4</f>
        <v>9.8060573159373929E-2</v>
      </c>
      <c r="F6" s="58" t="s">
        <v>52</v>
      </c>
      <c r="G6" s="59">
        <v>45937</v>
      </c>
      <c r="H6" s="190">
        <v>8572</v>
      </c>
      <c r="I6" s="141">
        <v>9740.8159999999989</v>
      </c>
      <c r="J6" s="60">
        <f t="shared" si="0"/>
        <v>1.1363527764815677</v>
      </c>
    </row>
    <row r="7" spans="1:10" ht="15" customHeight="1" x14ac:dyDescent="0.25">
      <c r="A7" s="164"/>
      <c r="B7" s="169" t="s">
        <v>35</v>
      </c>
      <c r="C7" s="177">
        <v>25246</v>
      </c>
      <c r="D7" s="173">
        <v>1076.306</v>
      </c>
      <c r="E7" s="80">
        <f t="shared" si="1"/>
        <v>0.11049443906958105</v>
      </c>
      <c r="F7" s="58" t="s">
        <v>53</v>
      </c>
      <c r="G7" s="59">
        <v>45938</v>
      </c>
      <c r="H7" s="190">
        <v>8810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3765</v>
      </c>
      <c r="D8" s="173">
        <v>160.59200000000001</v>
      </c>
      <c r="E8" s="80">
        <f t="shared" si="1"/>
        <v>1.6486503800092315E-2</v>
      </c>
      <c r="F8" s="58" t="s">
        <v>54</v>
      </c>
      <c r="G8" s="59">
        <v>45939</v>
      </c>
      <c r="H8" s="190">
        <v>8913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40653</v>
      </c>
      <c r="D9" s="173">
        <v>1734.454</v>
      </c>
      <c r="E9" s="245">
        <f t="shared" si="1"/>
        <v>0.1780604417535451</v>
      </c>
      <c r="F9" s="58" t="s">
        <v>55</v>
      </c>
      <c r="G9" s="59">
        <v>45940</v>
      </c>
      <c r="H9" s="190">
        <v>8731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56061</v>
      </c>
      <c r="D10" s="173">
        <v>2390.7939999999999</v>
      </c>
      <c r="E10" s="245">
        <f t="shared" si="1"/>
        <v>0.24544083370428105</v>
      </c>
      <c r="F10" s="58" t="s">
        <v>56</v>
      </c>
      <c r="G10" s="59">
        <v>45941</v>
      </c>
      <c r="H10" s="190">
        <v>7946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14690</v>
      </c>
      <c r="D11" s="173">
        <v>627.22</v>
      </c>
      <c r="E11" s="80">
        <f t="shared" si="1"/>
        <v>6.4390909344761271E-2</v>
      </c>
      <c r="F11" s="58" t="s">
        <v>57</v>
      </c>
      <c r="G11" s="59">
        <v>45942</v>
      </c>
      <c r="H11" s="190">
        <v>6040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39</v>
      </c>
      <c r="C12" s="177">
        <v>618</v>
      </c>
      <c r="D12" s="173">
        <v>933.67</v>
      </c>
      <c r="E12" s="80">
        <f t="shared" si="1"/>
        <v>9.5851312662101409E-2</v>
      </c>
      <c r="H12" s="139">
        <f>+SUM(H5:H11)</f>
        <v>56329</v>
      </c>
      <c r="I12" s="142">
        <f>+SUM(I5:I11)</f>
        <v>17209.021999999997</v>
      </c>
      <c r="J12" s="140">
        <f t="shared" si="0"/>
        <v>0.30550909833300782</v>
      </c>
    </row>
    <row r="13" spans="1:10" ht="15" customHeight="1" x14ac:dyDescent="0.25">
      <c r="A13" s="164"/>
      <c r="B13" s="169" t="s">
        <v>43</v>
      </c>
      <c r="C13" s="177">
        <v>108</v>
      </c>
      <c r="D13" s="173">
        <v>163.31</v>
      </c>
      <c r="E13" s="80">
        <f t="shared" si="1"/>
        <v>1.6765535864757122E-2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64</v>
      </c>
      <c r="D14" s="173">
        <v>96.49</v>
      </c>
      <c r="E14" s="80">
        <f t="shared" si="1"/>
        <v>9.9057409564044744E-3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85</v>
      </c>
      <c r="C15" s="177">
        <v>21</v>
      </c>
      <c r="D15" s="173">
        <v>31.71</v>
      </c>
      <c r="E15" s="80">
        <f t="shared" si="1"/>
        <v>3.2553740877560981E-3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95</v>
      </c>
      <c r="D16" s="173">
        <v>142.72</v>
      </c>
      <c r="E16" s="80">
        <f t="shared" si="1"/>
        <v>1.4651749914996856E-2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105</v>
      </c>
      <c r="D17" s="173">
        <v>157.57</v>
      </c>
      <c r="E17" s="80">
        <f t="shared" si="1"/>
        <v>1.6176262851079419E-2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88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194</v>
      </c>
      <c r="C19" s="177">
        <v>88</v>
      </c>
      <c r="D19" s="173">
        <v>132.86000000000001</v>
      </c>
      <c r="E19" s="80">
        <f t="shared" si="1"/>
        <v>1.3639514389759546E-2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9</v>
      </c>
      <c r="C20" s="177"/>
      <c r="D20" s="173">
        <v>123.82</v>
      </c>
      <c r="E20" s="80">
        <f t="shared" si="1"/>
        <v>1.2711460723619049E-2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40</v>
      </c>
      <c r="C21" s="177"/>
      <c r="D21" s="173">
        <v>663.57</v>
      </c>
      <c r="E21" s="80">
        <f t="shared" si="1"/>
        <v>6.8122629562040807E-2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A22" s="164"/>
      <c r="B22" s="169" t="s">
        <v>46</v>
      </c>
      <c r="C22" s="177"/>
      <c r="D22" s="173">
        <v>91.35</v>
      </c>
      <c r="E22" s="80">
        <f t="shared" si="1"/>
        <v>9.3780644249927322E-3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thickBot="1" x14ac:dyDescent="0.3">
      <c r="B23" s="178" t="s">
        <v>0</v>
      </c>
      <c r="C23" s="170"/>
      <c r="D23" s="171">
        <f>SUM(D5:D22)</f>
        <v>9740.8159999999989</v>
      </c>
      <c r="E23" s="80">
        <f t="shared" si="1"/>
        <v>1</v>
      </c>
      <c r="F23" s="112" t="s">
        <v>161</v>
      </c>
      <c r="G23" s="190">
        <v>237591.573</v>
      </c>
      <c r="H23" s="119">
        <f>+D24</f>
        <v>107999.68799999999</v>
      </c>
      <c r="I23" s="98">
        <f t="shared" si="2"/>
        <v>0.45456026338105854</v>
      </c>
    </row>
    <row r="24" spans="1:11" ht="15" customHeight="1" thickBot="1" x14ac:dyDescent="0.3">
      <c r="B24" s="166" t="s">
        <v>1</v>
      </c>
      <c r="C24" s="167"/>
      <c r="D24" s="233">
        <v>107999.68799999999</v>
      </c>
      <c r="E24" s="313">
        <f>+D24/E2</f>
        <v>0.45677430530355584</v>
      </c>
      <c r="F24" s="163"/>
    </row>
    <row r="25" spans="1:11" ht="15" customHeight="1" x14ac:dyDescent="0.25">
      <c r="D25" s="108">
        <f>+(E2/31)*14</f>
        <v>106779.32641755714</v>
      </c>
      <c r="E25" s="314">
        <f>+D25/E2</f>
        <v>0.45161290322580649</v>
      </c>
      <c r="K25" s="215"/>
    </row>
    <row r="26" spans="1:11" ht="15" customHeight="1" x14ac:dyDescent="0.25">
      <c r="D26" s="183">
        <f>+D24-D25</f>
        <v>1220.3615824428562</v>
      </c>
      <c r="E26" s="99">
        <f>E24-E25</f>
        <v>5.1614020777493441E-3</v>
      </c>
      <c r="K26" s="215"/>
    </row>
    <row r="27" spans="1:11" ht="15" customHeight="1" x14ac:dyDescent="0.25">
      <c r="G27" s="300" t="s">
        <v>190</v>
      </c>
      <c r="H27" s="87">
        <v>280</v>
      </c>
      <c r="I27" s="88">
        <f>+H27*1.5</f>
        <v>420</v>
      </c>
      <c r="K27" s="215"/>
    </row>
    <row r="28" spans="1:11" ht="15" customHeight="1" x14ac:dyDescent="0.25">
      <c r="B28" s="66" t="s">
        <v>60</v>
      </c>
      <c r="D28" s="109" t="s">
        <v>105</v>
      </c>
      <c r="E28" s="109" t="s">
        <v>80</v>
      </c>
      <c r="G28" s="163"/>
      <c r="H28" s="237" t="s">
        <v>157</v>
      </c>
      <c r="I28" s="237" t="s">
        <v>92</v>
      </c>
      <c r="J28" s="71"/>
      <c r="K28" s="215"/>
    </row>
    <row r="29" spans="1:11" x14ac:dyDescent="0.25">
      <c r="B29" s="162" t="s">
        <v>61</v>
      </c>
      <c r="C29" s="162">
        <v>1046</v>
      </c>
      <c r="D29" s="108">
        <v>2142</v>
      </c>
      <c r="E29" s="57">
        <f>+C29/D29</f>
        <v>0.48832866479925302</v>
      </c>
      <c r="G29" s="86" t="s">
        <v>86</v>
      </c>
      <c r="H29" s="87">
        <f>15438+414+1080</f>
        <v>16932</v>
      </c>
      <c r="I29" s="88">
        <f>+H29*0.025</f>
        <v>423.3</v>
      </c>
      <c r="J29" s="224"/>
      <c r="K29" s="215"/>
    </row>
    <row r="30" spans="1:11" x14ac:dyDescent="0.25">
      <c r="B30" s="162" t="s">
        <v>62</v>
      </c>
      <c r="C30" s="162">
        <v>1351</v>
      </c>
      <c r="D30" s="108">
        <v>1890</v>
      </c>
      <c r="E30" s="57">
        <f>+C30/D30</f>
        <v>0.71481481481481479</v>
      </c>
      <c r="G30" s="86" t="s">
        <v>171</v>
      </c>
      <c r="H30" s="87">
        <v>12</v>
      </c>
      <c r="I30" s="88">
        <v>0.30000000000000004</v>
      </c>
      <c r="J30" s="297" t="s">
        <v>188</v>
      </c>
      <c r="K30" s="215"/>
    </row>
    <row r="31" spans="1:11" ht="15" customHeight="1" x14ac:dyDescent="0.25">
      <c r="B31" s="162" t="s">
        <v>63</v>
      </c>
      <c r="C31" s="67">
        <v>975</v>
      </c>
      <c r="D31" s="108">
        <v>3006</v>
      </c>
      <c r="E31" s="57">
        <f>+C31/D31</f>
        <v>0.32435129740518964</v>
      </c>
      <c r="G31" s="89" t="s">
        <v>169</v>
      </c>
      <c r="H31" s="87">
        <v>246</v>
      </c>
      <c r="I31" s="88">
        <f>+H31*1.5</f>
        <v>369</v>
      </c>
      <c r="J31" s="298">
        <f>+I31+I29</f>
        <v>792.3</v>
      </c>
      <c r="K31" s="215" t="s">
        <v>191</v>
      </c>
    </row>
    <row r="32" spans="1:11" x14ac:dyDescent="0.25">
      <c r="C32" s="162">
        <f>+SUM(C29:C31)</f>
        <v>3372</v>
      </c>
      <c r="D32" s="110">
        <f>+SUM(D29:D31)</f>
        <v>7038</v>
      </c>
      <c r="E32" s="57">
        <f>+C32/D32</f>
        <v>0.47911338448422847</v>
      </c>
      <c r="G32" s="89" t="s">
        <v>168</v>
      </c>
      <c r="H32" s="87">
        <v>0</v>
      </c>
      <c r="I32" s="88">
        <f>+H32*1.5</f>
        <v>0</v>
      </c>
      <c r="J32" s="228" t="s">
        <v>193</v>
      </c>
      <c r="K32" s="215"/>
    </row>
    <row r="33" spans="1:11" x14ac:dyDescent="0.25">
      <c r="G33" s="231" t="s">
        <v>123</v>
      </c>
      <c r="H33" s="138">
        <v>231</v>
      </c>
      <c r="I33" s="232">
        <v>346.5</v>
      </c>
      <c r="J33" s="218" t="s">
        <v>146</v>
      </c>
      <c r="K33" s="215"/>
    </row>
    <row r="34" spans="1:11" ht="15" customHeight="1" x14ac:dyDescent="0.25">
      <c r="B34" s="162" t="s">
        <v>66</v>
      </c>
      <c r="D34" s="162"/>
      <c r="G34" s="89" t="s">
        <v>170</v>
      </c>
      <c r="H34" s="87">
        <v>47</v>
      </c>
      <c r="I34" s="88">
        <f>+H34*1.5</f>
        <v>70.5</v>
      </c>
      <c r="J34" s="224" t="s">
        <v>206</v>
      </c>
      <c r="K34" s="215"/>
    </row>
    <row r="35" spans="1:11" x14ac:dyDescent="0.25">
      <c r="B35" s="76" t="s">
        <v>67</v>
      </c>
      <c r="C35" s="77" t="s">
        <v>68</v>
      </c>
      <c r="D35" s="78" t="s">
        <v>69</v>
      </c>
      <c r="E35" s="79" t="s">
        <v>33</v>
      </c>
      <c r="G35" s="89" t="s">
        <v>107</v>
      </c>
      <c r="H35" s="87">
        <v>219</v>
      </c>
      <c r="I35" s="88">
        <f>+H35*1.5</f>
        <v>328.5</v>
      </c>
      <c r="J35" s="224" t="s">
        <v>152</v>
      </c>
      <c r="K35" s="215"/>
    </row>
    <row r="36" spans="1:11" x14ac:dyDescent="0.25">
      <c r="B36" s="73">
        <v>28</v>
      </c>
      <c r="C36" s="74">
        <v>1</v>
      </c>
      <c r="D36" s="74">
        <v>21</v>
      </c>
      <c r="E36" s="75">
        <f>+SUM(B36:D36)</f>
        <v>50</v>
      </c>
      <c r="J36" s="218"/>
      <c r="K36" s="215"/>
    </row>
    <row r="37" spans="1:11" x14ac:dyDescent="0.25">
      <c r="E37" s="198" t="s">
        <v>76</v>
      </c>
      <c r="F37" s="198" t="s">
        <v>137</v>
      </c>
      <c r="H37" s="144" t="s">
        <v>124</v>
      </c>
      <c r="I37" s="220" t="s">
        <v>148</v>
      </c>
      <c r="J37" s="218" t="s">
        <v>146</v>
      </c>
      <c r="K37" s="215"/>
    </row>
    <row r="38" spans="1:11" x14ac:dyDescent="0.25">
      <c r="D38" s="162"/>
      <c r="G38" s="71" t="s">
        <v>90</v>
      </c>
      <c r="H38" s="144" t="s">
        <v>120</v>
      </c>
      <c r="I38" s="145">
        <v>0</v>
      </c>
      <c r="J38" s="218"/>
      <c r="K38" s="215"/>
    </row>
    <row r="39" spans="1:11" x14ac:dyDescent="0.25">
      <c r="A39" s="207" t="s">
        <v>70</v>
      </c>
      <c r="B39" s="199">
        <v>0</v>
      </c>
      <c r="C39" s="199">
        <v>0</v>
      </c>
      <c r="D39" s="200">
        <v>2400</v>
      </c>
      <c r="E39" s="201">
        <f t="shared" ref="E39:E44" si="3">+C39/D39</f>
        <v>0</v>
      </c>
      <c r="F39" s="201">
        <f t="shared" ref="F39:F44" si="4">+B39/24</f>
        <v>0</v>
      </c>
      <c r="G39" s="202">
        <v>7</v>
      </c>
      <c r="H39" s="144" t="s">
        <v>121</v>
      </c>
      <c r="I39" s="220" t="s">
        <v>149</v>
      </c>
      <c r="J39" s="218" t="s">
        <v>146</v>
      </c>
      <c r="K39" s="215"/>
    </row>
    <row r="40" spans="1:11" x14ac:dyDescent="0.25">
      <c r="A40" s="207" t="s">
        <v>71</v>
      </c>
      <c r="B40" s="199">
        <v>14.13</v>
      </c>
      <c r="C40" s="199">
        <v>1805</v>
      </c>
      <c r="D40" s="200">
        <v>3600</v>
      </c>
      <c r="E40" s="201">
        <f t="shared" si="3"/>
        <v>0.50138888888888888</v>
      </c>
      <c r="F40" s="201">
        <f t="shared" si="4"/>
        <v>0.58875</v>
      </c>
      <c r="G40" s="202">
        <v>12</v>
      </c>
      <c r="H40" s="71"/>
      <c r="K40" s="215"/>
    </row>
    <row r="41" spans="1:11" x14ac:dyDescent="0.25">
      <c r="A41" s="207" t="s">
        <v>72</v>
      </c>
      <c r="B41" s="199">
        <v>60</v>
      </c>
      <c r="C41" s="199">
        <v>312</v>
      </c>
      <c r="D41" s="200">
        <v>3900</v>
      </c>
      <c r="E41" s="201">
        <f t="shared" si="3"/>
        <v>0.08</v>
      </c>
      <c r="F41" s="201">
        <f t="shared" si="4"/>
        <v>2.5</v>
      </c>
      <c r="G41" s="202">
        <v>12</v>
      </c>
      <c r="H41" s="237" t="s">
        <v>195</v>
      </c>
      <c r="J41" s="162" t="s">
        <v>177</v>
      </c>
      <c r="K41" s="215" t="s">
        <v>92</v>
      </c>
    </row>
    <row r="42" spans="1:11" x14ac:dyDescent="0.25">
      <c r="A42" s="207" t="s">
        <v>73</v>
      </c>
      <c r="B42" s="199">
        <v>11.42</v>
      </c>
      <c r="C42" s="199">
        <v>2921</v>
      </c>
      <c r="D42" s="200">
        <v>3900</v>
      </c>
      <c r="E42" s="201">
        <f t="shared" si="3"/>
        <v>0.74897435897435893</v>
      </c>
      <c r="F42" s="201">
        <f t="shared" si="4"/>
        <v>0.47583333333333333</v>
      </c>
      <c r="G42" s="202">
        <v>12</v>
      </c>
      <c r="H42" s="301">
        <v>45925</v>
      </c>
      <c r="I42" s="129" t="s">
        <v>176</v>
      </c>
      <c r="J42" s="162">
        <v>143</v>
      </c>
      <c r="K42" s="318">
        <f>+J42*1.5</f>
        <v>214.5</v>
      </c>
    </row>
    <row r="43" spans="1:11" x14ac:dyDescent="0.25">
      <c r="A43" s="207" t="s">
        <v>74</v>
      </c>
      <c r="B43" s="199">
        <v>16.760000000000002</v>
      </c>
      <c r="C43" s="199">
        <v>2611</v>
      </c>
      <c r="D43" s="200">
        <v>3900</v>
      </c>
      <c r="E43" s="201">
        <f t="shared" si="3"/>
        <v>0.66948717948717951</v>
      </c>
      <c r="F43" s="201">
        <f t="shared" si="4"/>
        <v>0.69833333333333336</v>
      </c>
      <c r="G43" s="202">
        <v>12</v>
      </c>
      <c r="H43" s="301">
        <v>45931</v>
      </c>
      <c r="I43" s="129" t="s">
        <v>176</v>
      </c>
      <c r="J43" s="162">
        <v>47</v>
      </c>
      <c r="K43" s="318">
        <f>+J43*1.5</f>
        <v>70.5</v>
      </c>
    </row>
    <row r="44" spans="1:11" x14ac:dyDescent="0.25">
      <c r="A44" s="259" t="s">
        <v>75</v>
      </c>
      <c r="B44" s="260">
        <v>12.36</v>
      </c>
      <c r="C44" s="261">
        <v>2439</v>
      </c>
      <c r="D44" s="262">
        <v>4300</v>
      </c>
      <c r="E44" s="263">
        <f t="shared" si="3"/>
        <v>0.56720930232558142</v>
      </c>
      <c r="F44" s="201">
        <f t="shared" si="4"/>
        <v>0.51500000000000001</v>
      </c>
      <c r="G44" s="202">
        <v>16</v>
      </c>
      <c r="H44" s="301">
        <v>45939</v>
      </c>
      <c r="I44" s="129" t="s">
        <v>176</v>
      </c>
      <c r="J44" s="162">
        <v>49</v>
      </c>
      <c r="K44" s="318">
        <f>+J44*1.5</f>
        <v>73.5</v>
      </c>
    </row>
    <row r="45" spans="1:11" x14ac:dyDescent="0.25">
      <c r="C45" s="71" t="s">
        <v>83</v>
      </c>
      <c r="D45" s="72" t="s">
        <v>79</v>
      </c>
      <c r="I45" s="129"/>
      <c r="K45" s="215"/>
    </row>
    <row r="46" spans="1:11" x14ac:dyDescent="0.25">
      <c r="B46" s="162" t="s">
        <v>78</v>
      </c>
      <c r="H46" s="301"/>
      <c r="K46" s="198"/>
    </row>
    <row r="47" spans="1:11" x14ac:dyDescent="0.25">
      <c r="C47" s="71">
        <v>1</v>
      </c>
      <c r="D47" s="225" t="s">
        <v>153</v>
      </c>
      <c r="H47" s="237" t="s">
        <v>197</v>
      </c>
      <c r="J47" s="162" t="s">
        <v>157</v>
      </c>
      <c r="K47" s="215" t="s">
        <v>92</v>
      </c>
    </row>
    <row r="48" spans="1:11" x14ac:dyDescent="0.25">
      <c r="C48" s="71">
        <v>2</v>
      </c>
      <c r="D48" s="225" t="s">
        <v>153</v>
      </c>
      <c r="H48" s="301">
        <v>45929</v>
      </c>
      <c r="I48" s="129" t="s">
        <v>176</v>
      </c>
      <c r="J48" s="162">
        <v>5120</v>
      </c>
      <c r="K48" s="318">
        <f>+J48*0.025</f>
        <v>128</v>
      </c>
    </row>
    <row r="49" spans="2:11" x14ac:dyDescent="0.25">
      <c r="C49" s="71">
        <v>3</v>
      </c>
      <c r="D49" s="225" t="s">
        <v>154</v>
      </c>
      <c r="H49" s="301">
        <v>45939</v>
      </c>
      <c r="I49" s="129" t="s">
        <v>176</v>
      </c>
      <c r="J49" s="162">
        <v>430</v>
      </c>
      <c r="K49" s="318">
        <f>+J49*0.025</f>
        <v>10.75</v>
      </c>
    </row>
    <row r="50" spans="2:11" x14ac:dyDescent="0.25">
      <c r="C50" s="71">
        <v>4</v>
      </c>
      <c r="D50" s="108">
        <v>0</v>
      </c>
      <c r="H50" s="301">
        <v>45940</v>
      </c>
      <c r="I50" s="129" t="s">
        <v>175</v>
      </c>
      <c r="J50" s="162">
        <v>1080</v>
      </c>
      <c r="K50" s="318">
        <f>+J50*0.025</f>
        <v>27</v>
      </c>
    </row>
    <row r="51" spans="2:11" x14ac:dyDescent="0.25">
      <c r="C51" s="71">
        <v>5</v>
      </c>
      <c r="D51" s="108">
        <v>14</v>
      </c>
      <c r="H51" s="301"/>
      <c r="I51" s="129"/>
      <c r="K51" s="215"/>
    </row>
    <row r="52" spans="2:11" x14ac:dyDescent="0.25">
      <c r="C52" s="71">
        <v>6</v>
      </c>
      <c r="D52" s="108">
        <v>1</v>
      </c>
      <c r="H52" s="237" t="s">
        <v>205</v>
      </c>
      <c r="J52" s="162" t="s">
        <v>177</v>
      </c>
      <c r="K52" s="215" t="s">
        <v>92</v>
      </c>
    </row>
    <row r="53" spans="2:11" x14ac:dyDescent="0.25">
      <c r="C53" s="71">
        <v>7</v>
      </c>
      <c r="D53" s="225" t="s">
        <v>153</v>
      </c>
      <c r="H53" s="301">
        <v>45942</v>
      </c>
      <c r="I53" s="129" t="s">
        <v>176</v>
      </c>
      <c r="J53" s="162">
        <v>47</v>
      </c>
      <c r="K53" s="318">
        <f>+J53*1.5</f>
        <v>70.5</v>
      </c>
    </row>
    <row r="54" spans="2:11" x14ac:dyDescent="0.25">
      <c r="C54" s="71">
        <v>8</v>
      </c>
      <c r="D54" s="225" t="s">
        <v>153</v>
      </c>
      <c r="H54" s="301"/>
      <c r="I54" s="129"/>
      <c r="K54" s="318"/>
    </row>
    <row r="55" spans="2:11" x14ac:dyDescent="0.25">
      <c r="H55" s="301"/>
      <c r="I55" s="129"/>
      <c r="K55" s="318"/>
    </row>
    <row r="56" spans="2:11" x14ac:dyDescent="0.25">
      <c r="I56" s="129"/>
      <c r="K56" s="215"/>
    </row>
    <row r="57" spans="2:11" x14ac:dyDescent="0.25">
      <c r="B57" s="162" t="s">
        <v>116</v>
      </c>
      <c r="C57" s="162" t="s">
        <v>58</v>
      </c>
      <c r="D57" s="93"/>
    </row>
    <row r="58" spans="2:11" x14ac:dyDescent="0.25">
      <c r="C58" s="162" t="s">
        <v>59</v>
      </c>
      <c r="D58" s="93"/>
    </row>
    <row r="60" spans="2:11" x14ac:dyDescent="0.25">
      <c r="C60" s="162" t="s">
        <v>204</v>
      </c>
    </row>
  </sheetData>
  <protectedRanges>
    <protectedRange password="D554" sqref="I37:I3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A38" workbookViewId="0">
      <selection activeCell="A26" sqref="A26:K61"/>
    </sheetView>
  </sheetViews>
  <sheetFormatPr baseColWidth="10" defaultColWidth="11.42578125" defaultRowHeight="15.75" x14ac:dyDescent="0.25"/>
  <cols>
    <col min="1" max="1" width="2.42578125" style="162" customWidth="1"/>
    <col min="2" max="2" width="45.5703125" style="162" customWidth="1"/>
    <col min="3" max="3" width="15.28515625" style="162" customWidth="1"/>
    <col min="4" max="4" width="15.28515625" style="163" customWidth="1"/>
    <col min="5" max="5" width="13.28515625" style="162" customWidth="1"/>
    <col min="6" max="6" width="15.42578125" style="162" customWidth="1"/>
    <col min="7" max="7" width="16.42578125" style="162" customWidth="1"/>
    <col min="8" max="10" width="11.42578125" style="162"/>
    <col min="11" max="11" width="7.140625" style="162" bestFit="1" customWidth="1"/>
    <col min="12" max="16384" width="11.42578125" style="162"/>
  </cols>
  <sheetData>
    <row r="1" spans="1:10" ht="15" customHeight="1" x14ac:dyDescent="0.25">
      <c r="A1" s="161"/>
      <c r="B1" s="518">
        <v>45945</v>
      </c>
      <c r="C1" s="518"/>
      <c r="D1" s="518"/>
    </row>
    <row r="2" spans="1:10" x14ac:dyDescent="0.25">
      <c r="E2" s="61" t="s">
        <v>161</v>
      </c>
      <c r="F2" s="307" t="s">
        <v>198</v>
      </c>
      <c r="G2" s="307" t="s">
        <v>199</v>
      </c>
    </row>
    <row r="3" spans="1:10" ht="15" customHeight="1" x14ac:dyDescent="0.25">
      <c r="A3" s="164"/>
      <c r="B3" s="519" t="s">
        <v>36</v>
      </c>
      <c r="C3" s="519"/>
      <c r="D3" s="519"/>
      <c r="E3" s="320">
        <v>236439.93706744793</v>
      </c>
      <c r="F3" s="308">
        <v>227685.55591976581</v>
      </c>
      <c r="G3" s="308">
        <v>219998.21273291102</v>
      </c>
    </row>
    <row r="4" spans="1:10" ht="19.5" customHeight="1" thickBot="1" x14ac:dyDescent="0.4">
      <c r="A4" s="164"/>
      <c r="B4" s="322"/>
      <c r="C4" s="322"/>
      <c r="D4" s="165">
        <f>D24</f>
        <v>8625.8909999999978</v>
      </c>
      <c r="E4" s="108">
        <f>+E3/31</f>
        <v>7627.0947441112239</v>
      </c>
      <c r="F4" s="62"/>
    </row>
    <row r="5" spans="1:10" ht="15" customHeight="1" x14ac:dyDescent="0.25">
      <c r="A5" s="164"/>
      <c r="B5" s="168" t="s">
        <v>6</v>
      </c>
      <c r="C5" s="176">
        <v>3310</v>
      </c>
      <c r="D5" s="172">
        <v>141.334</v>
      </c>
      <c r="E5" s="80">
        <f>+D5/$D$4</f>
        <v>1.6384858097557693E-2</v>
      </c>
      <c r="F5" s="57"/>
      <c r="H5" s="69" t="s">
        <v>58</v>
      </c>
      <c r="I5" s="278" t="s">
        <v>59</v>
      </c>
      <c r="J5" s="69" t="s">
        <v>80</v>
      </c>
    </row>
    <row r="6" spans="1:10" ht="15" customHeight="1" x14ac:dyDescent="0.25">
      <c r="A6" s="164"/>
      <c r="B6" s="169" t="s">
        <v>10</v>
      </c>
      <c r="C6" s="177">
        <v>18857</v>
      </c>
      <c r="D6" s="173">
        <v>804.62400000000002</v>
      </c>
      <c r="E6" s="80">
        <f>+D6/$D$4</f>
        <v>9.3280102890240579E-2</v>
      </c>
      <c r="F6" s="58" t="s">
        <v>51</v>
      </c>
      <c r="G6" s="59">
        <v>45936</v>
      </c>
      <c r="H6" s="190">
        <v>7317.0000000000009</v>
      </c>
      <c r="I6" s="141">
        <v>7468.2059999999992</v>
      </c>
      <c r="J6" s="60">
        <f t="shared" ref="J6:J13" si="0">+I6/H6</f>
        <v>1.0206650266502664</v>
      </c>
    </row>
    <row r="7" spans="1:10" ht="15" customHeight="1" x14ac:dyDescent="0.25">
      <c r="A7" s="164"/>
      <c r="B7" s="169" t="s">
        <v>35</v>
      </c>
      <c r="C7" s="177">
        <v>13240</v>
      </c>
      <c r="D7" s="173">
        <v>564.53200000000004</v>
      </c>
      <c r="E7" s="80">
        <f t="shared" ref="E7:E24" si="1">+D7/$D$4</f>
        <v>6.5446224627693561E-2</v>
      </c>
      <c r="F7" s="58" t="s">
        <v>52</v>
      </c>
      <c r="G7" s="59">
        <v>45937</v>
      </c>
      <c r="H7" s="190">
        <v>8572</v>
      </c>
      <c r="I7" s="141">
        <v>9740.8159999999989</v>
      </c>
      <c r="J7" s="60">
        <f t="shared" si="0"/>
        <v>1.1363527764815677</v>
      </c>
    </row>
    <row r="8" spans="1:10" ht="15" customHeight="1" x14ac:dyDescent="0.25">
      <c r="A8" s="164"/>
      <c r="B8" s="169" t="s">
        <v>4</v>
      </c>
      <c r="C8" s="177">
        <v>2225</v>
      </c>
      <c r="D8" s="173">
        <v>94.858999999999995</v>
      </c>
      <c r="E8" s="80">
        <f t="shared" si="1"/>
        <v>1.0997008888704949E-2</v>
      </c>
      <c r="F8" s="58" t="s">
        <v>53</v>
      </c>
      <c r="G8" s="59">
        <v>45938</v>
      </c>
      <c r="H8" s="190">
        <v>8810</v>
      </c>
      <c r="I8" s="141">
        <v>8625.8909999999978</v>
      </c>
      <c r="J8" s="60">
        <f t="shared" si="0"/>
        <v>0.97910227014755935</v>
      </c>
    </row>
    <row r="9" spans="1:10" ht="15" customHeight="1" x14ac:dyDescent="0.25">
      <c r="A9" s="164"/>
      <c r="B9" s="169" t="s">
        <v>37</v>
      </c>
      <c r="C9" s="177">
        <v>40893</v>
      </c>
      <c r="D9" s="173">
        <v>1744.424</v>
      </c>
      <c r="E9" s="80">
        <f t="shared" si="1"/>
        <v>0.20223116661223756</v>
      </c>
      <c r="F9" s="58" t="s">
        <v>54</v>
      </c>
      <c r="G9" s="59">
        <v>45939</v>
      </c>
      <c r="H9" s="190">
        <v>8913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49749</v>
      </c>
      <c r="D10" s="173">
        <v>2121.84</v>
      </c>
      <c r="E10" s="245">
        <f t="shared" si="1"/>
        <v>0.24598502346018525</v>
      </c>
      <c r="F10" s="58" t="s">
        <v>55</v>
      </c>
      <c r="G10" s="59">
        <v>45940</v>
      </c>
      <c r="H10" s="190">
        <v>8731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11085</v>
      </c>
      <c r="D11" s="173">
        <v>473.20800000000003</v>
      </c>
      <c r="E11" s="245">
        <f t="shared" si="1"/>
        <v>5.4859028476014843E-2</v>
      </c>
      <c r="F11" s="58" t="s">
        <v>56</v>
      </c>
      <c r="G11" s="59">
        <v>45941</v>
      </c>
      <c r="H11" s="190">
        <v>7946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39</v>
      </c>
      <c r="C12" s="177">
        <v>505</v>
      </c>
      <c r="D12" s="173">
        <v>762.11</v>
      </c>
      <c r="E12" s="80">
        <f t="shared" si="1"/>
        <v>8.8351452620952453E-2</v>
      </c>
      <c r="F12" s="58" t="s">
        <v>57</v>
      </c>
      <c r="G12" s="59">
        <v>45942</v>
      </c>
      <c r="H12" s="190">
        <v>6040</v>
      </c>
      <c r="I12" s="141"/>
      <c r="J12" s="60">
        <f t="shared" si="0"/>
        <v>0</v>
      </c>
    </row>
    <row r="13" spans="1:10" ht="15" customHeight="1" x14ac:dyDescent="0.25">
      <c r="A13" s="164"/>
      <c r="B13" s="169" t="s">
        <v>43</v>
      </c>
      <c r="C13" s="177">
        <v>319</v>
      </c>
      <c r="D13" s="173">
        <v>481.88</v>
      </c>
      <c r="E13" s="80">
        <f t="shared" si="1"/>
        <v>5.5864373894824328E-2</v>
      </c>
      <c r="H13" s="139">
        <f>+SUM(H6:H12)</f>
        <v>56329</v>
      </c>
      <c r="I13" s="142">
        <f>+SUM(I6:I12)</f>
        <v>25834.912999999993</v>
      </c>
      <c r="J13" s="140">
        <f t="shared" si="0"/>
        <v>0.45864320332333242</v>
      </c>
    </row>
    <row r="14" spans="1:10" ht="15" customHeight="1" x14ac:dyDescent="0.25">
      <c r="A14" s="164"/>
      <c r="B14" s="169" t="s">
        <v>44</v>
      </c>
      <c r="C14" s="177">
        <v>44</v>
      </c>
      <c r="D14" s="173">
        <v>66.319999999999993</v>
      </c>
      <c r="E14" s="80">
        <f t="shared" si="1"/>
        <v>7.6884811087921251E-3</v>
      </c>
      <c r="F14" s="112"/>
      <c r="G14" s="113">
        <v>2024</v>
      </c>
      <c r="H14" s="113">
        <v>2025</v>
      </c>
      <c r="I14" s="71"/>
    </row>
    <row r="15" spans="1:10" ht="15" customHeight="1" x14ac:dyDescent="0.25">
      <c r="A15" s="164"/>
      <c r="B15" s="169" t="s">
        <v>49</v>
      </c>
      <c r="C15" s="177">
        <v>20</v>
      </c>
      <c r="D15" s="173">
        <v>30.15</v>
      </c>
      <c r="E15" s="80">
        <f t="shared" si="1"/>
        <v>3.4952910951459976E-3</v>
      </c>
      <c r="F15" s="112" t="s">
        <v>108</v>
      </c>
      <c r="G15" s="190">
        <v>204007.80300000001</v>
      </c>
      <c r="H15" s="190">
        <v>190629.128</v>
      </c>
      <c r="I15" s="57">
        <f t="shared" ref="I15:I24" si="2">+H15/G15</f>
        <v>0.93442076820953746</v>
      </c>
    </row>
    <row r="16" spans="1:10" ht="15" customHeight="1" x14ac:dyDescent="0.25">
      <c r="A16" s="164"/>
      <c r="B16" s="169" t="s">
        <v>45</v>
      </c>
      <c r="C16" s="177">
        <v>175</v>
      </c>
      <c r="D16" s="173">
        <v>263.07</v>
      </c>
      <c r="E16" s="80">
        <f t="shared" si="1"/>
        <v>3.0497719018244034E-2</v>
      </c>
      <c r="F16" s="112" t="s">
        <v>109</v>
      </c>
      <c r="G16" s="190">
        <v>186305.94399999996</v>
      </c>
      <c r="H16" s="190">
        <v>182874.285</v>
      </c>
      <c r="I16" s="57">
        <f t="shared" si="2"/>
        <v>0.9815805179033904</v>
      </c>
    </row>
    <row r="17" spans="1:11" ht="15" customHeight="1" x14ac:dyDescent="0.25">
      <c r="A17" s="164"/>
      <c r="B17" s="169" t="s">
        <v>41</v>
      </c>
      <c r="C17" s="177">
        <v>127</v>
      </c>
      <c r="D17" s="173">
        <v>190.77</v>
      </c>
      <c r="E17" s="80">
        <f t="shared" si="1"/>
        <v>2.2115976193068061E-2</v>
      </c>
      <c r="F17" s="112" t="s">
        <v>110</v>
      </c>
      <c r="G17" s="190">
        <v>199570.19199999989</v>
      </c>
      <c r="H17" s="190">
        <v>197224.22099999999</v>
      </c>
      <c r="I17" s="57">
        <f t="shared" si="2"/>
        <v>0.98824488278289624</v>
      </c>
    </row>
    <row r="18" spans="1:11" ht="15" customHeight="1" x14ac:dyDescent="0.25">
      <c r="A18" s="164"/>
      <c r="B18" s="169" t="s">
        <v>88</v>
      </c>
      <c r="C18" s="177">
        <v>40</v>
      </c>
      <c r="D18" s="173">
        <v>60.55</v>
      </c>
      <c r="E18" s="80">
        <f t="shared" si="1"/>
        <v>7.0195647035187448E-3</v>
      </c>
      <c r="F18" s="112" t="s">
        <v>111</v>
      </c>
      <c r="G18" s="190">
        <v>205343.72800000012</v>
      </c>
      <c r="H18" s="190">
        <v>198970.75799999986</v>
      </c>
      <c r="I18" s="57">
        <f t="shared" si="2"/>
        <v>0.96896437956945902</v>
      </c>
    </row>
    <row r="19" spans="1:11" ht="15" customHeight="1" x14ac:dyDescent="0.25">
      <c r="A19" s="164"/>
      <c r="B19" s="169" t="s">
        <v>194</v>
      </c>
      <c r="C19" s="177">
        <v>44</v>
      </c>
      <c r="D19" s="173">
        <v>66.489999999999995</v>
      </c>
      <c r="E19" s="80">
        <f t="shared" si="1"/>
        <v>7.7081892177863149E-3</v>
      </c>
      <c r="F19" s="112" t="s">
        <v>102</v>
      </c>
      <c r="G19" s="190">
        <v>209473.77399999995</v>
      </c>
      <c r="H19" s="190">
        <v>212393.17300000001</v>
      </c>
      <c r="I19" s="236">
        <f t="shared" si="2"/>
        <v>1.0139368234230604</v>
      </c>
    </row>
    <row r="20" spans="1:11" ht="15" customHeight="1" x14ac:dyDescent="0.25">
      <c r="A20" s="164"/>
      <c r="B20" s="169" t="s">
        <v>184</v>
      </c>
      <c r="C20" s="177"/>
      <c r="D20" s="173">
        <v>32.479999999999997</v>
      </c>
      <c r="E20" s="80">
        <f t="shared" si="1"/>
        <v>3.7654081184193035E-3</v>
      </c>
      <c r="F20" s="112" t="s">
        <v>125</v>
      </c>
      <c r="G20" s="190">
        <v>196506.86</v>
      </c>
      <c r="H20" s="190">
        <v>204590</v>
      </c>
      <c r="I20" s="236">
        <f t="shared" si="2"/>
        <v>1.0411341364876525</v>
      </c>
      <c r="J20" s="108">
        <v>-14526.736000000266</v>
      </c>
    </row>
    <row r="21" spans="1:11" ht="15" customHeight="1" x14ac:dyDescent="0.25">
      <c r="A21" s="164"/>
      <c r="B21" s="169" t="s">
        <v>9</v>
      </c>
      <c r="C21" s="177"/>
      <c r="D21" s="173">
        <v>91.12</v>
      </c>
      <c r="E21" s="80">
        <f t="shared" si="1"/>
        <v>1.0563546420885684E-2</v>
      </c>
      <c r="F21" s="112" t="s">
        <v>132</v>
      </c>
      <c r="G21" s="190">
        <v>219516.23899999997</v>
      </c>
      <c r="H21" s="190">
        <v>222445.37700000001</v>
      </c>
      <c r="I21" s="98">
        <f t="shared" si="2"/>
        <v>1.0133436050715139</v>
      </c>
      <c r="J21" s="108">
        <v>-11597.598000000231</v>
      </c>
    </row>
    <row r="22" spans="1:11" ht="15" customHeight="1" x14ac:dyDescent="0.25">
      <c r="A22" s="164"/>
      <c r="B22" s="169" t="s">
        <v>40</v>
      </c>
      <c r="C22" s="177"/>
      <c r="D22" s="173">
        <v>578.04999999999995</v>
      </c>
      <c r="E22" s="80">
        <f t="shared" si="1"/>
        <v>6.7013367082890352E-2</v>
      </c>
      <c r="F22" s="112" t="s">
        <v>135</v>
      </c>
      <c r="G22" s="272">
        <v>232937.965</v>
      </c>
      <c r="H22" s="272">
        <v>233567.97099999999</v>
      </c>
      <c r="I22" s="98">
        <f t="shared" si="2"/>
        <v>1.0027046084995204</v>
      </c>
      <c r="J22" s="108">
        <v>-10967.592000000412</v>
      </c>
    </row>
    <row r="23" spans="1:11" ht="15" customHeight="1" thickBot="1" x14ac:dyDescent="0.3">
      <c r="A23" s="164"/>
      <c r="B23" s="169" t="s">
        <v>46</v>
      </c>
      <c r="C23" s="177"/>
      <c r="D23" s="173">
        <v>58.08</v>
      </c>
      <c r="E23" s="80">
        <f t="shared" si="1"/>
        <v>6.7332174728384599E-3</v>
      </c>
      <c r="F23" s="112" t="s">
        <v>160</v>
      </c>
      <c r="G23" s="272">
        <v>231021.16800000001</v>
      </c>
      <c r="H23" s="272">
        <v>234732.79399999999</v>
      </c>
      <c r="I23" s="98">
        <f t="shared" si="2"/>
        <v>1.0160661727759943</v>
      </c>
      <c r="J23" s="108">
        <v>-7255.9660000004806</v>
      </c>
    </row>
    <row r="24" spans="1:11" ht="15" customHeight="1" thickBot="1" x14ac:dyDescent="0.3">
      <c r="B24" s="178" t="s">
        <v>0</v>
      </c>
      <c r="C24" s="170"/>
      <c r="D24" s="171">
        <f>SUM(D5:D23)</f>
        <v>8625.8909999999978</v>
      </c>
      <c r="E24" s="80">
        <f t="shared" si="1"/>
        <v>1</v>
      </c>
      <c r="F24" s="112" t="s">
        <v>161</v>
      </c>
      <c r="G24" s="190">
        <v>237591.573</v>
      </c>
      <c r="H24" s="119">
        <f>+D25</f>
        <v>116625.579</v>
      </c>
      <c r="I24" s="98">
        <f t="shared" si="2"/>
        <v>0.490865806086481</v>
      </c>
    </row>
    <row r="25" spans="1:11" ht="15" customHeight="1" thickBot="1" x14ac:dyDescent="0.3">
      <c r="B25" s="166" t="s">
        <v>1</v>
      </c>
      <c r="C25" s="167"/>
      <c r="D25" s="233">
        <v>116625.579</v>
      </c>
      <c r="E25" s="313">
        <f>+D25/E3</f>
        <v>0.49325668263365702</v>
      </c>
      <c r="F25" s="163"/>
    </row>
    <row r="26" spans="1:11" ht="15" customHeight="1" x14ac:dyDescent="0.25">
      <c r="D26" s="108">
        <f>+(E3/31)*15</f>
        <v>114406.42116166836</v>
      </c>
      <c r="E26" s="314">
        <f>+D26/E3</f>
        <v>0.4838709677419355</v>
      </c>
      <c r="K26" s="215"/>
    </row>
    <row r="27" spans="1:11" ht="15" customHeight="1" x14ac:dyDescent="0.25">
      <c r="D27" s="183">
        <f>+D25-D26</f>
        <v>2219.1578383316373</v>
      </c>
      <c r="E27" s="99">
        <f>E25-E26</f>
        <v>9.3857148917215194E-3</v>
      </c>
      <c r="K27" s="215"/>
    </row>
    <row r="28" spans="1:11" ht="15" customHeight="1" x14ac:dyDescent="0.25">
      <c r="G28" s="300" t="s">
        <v>190</v>
      </c>
      <c r="H28" s="87">
        <v>364</v>
      </c>
      <c r="I28" s="88">
        <f>+H28*1.5</f>
        <v>546</v>
      </c>
      <c r="K28" s="215"/>
    </row>
    <row r="29" spans="1:11" x14ac:dyDescent="0.25">
      <c r="B29" s="66" t="s">
        <v>60</v>
      </c>
      <c r="D29" s="109" t="s">
        <v>105</v>
      </c>
      <c r="E29" s="109" t="s">
        <v>80</v>
      </c>
      <c r="G29" s="163"/>
      <c r="H29" s="237" t="s">
        <v>157</v>
      </c>
      <c r="I29" s="237" t="s">
        <v>92</v>
      </c>
      <c r="J29" s="71"/>
      <c r="K29" s="215"/>
    </row>
    <row r="30" spans="1:11" x14ac:dyDescent="0.25">
      <c r="B30" s="162" t="s">
        <v>61</v>
      </c>
      <c r="C30" s="162">
        <v>1290</v>
      </c>
      <c r="D30" s="108">
        <v>2142</v>
      </c>
      <c r="E30" s="57">
        <f>+C30/D30</f>
        <v>0.60224089635854339</v>
      </c>
      <c r="G30" s="86" t="s">
        <v>86</v>
      </c>
      <c r="H30" s="87">
        <f>15438+414+1080</f>
        <v>16932</v>
      </c>
      <c r="I30" s="88">
        <f>+H30*0.025</f>
        <v>423.3</v>
      </c>
      <c r="J30" s="224"/>
      <c r="K30" s="215"/>
    </row>
    <row r="31" spans="1:11" ht="15" customHeight="1" x14ac:dyDescent="0.25">
      <c r="B31" s="162" t="s">
        <v>62</v>
      </c>
      <c r="C31" s="162">
        <v>1394</v>
      </c>
      <c r="D31" s="108">
        <v>1890</v>
      </c>
      <c r="E31" s="57">
        <f>+C31/D31</f>
        <v>0.73756613756613754</v>
      </c>
      <c r="G31" s="86" t="s">
        <v>171</v>
      </c>
      <c r="H31" s="87">
        <v>12</v>
      </c>
      <c r="I31" s="88">
        <v>0.30000000000000004</v>
      </c>
      <c r="J31" s="297" t="s">
        <v>188</v>
      </c>
      <c r="K31" s="215"/>
    </row>
    <row r="32" spans="1:11" x14ac:dyDescent="0.25">
      <c r="B32" s="162" t="s">
        <v>63</v>
      </c>
      <c r="C32" s="67">
        <v>1174</v>
      </c>
      <c r="D32" s="108">
        <v>3006</v>
      </c>
      <c r="E32" s="57">
        <f>+C32/D32</f>
        <v>0.39055222887558216</v>
      </c>
      <c r="G32" s="89" t="s">
        <v>169</v>
      </c>
      <c r="H32" s="87">
        <v>226</v>
      </c>
      <c r="I32" s="88">
        <f>+H32*1.5</f>
        <v>339</v>
      </c>
      <c r="J32" s="298">
        <f>+I32+I30</f>
        <v>762.3</v>
      </c>
      <c r="K32" s="215" t="s">
        <v>191</v>
      </c>
    </row>
    <row r="33" spans="1:11" x14ac:dyDescent="0.25">
      <c r="C33" s="162">
        <f>+SUM(C30:C32)</f>
        <v>3858</v>
      </c>
      <c r="D33" s="110">
        <f>+SUM(D30:D32)</f>
        <v>7038</v>
      </c>
      <c r="E33" s="57">
        <f>+C33/D33</f>
        <v>0.54816709292412613</v>
      </c>
      <c r="G33" s="89" t="s">
        <v>168</v>
      </c>
      <c r="H33" s="87">
        <v>0</v>
      </c>
      <c r="I33" s="88">
        <f>+H33*1.5</f>
        <v>0</v>
      </c>
      <c r="J33" s="228" t="s">
        <v>193</v>
      </c>
      <c r="K33" s="215"/>
    </row>
    <row r="34" spans="1:11" ht="15" customHeight="1" x14ac:dyDescent="0.25">
      <c r="G34" s="231" t="s">
        <v>123</v>
      </c>
      <c r="H34" s="138">
        <v>231</v>
      </c>
      <c r="I34" s="232">
        <v>346.5</v>
      </c>
      <c r="J34" s="218" t="s">
        <v>146</v>
      </c>
      <c r="K34" s="215"/>
    </row>
    <row r="35" spans="1:11" x14ac:dyDescent="0.25">
      <c r="B35" s="162" t="s">
        <v>66</v>
      </c>
      <c r="D35" s="162"/>
      <c r="G35" s="89" t="s">
        <v>170</v>
      </c>
      <c r="H35" s="87">
        <v>47</v>
      </c>
      <c r="I35" s="88">
        <f>+H35*1.5</f>
        <v>70.5</v>
      </c>
      <c r="J35" s="224" t="s">
        <v>206</v>
      </c>
      <c r="K35" s="215"/>
    </row>
    <row r="36" spans="1:11" x14ac:dyDescent="0.25">
      <c r="B36" s="76" t="s">
        <v>67</v>
      </c>
      <c r="C36" s="77" t="s">
        <v>68</v>
      </c>
      <c r="D36" s="78" t="s">
        <v>69</v>
      </c>
      <c r="E36" s="79" t="s">
        <v>33</v>
      </c>
      <c r="G36" s="89" t="s">
        <v>107</v>
      </c>
      <c r="H36" s="87">
        <v>219</v>
      </c>
      <c r="I36" s="88">
        <f>+H36*1.5</f>
        <v>328.5</v>
      </c>
      <c r="J36" s="224" t="s">
        <v>152</v>
      </c>
      <c r="K36" s="215"/>
    </row>
    <row r="37" spans="1:11" x14ac:dyDescent="0.25">
      <c r="B37" s="73">
        <v>30</v>
      </c>
      <c r="C37" s="74">
        <v>7</v>
      </c>
      <c r="D37" s="74">
        <v>11</v>
      </c>
      <c r="E37" s="75">
        <f>+SUM(B37:D37)</f>
        <v>48</v>
      </c>
      <c r="J37" s="218"/>
      <c r="K37" s="215"/>
    </row>
    <row r="38" spans="1:11" x14ac:dyDescent="0.25">
      <c r="E38" s="198" t="s">
        <v>76</v>
      </c>
      <c r="F38" s="198" t="s">
        <v>137</v>
      </c>
      <c r="H38" s="144" t="s">
        <v>124</v>
      </c>
      <c r="I38" s="220" t="s">
        <v>148</v>
      </c>
      <c r="J38" s="218" t="s">
        <v>146</v>
      </c>
      <c r="K38" s="215"/>
    </row>
    <row r="39" spans="1:11" x14ac:dyDescent="0.25">
      <c r="D39" s="162"/>
      <c r="G39" s="71" t="s">
        <v>90</v>
      </c>
      <c r="H39" s="144" t="s">
        <v>120</v>
      </c>
      <c r="I39" s="145">
        <v>0</v>
      </c>
      <c r="J39" s="218"/>
      <c r="K39" s="215"/>
    </row>
    <row r="40" spans="1:11" x14ac:dyDescent="0.25">
      <c r="A40" s="207" t="s">
        <v>70</v>
      </c>
      <c r="B40" s="199">
        <v>0.5</v>
      </c>
      <c r="C40" s="199">
        <v>1894</v>
      </c>
      <c r="D40" s="200">
        <v>2400</v>
      </c>
      <c r="E40" s="201">
        <f t="shared" ref="E40:E45" si="3">+C40/D40</f>
        <v>0.78916666666666668</v>
      </c>
      <c r="F40" s="201">
        <f t="shared" ref="F40:F45" si="4">+B40/24</f>
        <v>2.0833333333333332E-2</v>
      </c>
      <c r="G40" s="202">
        <v>7</v>
      </c>
      <c r="H40" s="144" t="s">
        <v>121</v>
      </c>
      <c r="I40" s="220" t="s">
        <v>149</v>
      </c>
      <c r="J40" s="218" t="s">
        <v>146</v>
      </c>
      <c r="K40" s="215"/>
    </row>
    <row r="41" spans="1:11" x14ac:dyDescent="0.25">
      <c r="A41" s="207" t="s">
        <v>71</v>
      </c>
      <c r="B41" s="199">
        <v>12.72</v>
      </c>
      <c r="C41" s="199">
        <v>1408</v>
      </c>
      <c r="D41" s="200">
        <v>3600</v>
      </c>
      <c r="E41" s="201">
        <f t="shared" si="3"/>
        <v>0.39111111111111113</v>
      </c>
      <c r="F41" s="201">
        <f t="shared" si="4"/>
        <v>0.53</v>
      </c>
      <c r="G41" s="202">
        <v>12</v>
      </c>
      <c r="H41" s="71"/>
      <c r="K41" s="215"/>
    </row>
    <row r="42" spans="1:11" x14ac:dyDescent="0.25">
      <c r="A42" s="207" t="s">
        <v>72</v>
      </c>
      <c r="B42" s="199">
        <v>9.5500000000000007</v>
      </c>
      <c r="C42" s="199">
        <v>1393</v>
      </c>
      <c r="D42" s="200">
        <v>3900</v>
      </c>
      <c r="E42" s="201">
        <f t="shared" si="3"/>
        <v>0.35717948717948717</v>
      </c>
      <c r="F42" s="201">
        <f t="shared" si="4"/>
        <v>0.3979166666666667</v>
      </c>
      <c r="G42" s="202">
        <v>12</v>
      </c>
      <c r="H42" s="237" t="s">
        <v>195</v>
      </c>
      <c r="J42" s="162" t="s">
        <v>177</v>
      </c>
      <c r="K42" s="215" t="s">
        <v>92</v>
      </c>
    </row>
    <row r="43" spans="1:11" x14ac:dyDescent="0.25">
      <c r="A43" s="207" t="s">
        <v>73</v>
      </c>
      <c r="B43" s="199">
        <v>15.61</v>
      </c>
      <c r="C43" s="199">
        <v>2854</v>
      </c>
      <c r="D43" s="200">
        <v>3900</v>
      </c>
      <c r="E43" s="201">
        <f t="shared" si="3"/>
        <v>0.73179487179487179</v>
      </c>
      <c r="F43" s="201">
        <f t="shared" si="4"/>
        <v>0.65041666666666664</v>
      </c>
      <c r="G43" s="202">
        <v>12</v>
      </c>
      <c r="H43" s="301">
        <v>45925</v>
      </c>
      <c r="I43" s="129" t="s">
        <v>176</v>
      </c>
      <c r="J43" s="162">
        <v>143</v>
      </c>
      <c r="K43" s="318">
        <f>+J43*1.5</f>
        <v>214.5</v>
      </c>
    </row>
    <row r="44" spans="1:11" x14ac:dyDescent="0.25">
      <c r="A44" s="207" t="s">
        <v>74</v>
      </c>
      <c r="B44" s="199">
        <v>12</v>
      </c>
      <c r="C44" s="199">
        <v>2703</v>
      </c>
      <c r="D44" s="200">
        <v>3900</v>
      </c>
      <c r="E44" s="201">
        <f t="shared" si="3"/>
        <v>0.69307692307692303</v>
      </c>
      <c r="F44" s="201">
        <f t="shared" si="4"/>
        <v>0.5</v>
      </c>
      <c r="G44" s="202">
        <v>12</v>
      </c>
      <c r="H44" s="301">
        <v>45931</v>
      </c>
      <c r="I44" s="129" t="s">
        <v>176</v>
      </c>
      <c r="J44" s="162">
        <v>47</v>
      </c>
      <c r="K44" s="318">
        <f>+J44*1.5</f>
        <v>70.5</v>
      </c>
    </row>
    <row r="45" spans="1:11" x14ac:dyDescent="0.25">
      <c r="A45" s="259" t="s">
        <v>75</v>
      </c>
      <c r="B45" s="260">
        <v>10.38</v>
      </c>
      <c r="C45" s="261">
        <v>2655</v>
      </c>
      <c r="D45" s="262">
        <v>4300</v>
      </c>
      <c r="E45" s="263">
        <f t="shared" si="3"/>
        <v>0.61744186046511629</v>
      </c>
      <c r="F45" s="201">
        <f t="shared" si="4"/>
        <v>0.43250000000000005</v>
      </c>
      <c r="G45" s="202">
        <v>16</v>
      </c>
      <c r="H45" s="301">
        <v>45939</v>
      </c>
      <c r="I45" s="129" t="s">
        <v>176</v>
      </c>
      <c r="J45" s="162">
        <v>49</v>
      </c>
      <c r="K45" s="318">
        <f>+J45*1.5</f>
        <v>73.5</v>
      </c>
    </row>
    <row r="46" spans="1:11" x14ac:dyDescent="0.25">
      <c r="C46" s="71" t="s">
        <v>83</v>
      </c>
      <c r="D46" s="72" t="s">
        <v>79</v>
      </c>
      <c r="I46" s="129"/>
      <c r="K46" s="215"/>
    </row>
    <row r="47" spans="1:11" x14ac:dyDescent="0.25">
      <c r="B47" s="162" t="s">
        <v>78</v>
      </c>
      <c r="H47" s="301"/>
      <c r="K47" s="198"/>
    </row>
    <row r="48" spans="1:11" x14ac:dyDescent="0.25">
      <c r="C48" s="71">
        <v>1</v>
      </c>
      <c r="D48" s="225" t="s">
        <v>153</v>
      </c>
      <c r="H48" s="237" t="s">
        <v>197</v>
      </c>
      <c r="J48" s="162" t="s">
        <v>157</v>
      </c>
      <c r="K48" s="215" t="s">
        <v>92</v>
      </c>
    </row>
    <row r="49" spans="2:11" x14ac:dyDescent="0.25">
      <c r="C49" s="71">
        <v>2</v>
      </c>
      <c r="D49" s="225" t="s">
        <v>153</v>
      </c>
      <c r="H49" s="301">
        <v>45929</v>
      </c>
      <c r="I49" s="129" t="s">
        <v>176</v>
      </c>
      <c r="J49" s="162">
        <v>5120</v>
      </c>
      <c r="K49" s="318">
        <f>+J49*0.025</f>
        <v>128</v>
      </c>
    </row>
    <row r="50" spans="2:11" x14ac:dyDescent="0.25">
      <c r="C50" s="71">
        <v>3</v>
      </c>
      <c r="D50" s="225" t="s">
        <v>154</v>
      </c>
      <c r="H50" s="301">
        <v>45939</v>
      </c>
      <c r="I50" s="129" t="s">
        <v>176</v>
      </c>
      <c r="J50" s="162">
        <v>430</v>
      </c>
      <c r="K50" s="318">
        <f>+J50*0.025</f>
        <v>10.75</v>
      </c>
    </row>
    <row r="51" spans="2:11" x14ac:dyDescent="0.25">
      <c r="C51" s="71">
        <v>4</v>
      </c>
      <c r="D51" s="108">
        <v>0</v>
      </c>
      <c r="H51" s="301">
        <v>45940</v>
      </c>
      <c r="I51" s="129" t="s">
        <v>175</v>
      </c>
      <c r="J51" s="162">
        <v>1080</v>
      </c>
      <c r="K51" s="318">
        <f>+J51*0.025</f>
        <v>27</v>
      </c>
    </row>
    <row r="52" spans="2:11" x14ac:dyDescent="0.25">
      <c r="C52" s="71">
        <v>5</v>
      </c>
      <c r="D52" s="108">
        <v>14</v>
      </c>
      <c r="H52" s="301"/>
      <c r="I52" s="129"/>
      <c r="K52" s="215"/>
    </row>
    <row r="53" spans="2:11" x14ac:dyDescent="0.25">
      <c r="C53" s="71">
        <v>6</v>
      </c>
      <c r="D53" s="108">
        <v>1</v>
      </c>
      <c r="H53" s="237" t="s">
        <v>205</v>
      </c>
      <c r="J53" s="162" t="s">
        <v>177</v>
      </c>
      <c r="K53" s="215" t="s">
        <v>92</v>
      </c>
    </row>
    <row r="54" spans="2:11" x14ac:dyDescent="0.25">
      <c r="C54" s="71">
        <v>7</v>
      </c>
      <c r="D54" s="225" t="s">
        <v>153</v>
      </c>
      <c r="H54" s="301">
        <v>45942</v>
      </c>
      <c r="I54" s="129" t="s">
        <v>176</v>
      </c>
      <c r="J54" s="162">
        <v>47</v>
      </c>
      <c r="K54" s="318">
        <f>+J54*1.5</f>
        <v>70.5</v>
      </c>
    </row>
    <row r="55" spans="2:11" x14ac:dyDescent="0.25">
      <c r="C55" s="71">
        <v>8</v>
      </c>
      <c r="D55" s="225" t="s">
        <v>153</v>
      </c>
      <c r="H55" s="301"/>
      <c r="I55" s="129"/>
      <c r="K55" s="318"/>
    </row>
    <row r="56" spans="2:11" x14ac:dyDescent="0.25">
      <c r="H56" s="301"/>
      <c r="I56" s="129"/>
      <c r="K56" s="318"/>
    </row>
    <row r="57" spans="2:11" x14ac:dyDescent="0.25">
      <c r="I57" s="129"/>
      <c r="K57" s="215"/>
    </row>
    <row r="58" spans="2:11" x14ac:dyDescent="0.25">
      <c r="B58" s="162" t="s">
        <v>116</v>
      </c>
      <c r="C58" s="162" t="s">
        <v>58</v>
      </c>
      <c r="D58" s="93"/>
    </row>
    <row r="59" spans="2:11" x14ac:dyDescent="0.25">
      <c r="C59" s="162" t="s">
        <v>59</v>
      </c>
      <c r="D59" s="93"/>
    </row>
    <row r="61" spans="2:11" x14ac:dyDescent="0.25">
      <c r="C61" s="162" t="s">
        <v>204</v>
      </c>
    </row>
  </sheetData>
  <protectedRanges>
    <protectedRange password="D554" sqref="I38:I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opLeftCell="A18" workbookViewId="0">
      <selection activeCell="E27" sqref="E27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5.28515625" style="162" customWidth="1"/>
    <col min="4" max="4" width="15.28515625" style="163" customWidth="1"/>
    <col min="5" max="5" width="13.28515625" style="162" customWidth="1"/>
    <col min="6" max="6" width="15.42578125" style="162" customWidth="1"/>
    <col min="7" max="7" width="16.42578125" style="162" customWidth="1"/>
    <col min="8" max="16384" width="11.42578125" style="162"/>
  </cols>
  <sheetData>
    <row r="1" spans="1:10" ht="15" customHeight="1" x14ac:dyDescent="0.25">
      <c r="A1" s="161"/>
      <c r="B1" s="518">
        <v>45946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23"/>
      <c r="C4" s="323"/>
      <c r="D4" s="165">
        <f>D21</f>
        <v>9246.3790000000008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2420</v>
      </c>
      <c r="D5" s="172">
        <v>103.44200000000001</v>
      </c>
      <c r="E5" s="80">
        <f>+D5/$D$4</f>
        <v>1.1187298292661376E-2</v>
      </c>
      <c r="F5" s="58" t="s">
        <v>51</v>
      </c>
      <c r="G5" s="59">
        <v>45936</v>
      </c>
      <c r="H5" s="190">
        <v>7317.0000000000009</v>
      </c>
      <c r="I5" s="141">
        <v>7468.2059999999992</v>
      </c>
      <c r="J5" s="60">
        <f t="shared" ref="J5:J12" si="0">+I5/H5</f>
        <v>1.0206650266502664</v>
      </c>
    </row>
    <row r="6" spans="1:10" ht="15" customHeight="1" x14ac:dyDescent="0.25">
      <c r="A6" s="164"/>
      <c r="B6" s="169" t="s">
        <v>10</v>
      </c>
      <c r="C6" s="177">
        <v>27250</v>
      </c>
      <c r="D6" s="173">
        <v>1161.8340000000001</v>
      </c>
      <c r="E6" s="80">
        <f t="shared" ref="E6:E21" si="1">+D6/$D$4</f>
        <v>0.12565286367777051</v>
      </c>
      <c r="F6" s="58" t="s">
        <v>52</v>
      </c>
      <c r="G6" s="59">
        <v>45937</v>
      </c>
      <c r="H6" s="190">
        <v>8572</v>
      </c>
      <c r="I6" s="141">
        <v>9740.8159999999989</v>
      </c>
      <c r="J6" s="60">
        <f t="shared" si="0"/>
        <v>1.1363527764815677</v>
      </c>
    </row>
    <row r="7" spans="1:10" ht="15" customHeight="1" x14ac:dyDescent="0.25">
      <c r="A7" s="164"/>
      <c r="B7" s="169" t="s">
        <v>35</v>
      </c>
      <c r="C7" s="177">
        <v>22917</v>
      </c>
      <c r="D7" s="173">
        <v>976.22099999999978</v>
      </c>
      <c r="E7" s="80">
        <f t="shared" si="1"/>
        <v>0.10557873520001719</v>
      </c>
      <c r="F7" s="58" t="s">
        <v>53</v>
      </c>
      <c r="G7" s="59">
        <v>45938</v>
      </c>
      <c r="H7" s="190">
        <v>8810</v>
      </c>
      <c r="I7" s="141">
        <v>8625.8909999999978</v>
      </c>
      <c r="J7" s="60">
        <f t="shared" si="0"/>
        <v>0.97910227014755935</v>
      </c>
    </row>
    <row r="8" spans="1:10" ht="15" customHeight="1" x14ac:dyDescent="0.25">
      <c r="A8" s="164"/>
      <c r="B8" s="169" t="s">
        <v>4</v>
      </c>
      <c r="C8" s="177">
        <v>4548</v>
      </c>
      <c r="D8" s="173">
        <v>193.90999999999997</v>
      </c>
      <c r="E8" s="80">
        <f t="shared" si="1"/>
        <v>2.0971452716787832E-2</v>
      </c>
      <c r="F8" s="58" t="s">
        <v>54</v>
      </c>
      <c r="G8" s="59">
        <v>45939</v>
      </c>
      <c r="H8" s="190">
        <v>8913</v>
      </c>
      <c r="I8" s="141">
        <v>9246.3790000000008</v>
      </c>
      <c r="J8" s="60">
        <f t="shared" si="0"/>
        <v>1.0374036800179514</v>
      </c>
    </row>
    <row r="9" spans="1:10" ht="15" customHeight="1" x14ac:dyDescent="0.25">
      <c r="A9" s="164"/>
      <c r="B9" s="169" t="s">
        <v>37</v>
      </c>
      <c r="C9" s="177">
        <v>32747</v>
      </c>
      <c r="D9" s="173">
        <v>1396.7460000000003</v>
      </c>
      <c r="E9" s="245">
        <f t="shared" si="1"/>
        <v>0.15105870092497833</v>
      </c>
      <c r="F9" s="58" t="s">
        <v>55</v>
      </c>
      <c r="G9" s="59">
        <v>45940</v>
      </c>
      <c r="H9" s="190">
        <v>8731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56737</v>
      </c>
      <c r="D10" s="173">
        <v>2420.1599999999994</v>
      </c>
      <c r="E10" s="245">
        <f t="shared" si="1"/>
        <v>0.26174138005807451</v>
      </c>
      <c r="F10" s="58" t="s">
        <v>56</v>
      </c>
      <c r="G10" s="59">
        <v>45941</v>
      </c>
      <c r="H10" s="190">
        <v>7946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14088</v>
      </c>
      <c r="D11" s="173">
        <v>601.11599999999987</v>
      </c>
      <c r="E11" s="80">
        <f t="shared" si="1"/>
        <v>6.5010962669819164E-2</v>
      </c>
      <c r="F11" s="58" t="s">
        <v>57</v>
      </c>
      <c r="G11" s="59">
        <v>45942</v>
      </c>
      <c r="H11" s="190">
        <v>6040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39</v>
      </c>
      <c r="C12" s="177">
        <v>687</v>
      </c>
      <c r="D12" s="173">
        <v>1037.25</v>
      </c>
      <c r="E12" s="80">
        <f t="shared" si="1"/>
        <v>0.11217904868489599</v>
      </c>
      <c r="H12" s="139">
        <f>+SUM(H5:H11)</f>
        <v>56329</v>
      </c>
      <c r="I12" s="142">
        <f>+SUM(I5:I11)</f>
        <v>35081.291999999994</v>
      </c>
      <c r="J12" s="140">
        <f t="shared" si="0"/>
        <v>0.62279273553586956</v>
      </c>
    </row>
    <row r="13" spans="1:10" ht="15" customHeight="1" x14ac:dyDescent="0.25">
      <c r="A13" s="164"/>
      <c r="B13" s="169" t="s">
        <v>43</v>
      </c>
      <c r="C13" s="177">
        <v>206</v>
      </c>
      <c r="D13" s="173">
        <v>311.39999999999998</v>
      </c>
      <c r="E13" s="80">
        <f t="shared" si="1"/>
        <v>3.3678048455508904E-2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49</v>
      </c>
      <c r="C14" s="177">
        <v>62</v>
      </c>
      <c r="D14" s="173">
        <v>93.58</v>
      </c>
      <c r="E14" s="80">
        <f t="shared" si="1"/>
        <v>1.0120718607792303E-2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41</v>
      </c>
      <c r="C15" s="177">
        <v>231</v>
      </c>
      <c r="D15" s="173">
        <v>347.17</v>
      </c>
      <c r="E15" s="80">
        <f t="shared" si="1"/>
        <v>3.7546589859662902E-2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88</v>
      </c>
      <c r="C16" s="177">
        <v>20</v>
      </c>
      <c r="D16" s="173">
        <v>30.5</v>
      </c>
      <c r="E16" s="80">
        <f t="shared" si="1"/>
        <v>3.2985885609923622E-3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40</v>
      </c>
      <c r="C17" s="177"/>
      <c r="D17" s="173">
        <v>302.08</v>
      </c>
      <c r="E17" s="80">
        <f t="shared" si="1"/>
        <v>3.2670086311625338E-2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184</v>
      </c>
      <c r="C18" s="177"/>
      <c r="D18" s="173">
        <v>31.54</v>
      </c>
      <c r="E18" s="80">
        <f t="shared" si="1"/>
        <v>3.4110650233999703E-3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9</v>
      </c>
      <c r="C19" s="177"/>
      <c r="D19" s="173">
        <v>181.67</v>
      </c>
      <c r="E19" s="80">
        <f t="shared" si="1"/>
        <v>1.9647691274605982E-2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thickBot="1" x14ac:dyDescent="0.3">
      <c r="A20" s="164"/>
      <c r="B20" s="169" t="s">
        <v>46</v>
      </c>
      <c r="C20" s="177"/>
      <c r="D20" s="173">
        <v>57.760000000000005</v>
      </c>
      <c r="E20" s="80">
        <f t="shared" si="1"/>
        <v>6.2467696814071756E-3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thickBot="1" x14ac:dyDescent="0.3">
      <c r="B21" s="178" t="s">
        <v>0</v>
      </c>
      <c r="C21" s="170"/>
      <c r="D21" s="171">
        <f>SUM(D5:D20)</f>
        <v>9246.3790000000008</v>
      </c>
      <c r="E21" s="80">
        <f t="shared" si="1"/>
        <v>1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B22" s="166" t="s">
        <v>1</v>
      </c>
      <c r="C22" s="167"/>
      <c r="D22" s="233">
        <v>125871.96499999994</v>
      </c>
      <c r="E22" s="313">
        <f>+D22/E2</f>
        <v>0.53236338395781724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E23" s="80"/>
      <c r="F23" s="112" t="s">
        <v>161</v>
      </c>
      <c r="G23" s="190">
        <v>237591.573</v>
      </c>
      <c r="H23" s="119">
        <f>+D22</f>
        <v>125871.96499999994</v>
      </c>
      <c r="I23" s="98">
        <f t="shared" si="2"/>
        <v>0.52978295236085637</v>
      </c>
    </row>
    <row r="24" spans="1:11" ht="15" customHeight="1" x14ac:dyDescent="0.25">
      <c r="F24" s="163"/>
    </row>
    <row r="25" spans="1:11" ht="15" customHeight="1" x14ac:dyDescent="0.25">
      <c r="D25" s="108">
        <f>+(E2/31)*16</f>
        <v>122033.51590577958</v>
      </c>
      <c r="E25" s="314">
        <f>+D25/E2</f>
        <v>0.5161290322580645</v>
      </c>
      <c r="K25" s="215"/>
    </row>
    <row r="26" spans="1:11" ht="15" customHeight="1" x14ac:dyDescent="0.25">
      <c r="D26" s="183">
        <f>+D22-D25</f>
        <v>3838.4490942203556</v>
      </c>
      <c r="E26" s="99">
        <f>E22-E25</f>
        <v>1.6234351699752736E-2</v>
      </c>
      <c r="K26" s="215"/>
    </row>
    <row r="27" spans="1:11" ht="15" customHeight="1" x14ac:dyDescent="0.25">
      <c r="G27" s="300" t="s">
        <v>190</v>
      </c>
      <c r="H27" s="87">
        <v>364</v>
      </c>
      <c r="I27" s="88">
        <f>+H27*1.5</f>
        <v>546</v>
      </c>
      <c r="K27" s="215"/>
    </row>
    <row r="28" spans="1:11" x14ac:dyDescent="0.25">
      <c r="B28" s="66" t="s">
        <v>60</v>
      </c>
      <c r="D28" s="109" t="s">
        <v>105</v>
      </c>
      <c r="E28" s="109" t="s">
        <v>80</v>
      </c>
      <c r="G28" s="163"/>
      <c r="H28" s="237" t="s">
        <v>157</v>
      </c>
      <c r="I28" s="237" t="s">
        <v>92</v>
      </c>
      <c r="J28" s="71"/>
      <c r="K28" s="215"/>
    </row>
    <row r="29" spans="1:11" ht="15" customHeight="1" x14ac:dyDescent="0.25">
      <c r="B29" s="162" t="s">
        <v>61</v>
      </c>
      <c r="C29" s="162">
        <v>1547</v>
      </c>
      <c r="D29" s="108">
        <v>2142</v>
      </c>
      <c r="E29" s="57">
        <f>+C29/D29</f>
        <v>0.72222222222222221</v>
      </c>
      <c r="G29" s="86" t="s">
        <v>86</v>
      </c>
      <c r="H29" s="87">
        <f>15438+414+1080</f>
        <v>16932</v>
      </c>
      <c r="I29" s="88">
        <f>+H29*0.025</f>
        <v>423.3</v>
      </c>
      <c r="J29" s="224"/>
      <c r="K29" s="215"/>
    </row>
    <row r="30" spans="1:11" x14ac:dyDescent="0.25">
      <c r="B30" s="162" t="s">
        <v>62</v>
      </c>
      <c r="C30" s="162">
        <v>1350</v>
      </c>
      <c r="D30" s="108">
        <v>1890</v>
      </c>
      <c r="E30" s="57">
        <f>+C30/D30</f>
        <v>0.7142857142857143</v>
      </c>
      <c r="G30" s="86" t="s">
        <v>171</v>
      </c>
      <c r="H30" s="87">
        <v>12</v>
      </c>
      <c r="I30" s="88">
        <v>0.30000000000000004</v>
      </c>
      <c r="J30" s="297" t="s">
        <v>188</v>
      </c>
      <c r="K30" s="215"/>
    </row>
    <row r="31" spans="1:11" x14ac:dyDescent="0.25">
      <c r="B31" s="162" t="s">
        <v>63</v>
      </c>
      <c r="C31" s="67">
        <v>1300</v>
      </c>
      <c r="D31" s="108">
        <v>3006</v>
      </c>
      <c r="E31" s="57">
        <f>+C31/D31</f>
        <v>0.43246839654025282</v>
      </c>
      <c r="G31" s="89" t="s">
        <v>169</v>
      </c>
      <c r="H31" s="87">
        <v>226</v>
      </c>
      <c r="I31" s="88">
        <f>+H31*1.5</f>
        <v>339</v>
      </c>
      <c r="J31" s="298">
        <f>+I31+I29</f>
        <v>762.3</v>
      </c>
      <c r="K31" s="215" t="s">
        <v>191</v>
      </c>
    </row>
    <row r="32" spans="1:11" ht="15" customHeight="1" x14ac:dyDescent="0.25">
      <c r="C32" s="162">
        <f>+SUM(C29:C31)</f>
        <v>4197</v>
      </c>
      <c r="D32" s="110">
        <f>+SUM(D29:D31)</f>
        <v>7038</v>
      </c>
      <c r="E32" s="57">
        <f>+C32/D32</f>
        <v>0.59633418584825237</v>
      </c>
      <c r="G32" s="89" t="s">
        <v>168</v>
      </c>
      <c r="H32" s="87">
        <v>0</v>
      </c>
      <c r="I32" s="88">
        <f>+H32*1.5</f>
        <v>0</v>
      </c>
      <c r="J32" s="228" t="s">
        <v>193</v>
      </c>
      <c r="K32" s="215"/>
    </row>
    <row r="33" spans="1:11" x14ac:dyDescent="0.25">
      <c r="G33" s="231" t="s">
        <v>123</v>
      </c>
      <c r="H33" s="138">
        <v>231</v>
      </c>
      <c r="I33" s="232">
        <v>346.5</v>
      </c>
      <c r="J33" s="218" t="s">
        <v>146</v>
      </c>
      <c r="K33" s="215"/>
    </row>
    <row r="34" spans="1:11" x14ac:dyDescent="0.25">
      <c r="B34" s="162" t="s">
        <v>66</v>
      </c>
      <c r="D34" s="162"/>
      <c r="G34" s="89" t="s">
        <v>170</v>
      </c>
      <c r="H34" s="87">
        <v>47</v>
      </c>
      <c r="I34" s="88">
        <f>+H34*1.5</f>
        <v>70.5</v>
      </c>
      <c r="J34" s="224" t="s">
        <v>206</v>
      </c>
      <c r="K34" s="215"/>
    </row>
    <row r="35" spans="1:11" x14ac:dyDescent="0.25">
      <c r="B35" s="76" t="s">
        <v>67</v>
      </c>
      <c r="C35" s="77" t="s">
        <v>68</v>
      </c>
      <c r="D35" s="78" t="s">
        <v>69</v>
      </c>
      <c r="E35" s="79" t="s">
        <v>33</v>
      </c>
      <c r="G35" s="89" t="s">
        <v>107</v>
      </c>
      <c r="H35" s="87">
        <v>219</v>
      </c>
      <c r="I35" s="88">
        <f>+H35*1.5</f>
        <v>328.5</v>
      </c>
      <c r="J35" s="224" t="s">
        <v>152</v>
      </c>
      <c r="K35" s="215"/>
    </row>
    <row r="36" spans="1:11" x14ac:dyDescent="0.25">
      <c r="B36" s="73">
        <v>31</v>
      </c>
      <c r="C36" s="74">
        <v>5</v>
      </c>
      <c r="D36" s="74">
        <v>19</v>
      </c>
      <c r="E36" s="75">
        <f>+SUM(B36:D36)</f>
        <v>55</v>
      </c>
      <c r="J36" s="218"/>
      <c r="K36" s="215"/>
    </row>
    <row r="37" spans="1:11" x14ac:dyDescent="0.25">
      <c r="E37" s="198" t="s">
        <v>76</v>
      </c>
      <c r="F37" s="198" t="s">
        <v>137</v>
      </c>
      <c r="H37" s="144" t="s">
        <v>124</v>
      </c>
      <c r="I37" s="220" t="s">
        <v>148</v>
      </c>
      <c r="J37" s="218" t="s">
        <v>146</v>
      </c>
      <c r="K37" s="215"/>
    </row>
    <row r="38" spans="1:11" x14ac:dyDescent="0.25">
      <c r="D38" s="162"/>
      <c r="G38" s="71" t="s">
        <v>90</v>
      </c>
      <c r="H38" s="144" t="s">
        <v>120</v>
      </c>
      <c r="I38" s="145">
        <v>0</v>
      </c>
      <c r="J38" s="218"/>
      <c r="K38" s="215"/>
    </row>
    <row r="39" spans="1:11" x14ac:dyDescent="0.25">
      <c r="A39" s="207" t="s">
        <v>70</v>
      </c>
      <c r="B39" s="199">
        <v>0.5</v>
      </c>
      <c r="C39" s="199">
        <v>1894</v>
      </c>
      <c r="D39" s="200">
        <v>2400</v>
      </c>
      <c r="E39" s="201">
        <f t="shared" ref="E39:E44" si="3">+C39/D39</f>
        <v>0.78916666666666668</v>
      </c>
      <c r="F39" s="201">
        <f t="shared" ref="F39:F44" si="4">+B39/24</f>
        <v>2.0833333333333332E-2</v>
      </c>
      <c r="G39" s="202">
        <v>7</v>
      </c>
      <c r="H39" s="144" t="s">
        <v>121</v>
      </c>
      <c r="I39" s="220" t="s">
        <v>149</v>
      </c>
      <c r="J39" s="218" t="s">
        <v>146</v>
      </c>
      <c r="K39" s="215"/>
    </row>
    <row r="40" spans="1:11" x14ac:dyDescent="0.25">
      <c r="A40" s="207" t="s">
        <v>71</v>
      </c>
      <c r="B40" s="199">
        <v>12.09</v>
      </c>
      <c r="C40" s="199">
        <v>1770</v>
      </c>
      <c r="D40" s="200">
        <v>3600</v>
      </c>
      <c r="E40" s="201">
        <f t="shared" si="3"/>
        <v>0.49166666666666664</v>
      </c>
      <c r="F40" s="201">
        <f t="shared" si="4"/>
        <v>0.50375000000000003</v>
      </c>
      <c r="G40" s="202">
        <v>12</v>
      </c>
      <c r="H40" s="71"/>
      <c r="K40" s="215"/>
    </row>
    <row r="41" spans="1:11" x14ac:dyDescent="0.25">
      <c r="A41" s="207" t="s">
        <v>72</v>
      </c>
      <c r="B41" s="199">
        <v>10.56</v>
      </c>
      <c r="C41" s="199">
        <v>1484</v>
      </c>
      <c r="D41" s="200">
        <v>3900</v>
      </c>
      <c r="E41" s="201">
        <f t="shared" si="3"/>
        <v>0.38051282051282054</v>
      </c>
      <c r="F41" s="201">
        <f t="shared" si="4"/>
        <v>0.44</v>
      </c>
      <c r="G41" s="202">
        <v>12</v>
      </c>
      <c r="H41" s="237" t="s">
        <v>195</v>
      </c>
      <c r="J41" s="162" t="s">
        <v>177</v>
      </c>
      <c r="K41" s="215" t="s">
        <v>92</v>
      </c>
    </row>
    <row r="42" spans="1:11" x14ac:dyDescent="0.25">
      <c r="A42" s="207" t="s">
        <v>73</v>
      </c>
      <c r="B42" s="199">
        <v>15.31</v>
      </c>
      <c r="C42" s="199">
        <v>2945</v>
      </c>
      <c r="D42" s="200">
        <v>3900</v>
      </c>
      <c r="E42" s="201">
        <f t="shared" si="3"/>
        <v>0.75512820512820511</v>
      </c>
      <c r="F42" s="201">
        <f t="shared" si="4"/>
        <v>0.63791666666666669</v>
      </c>
      <c r="G42" s="202">
        <v>12</v>
      </c>
      <c r="H42" s="301">
        <v>45925</v>
      </c>
      <c r="I42" s="129" t="s">
        <v>176</v>
      </c>
      <c r="J42" s="162">
        <v>143</v>
      </c>
      <c r="K42" s="318">
        <f>+J42*1.5</f>
        <v>214.5</v>
      </c>
    </row>
    <row r="43" spans="1:11" x14ac:dyDescent="0.25">
      <c r="A43" s="207" t="s">
        <v>74</v>
      </c>
      <c r="B43" s="199">
        <v>16.59</v>
      </c>
      <c r="C43" s="199">
        <v>2857</v>
      </c>
      <c r="D43" s="200">
        <v>3900</v>
      </c>
      <c r="E43" s="201">
        <f t="shared" si="3"/>
        <v>0.73256410256410254</v>
      </c>
      <c r="F43" s="201">
        <f t="shared" si="4"/>
        <v>0.69125000000000003</v>
      </c>
      <c r="G43" s="202">
        <v>12</v>
      </c>
      <c r="H43" s="301">
        <v>45931</v>
      </c>
      <c r="I43" s="129" t="s">
        <v>176</v>
      </c>
      <c r="J43" s="162">
        <v>47</v>
      </c>
      <c r="K43" s="318">
        <f>+J43*1.5</f>
        <v>70.5</v>
      </c>
    </row>
    <row r="44" spans="1:11" x14ac:dyDescent="0.25">
      <c r="A44" s="259" t="s">
        <v>75</v>
      </c>
      <c r="B44" s="260">
        <v>12.17</v>
      </c>
      <c r="C44" s="261">
        <v>2551</v>
      </c>
      <c r="D44" s="262">
        <v>4300</v>
      </c>
      <c r="E44" s="263">
        <f t="shared" si="3"/>
        <v>0.59325581395348836</v>
      </c>
      <c r="F44" s="201">
        <f t="shared" si="4"/>
        <v>0.50708333333333333</v>
      </c>
      <c r="G44" s="202">
        <v>16</v>
      </c>
      <c r="H44" s="301">
        <v>45939</v>
      </c>
      <c r="I44" s="129" t="s">
        <v>176</v>
      </c>
      <c r="J44" s="162">
        <v>49</v>
      </c>
      <c r="K44" s="318">
        <f>+J44*1.5</f>
        <v>73.5</v>
      </c>
    </row>
    <row r="45" spans="1:11" x14ac:dyDescent="0.25">
      <c r="C45" s="71" t="s">
        <v>83</v>
      </c>
      <c r="D45" s="72" t="s">
        <v>79</v>
      </c>
      <c r="I45" s="129"/>
      <c r="K45" s="215"/>
    </row>
    <row r="46" spans="1:11" x14ac:dyDescent="0.25">
      <c r="B46" s="162" t="s">
        <v>78</v>
      </c>
      <c r="H46" s="301"/>
      <c r="K46" s="198"/>
    </row>
    <row r="47" spans="1:11" x14ac:dyDescent="0.25">
      <c r="C47" s="71">
        <v>1</v>
      </c>
      <c r="D47" s="225" t="s">
        <v>153</v>
      </c>
      <c r="H47" s="237" t="s">
        <v>197</v>
      </c>
      <c r="J47" s="162" t="s">
        <v>157</v>
      </c>
      <c r="K47" s="215" t="s">
        <v>92</v>
      </c>
    </row>
    <row r="48" spans="1:11" x14ac:dyDescent="0.25">
      <c r="C48" s="71">
        <v>2</v>
      </c>
      <c r="D48" s="225" t="s">
        <v>153</v>
      </c>
      <c r="H48" s="301">
        <v>45929</v>
      </c>
      <c r="I48" s="129" t="s">
        <v>176</v>
      </c>
      <c r="J48" s="162">
        <v>5120</v>
      </c>
      <c r="K48" s="318">
        <f>+J48*0.025</f>
        <v>128</v>
      </c>
    </row>
    <row r="49" spans="2:11" x14ac:dyDescent="0.25">
      <c r="C49" s="71">
        <v>3</v>
      </c>
      <c r="D49" s="225" t="s">
        <v>154</v>
      </c>
      <c r="H49" s="301">
        <v>45939</v>
      </c>
      <c r="I49" s="129" t="s">
        <v>176</v>
      </c>
      <c r="J49" s="162">
        <v>430</v>
      </c>
      <c r="K49" s="318">
        <f>+J49*0.025</f>
        <v>10.75</v>
      </c>
    </row>
    <row r="50" spans="2:11" x14ac:dyDescent="0.25">
      <c r="C50" s="71">
        <v>4</v>
      </c>
      <c r="D50" s="108">
        <v>0</v>
      </c>
      <c r="H50" s="301">
        <v>45940</v>
      </c>
      <c r="I50" s="129" t="s">
        <v>175</v>
      </c>
      <c r="J50" s="162">
        <v>1080</v>
      </c>
      <c r="K50" s="318">
        <f>+J50*0.025</f>
        <v>27</v>
      </c>
    </row>
    <row r="51" spans="2:11" x14ac:dyDescent="0.25">
      <c r="C51" s="71">
        <v>5</v>
      </c>
      <c r="D51" s="108">
        <v>17</v>
      </c>
      <c r="H51" s="301"/>
      <c r="I51" s="129"/>
      <c r="K51" s="215"/>
    </row>
    <row r="52" spans="2:11" x14ac:dyDescent="0.25">
      <c r="C52" s="71">
        <v>6</v>
      </c>
      <c r="D52" s="108">
        <v>1</v>
      </c>
      <c r="H52" s="237" t="s">
        <v>205</v>
      </c>
      <c r="J52" s="162" t="s">
        <v>177</v>
      </c>
      <c r="K52" s="215" t="s">
        <v>92</v>
      </c>
    </row>
    <row r="53" spans="2:11" x14ac:dyDescent="0.25">
      <c r="C53" s="71">
        <v>7</v>
      </c>
      <c r="D53" s="225" t="s">
        <v>153</v>
      </c>
      <c r="H53" s="301">
        <v>45942</v>
      </c>
      <c r="I53" s="129" t="s">
        <v>176</v>
      </c>
      <c r="J53" s="162">
        <v>47</v>
      </c>
      <c r="K53" s="318">
        <f>+J53*1.5</f>
        <v>70.5</v>
      </c>
    </row>
    <row r="54" spans="2:11" x14ac:dyDescent="0.25">
      <c r="C54" s="71">
        <v>8</v>
      </c>
      <c r="D54" s="225" t="s">
        <v>153</v>
      </c>
      <c r="H54" s="301"/>
      <c r="I54" s="129"/>
      <c r="K54" s="318"/>
    </row>
    <row r="55" spans="2:11" x14ac:dyDescent="0.25">
      <c r="H55" s="301"/>
      <c r="I55" s="129"/>
      <c r="K55" s="318"/>
    </row>
    <row r="56" spans="2:11" x14ac:dyDescent="0.25">
      <c r="I56" s="129"/>
      <c r="K56" s="215"/>
    </row>
    <row r="57" spans="2:11" x14ac:dyDescent="0.25">
      <c r="B57" s="162" t="s">
        <v>116</v>
      </c>
      <c r="C57" s="162" t="s">
        <v>58</v>
      </c>
      <c r="D57" s="93"/>
    </row>
    <row r="58" spans="2:11" x14ac:dyDescent="0.25">
      <c r="C58" s="162" t="s">
        <v>59</v>
      </c>
      <c r="D58" s="93"/>
    </row>
    <row r="60" spans="2:11" x14ac:dyDescent="0.25">
      <c r="C60" s="162" t="s">
        <v>204</v>
      </c>
    </row>
  </sheetData>
  <protectedRanges>
    <protectedRange password="D554" sqref="I37:I3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44" workbookViewId="0">
      <selection activeCell="J60" sqref="J59:J60"/>
    </sheetView>
  </sheetViews>
  <sheetFormatPr baseColWidth="10" defaultColWidth="11.42578125" defaultRowHeight="15.75" x14ac:dyDescent="0.25"/>
  <cols>
    <col min="1" max="1" width="2.42578125" style="162" customWidth="1"/>
    <col min="2" max="2" width="46.5703125" style="162" customWidth="1"/>
    <col min="3" max="3" width="13.28515625" style="162" customWidth="1"/>
    <col min="4" max="4" width="13.28515625" style="163" customWidth="1"/>
    <col min="5" max="5" width="11.85546875" style="162" bestFit="1" customWidth="1"/>
    <col min="6" max="9" width="11.42578125" style="162"/>
    <col min="10" max="10" width="10.140625" style="162" customWidth="1"/>
    <col min="11" max="11" width="7.140625" style="162" bestFit="1" customWidth="1"/>
    <col min="12" max="16384" width="11.42578125" style="162"/>
  </cols>
  <sheetData>
    <row r="1" spans="1:10" ht="15" customHeight="1" x14ac:dyDescent="0.25">
      <c r="A1" s="161"/>
      <c r="B1" s="518">
        <v>45949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24"/>
      <c r="C4" s="324"/>
      <c r="D4" s="165">
        <f>D24</f>
        <v>5565.3769999999986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3034</v>
      </c>
      <c r="D5" s="172">
        <v>129.66399999999999</v>
      </c>
      <c r="E5" s="80">
        <f>+D5/$D$4</f>
        <v>2.3298331811124388E-2</v>
      </c>
      <c r="F5" s="58" t="s">
        <v>51</v>
      </c>
      <c r="G5" s="59">
        <v>45943</v>
      </c>
      <c r="H5" s="190">
        <v>7317.0000000000009</v>
      </c>
      <c r="I5" s="141">
        <v>7468.2059999999992</v>
      </c>
      <c r="J5" s="60">
        <f t="shared" ref="J5:J12" si="0">+I5/H5</f>
        <v>1.0206650266502664</v>
      </c>
    </row>
    <row r="6" spans="1:10" ht="15" customHeight="1" x14ac:dyDescent="0.25">
      <c r="A6" s="164"/>
      <c r="B6" s="169" t="s">
        <v>10</v>
      </c>
      <c r="C6" s="177">
        <v>15755</v>
      </c>
      <c r="D6" s="173">
        <v>672.09399999999982</v>
      </c>
      <c r="E6" s="80">
        <f t="shared" ref="E6:E24" si="1">+D6/$D$4</f>
        <v>0.1207634271676474</v>
      </c>
      <c r="F6" s="58" t="s">
        <v>52</v>
      </c>
      <c r="G6" s="59">
        <v>45944</v>
      </c>
      <c r="H6" s="190">
        <v>8572</v>
      </c>
      <c r="I6" s="141">
        <v>9740.8159999999989</v>
      </c>
      <c r="J6" s="60">
        <f t="shared" si="0"/>
        <v>1.1363527764815677</v>
      </c>
    </row>
    <row r="7" spans="1:10" ht="15" customHeight="1" x14ac:dyDescent="0.25">
      <c r="A7" s="164"/>
      <c r="B7" s="169" t="s">
        <v>35</v>
      </c>
      <c r="C7" s="177">
        <v>23393</v>
      </c>
      <c r="D7" s="173">
        <v>996.77400000000034</v>
      </c>
      <c r="E7" s="80">
        <f t="shared" si="1"/>
        <v>0.17910269151577701</v>
      </c>
      <c r="F7" s="58" t="s">
        <v>53</v>
      </c>
      <c r="G7" s="59">
        <v>45945</v>
      </c>
      <c r="H7" s="190">
        <v>8810</v>
      </c>
      <c r="I7" s="141">
        <v>8625.8909999999978</v>
      </c>
      <c r="J7" s="60">
        <f t="shared" si="0"/>
        <v>0.97910227014755935</v>
      </c>
    </row>
    <row r="8" spans="1:10" ht="15" customHeight="1" x14ac:dyDescent="0.25">
      <c r="A8" s="164"/>
      <c r="B8" s="169" t="s">
        <v>4</v>
      </c>
      <c r="C8" s="177">
        <v>1484</v>
      </c>
      <c r="D8" s="173">
        <v>63.269999999999996</v>
      </c>
      <c r="E8" s="80">
        <f t="shared" si="1"/>
        <v>1.1368502079913008E-2</v>
      </c>
      <c r="F8" s="58" t="s">
        <v>54</v>
      </c>
      <c r="G8" s="59">
        <v>45946</v>
      </c>
      <c r="H8" s="190">
        <v>8913</v>
      </c>
      <c r="I8" s="141">
        <v>9246.3790000000008</v>
      </c>
      <c r="J8" s="60">
        <f t="shared" si="0"/>
        <v>1.0374036800179514</v>
      </c>
    </row>
    <row r="9" spans="1:10" ht="15" customHeight="1" x14ac:dyDescent="0.25">
      <c r="A9" s="164"/>
      <c r="B9" s="169" t="s">
        <v>37</v>
      </c>
      <c r="C9" s="177">
        <v>13420</v>
      </c>
      <c r="D9" s="173">
        <v>571.846</v>
      </c>
      <c r="E9" s="245">
        <f t="shared" si="1"/>
        <v>0.1027506312690048</v>
      </c>
      <c r="F9" s="58" t="s">
        <v>55</v>
      </c>
      <c r="G9" s="59">
        <v>45947</v>
      </c>
      <c r="H9" s="190">
        <v>8731</v>
      </c>
      <c r="I9" s="141">
        <v>9324.91</v>
      </c>
      <c r="J9" s="60">
        <f t="shared" si="0"/>
        <v>1.0680231359523538</v>
      </c>
    </row>
    <row r="10" spans="1:10" ht="15" customHeight="1" x14ac:dyDescent="0.25">
      <c r="A10" s="164"/>
      <c r="B10" s="169" t="s">
        <v>38</v>
      </c>
      <c r="C10" s="177">
        <v>28283</v>
      </c>
      <c r="D10" s="173">
        <v>1206.7749999999999</v>
      </c>
      <c r="E10" s="245">
        <f t="shared" si="1"/>
        <v>0.21683616401907727</v>
      </c>
      <c r="F10" s="58" t="s">
        <v>56</v>
      </c>
      <c r="G10" s="59">
        <v>45948</v>
      </c>
      <c r="H10" s="190">
        <v>7946</v>
      </c>
      <c r="I10" s="141">
        <v>7662.43</v>
      </c>
      <c r="J10" s="60">
        <f t="shared" si="0"/>
        <v>0.96431286181726661</v>
      </c>
    </row>
    <row r="11" spans="1:10" ht="15" customHeight="1" x14ac:dyDescent="0.25">
      <c r="A11" s="164"/>
      <c r="B11" s="169" t="s">
        <v>42</v>
      </c>
      <c r="C11" s="177">
        <v>7872</v>
      </c>
      <c r="D11" s="173">
        <v>336.35399999999998</v>
      </c>
      <c r="E11" s="80">
        <f t="shared" si="1"/>
        <v>6.0436876064281012E-2</v>
      </c>
      <c r="F11" s="58" t="s">
        <v>57</v>
      </c>
      <c r="G11" s="59">
        <v>45949</v>
      </c>
      <c r="H11" s="190">
        <v>6040</v>
      </c>
      <c r="I11" s="141">
        <v>5565.3769999999986</v>
      </c>
      <c r="J11" s="60">
        <f t="shared" si="0"/>
        <v>0.92142003311258258</v>
      </c>
    </row>
    <row r="12" spans="1:10" ht="15" customHeight="1" x14ac:dyDescent="0.25">
      <c r="A12" s="164"/>
      <c r="B12" s="169" t="s">
        <v>196</v>
      </c>
      <c r="C12" s="177">
        <v>4176</v>
      </c>
      <c r="D12" s="173">
        <v>105.06</v>
      </c>
      <c r="E12" s="80">
        <f t="shared" si="1"/>
        <v>1.8877427351282765E-2</v>
      </c>
      <c r="H12" s="139">
        <f>+SUM(H5:H11)</f>
        <v>56329</v>
      </c>
      <c r="I12" s="142">
        <f>+SUM(I5:I11)</f>
        <v>57634.008999999991</v>
      </c>
      <c r="J12" s="140">
        <f t="shared" si="0"/>
        <v>1.0231676223614832</v>
      </c>
    </row>
    <row r="13" spans="1:10" ht="15" customHeight="1" x14ac:dyDescent="0.25">
      <c r="A13" s="164"/>
      <c r="B13" s="169" t="s">
        <v>44</v>
      </c>
      <c r="C13" s="177">
        <v>84</v>
      </c>
      <c r="D13" s="173">
        <v>126.96999999999998</v>
      </c>
      <c r="E13" s="80">
        <f t="shared" si="1"/>
        <v>2.2814267568935585E-2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129</v>
      </c>
      <c r="D14" s="173">
        <v>194.69</v>
      </c>
      <c r="E14" s="80">
        <f t="shared" si="1"/>
        <v>3.498235609195928E-2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22</v>
      </c>
      <c r="D15" s="173">
        <v>33.229999999999997</v>
      </c>
      <c r="E15" s="80">
        <f t="shared" si="1"/>
        <v>5.9708443830489843E-3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194</v>
      </c>
      <c r="C16" s="177">
        <v>22</v>
      </c>
      <c r="D16" s="173">
        <v>33.119999999999997</v>
      </c>
      <c r="E16" s="80">
        <f t="shared" si="1"/>
        <v>5.951079324904675E-3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49</v>
      </c>
      <c r="C17" s="177">
        <v>22</v>
      </c>
      <c r="D17" s="173">
        <v>33.049999999999997</v>
      </c>
      <c r="E17" s="80">
        <f t="shared" si="1"/>
        <v>5.9385015606310239E-3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41</v>
      </c>
      <c r="C18" s="177">
        <v>225</v>
      </c>
      <c r="D18" s="173">
        <v>337.90000000000003</v>
      </c>
      <c r="E18" s="80">
        <f t="shared" si="1"/>
        <v>6.0714664972381947E-2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85</v>
      </c>
      <c r="C19" s="177">
        <v>23</v>
      </c>
      <c r="D19" s="173">
        <v>34.700000000000003</v>
      </c>
      <c r="E19" s="80">
        <f t="shared" si="1"/>
        <v>6.2349774327956596E-3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88</v>
      </c>
      <c r="C20" s="177">
        <v>20</v>
      </c>
      <c r="D20" s="173">
        <v>30.16</v>
      </c>
      <c r="E20" s="80">
        <f t="shared" si="1"/>
        <v>5.4192195784759966E-3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46</v>
      </c>
      <c r="C21" s="177"/>
      <c r="D21" s="173">
        <v>60.16</v>
      </c>
      <c r="E21" s="80">
        <f t="shared" si="1"/>
        <v>1.0809689981469361E-2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40</v>
      </c>
      <c r="C22" s="177"/>
      <c r="D22" s="173">
        <v>417.30999999999995</v>
      </c>
      <c r="E22" s="80">
        <f t="shared" si="1"/>
        <v>7.4983240129105372E-2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thickBot="1" x14ac:dyDescent="0.3">
      <c r="A23" s="164"/>
      <c r="B23" s="169" t="s">
        <v>9</v>
      </c>
      <c r="C23" s="177"/>
      <c r="D23" s="173">
        <v>182.25</v>
      </c>
      <c r="E23" s="80">
        <f t="shared" si="1"/>
        <v>3.2747107698184695E-2</v>
      </c>
      <c r="F23" s="112" t="s">
        <v>161</v>
      </c>
      <c r="G23" s="190">
        <v>237591.573</v>
      </c>
      <c r="H23" s="119">
        <f>+D25</f>
        <v>148454.43299999999</v>
      </c>
      <c r="I23" s="98">
        <f t="shared" si="2"/>
        <v>0.62483038066337471</v>
      </c>
    </row>
    <row r="24" spans="1:11" ht="15" customHeight="1" thickBot="1" x14ac:dyDescent="0.3">
      <c r="B24" s="178" t="s">
        <v>0</v>
      </c>
      <c r="C24" s="170"/>
      <c r="D24" s="171">
        <f>SUM(D5:D23)</f>
        <v>5565.3769999999986</v>
      </c>
      <c r="E24" s="80">
        <f t="shared" si="1"/>
        <v>1</v>
      </c>
    </row>
    <row r="25" spans="1:11" ht="15" customHeight="1" thickBot="1" x14ac:dyDescent="0.3">
      <c r="B25" s="166" t="s">
        <v>1</v>
      </c>
      <c r="C25" s="167"/>
      <c r="D25" s="233">
        <v>148454.43299999999</v>
      </c>
      <c r="E25" s="313">
        <f>+D25/E2</f>
        <v>0.6278737629576141</v>
      </c>
      <c r="F25" s="163"/>
    </row>
    <row r="26" spans="1:11" x14ac:dyDescent="0.25">
      <c r="D26" s="108">
        <f>+(E2/31)*19</f>
        <v>144914.80013811326</v>
      </c>
      <c r="E26" s="314">
        <f>+D26/E2</f>
        <v>0.61290322580645173</v>
      </c>
      <c r="K26" s="215"/>
    </row>
    <row r="27" spans="1:11" ht="15" customHeight="1" x14ac:dyDescent="0.25">
      <c r="D27" s="183">
        <f>+D25-D26</f>
        <v>3539.6328618867265</v>
      </c>
      <c r="E27" s="99">
        <f>E25-E26</f>
        <v>1.4970537151162366E-2</v>
      </c>
      <c r="K27" s="215"/>
    </row>
    <row r="28" spans="1:11" x14ac:dyDescent="0.25">
      <c r="G28" s="300" t="s">
        <v>190</v>
      </c>
      <c r="H28" s="87">
        <v>118</v>
      </c>
      <c r="I28" s="88">
        <f>+H28*1.5</f>
        <v>177</v>
      </c>
      <c r="K28" s="215"/>
    </row>
    <row r="29" spans="1:11" x14ac:dyDescent="0.25">
      <c r="B29" s="66" t="s">
        <v>60</v>
      </c>
      <c r="D29" s="109" t="s">
        <v>105</v>
      </c>
      <c r="E29" s="109" t="s">
        <v>80</v>
      </c>
      <c r="G29" s="163"/>
      <c r="H29" s="237" t="s">
        <v>157</v>
      </c>
      <c r="I29" s="237" t="s">
        <v>92</v>
      </c>
      <c r="J29" s="71"/>
      <c r="K29" s="215"/>
    </row>
    <row r="30" spans="1:11" x14ac:dyDescent="0.25">
      <c r="B30" s="162" t="s">
        <v>61</v>
      </c>
      <c r="C30" s="162">
        <v>1600</v>
      </c>
      <c r="D30" s="108">
        <v>2142</v>
      </c>
      <c r="E30" s="57">
        <f>+C30/D30</f>
        <v>0.7469654528478058</v>
      </c>
      <c r="G30" s="86" t="s">
        <v>86</v>
      </c>
      <c r="H30" s="87">
        <f>15438+414+1080</f>
        <v>16932</v>
      </c>
      <c r="I30" s="88">
        <f>+H30*0.025</f>
        <v>423.3</v>
      </c>
      <c r="J30" s="224"/>
      <c r="K30" s="215"/>
    </row>
    <row r="31" spans="1:11" x14ac:dyDescent="0.25">
      <c r="B31" s="162" t="s">
        <v>62</v>
      </c>
      <c r="C31" s="162">
        <v>1280</v>
      </c>
      <c r="D31" s="108">
        <v>1890</v>
      </c>
      <c r="E31" s="57">
        <f>+C31/D31</f>
        <v>0.67724867724867721</v>
      </c>
      <c r="G31" s="86" t="s">
        <v>171</v>
      </c>
      <c r="H31" s="87">
        <v>12</v>
      </c>
      <c r="I31" s="88">
        <v>0.30000000000000004</v>
      </c>
      <c r="J31" s="297" t="s">
        <v>188</v>
      </c>
      <c r="K31" s="215"/>
    </row>
    <row r="32" spans="1:11" x14ac:dyDescent="0.25">
      <c r="B32" s="162" t="s">
        <v>63</v>
      </c>
      <c r="C32" s="67">
        <v>2802</v>
      </c>
      <c r="D32" s="108">
        <v>3006</v>
      </c>
      <c r="E32" s="57">
        <f>+C32/D32</f>
        <v>0.93213572854291415</v>
      </c>
      <c r="G32" s="89" t="s">
        <v>169</v>
      </c>
      <c r="H32" s="87">
        <v>170</v>
      </c>
      <c r="I32" s="88">
        <f>+H32*1.5</f>
        <v>255</v>
      </c>
      <c r="J32" s="298">
        <f>+I32+I30</f>
        <v>678.3</v>
      </c>
      <c r="K32" s="215" t="s">
        <v>191</v>
      </c>
    </row>
    <row r="33" spans="1:11" x14ac:dyDescent="0.25">
      <c r="C33" s="162">
        <f>+SUM(C30:C32)</f>
        <v>5682</v>
      </c>
      <c r="D33" s="110">
        <f>+SUM(D30:D32)</f>
        <v>7038</v>
      </c>
      <c r="E33" s="57">
        <f>+C33/D33</f>
        <v>0.80733162830349536</v>
      </c>
      <c r="G33" s="89" t="s">
        <v>168</v>
      </c>
      <c r="H33" s="87">
        <v>121</v>
      </c>
      <c r="I33" s="88">
        <f>+H33*1.5</f>
        <v>181.5</v>
      </c>
      <c r="J33" s="228" t="s">
        <v>193</v>
      </c>
      <c r="K33" s="215"/>
    </row>
    <row r="34" spans="1:11" x14ac:dyDescent="0.25">
      <c r="G34" s="231" t="s">
        <v>123</v>
      </c>
      <c r="H34" s="138">
        <v>231</v>
      </c>
      <c r="I34" s="232">
        <v>346.5</v>
      </c>
      <c r="J34" s="218" t="s">
        <v>146</v>
      </c>
      <c r="K34" s="215"/>
    </row>
    <row r="35" spans="1:11" x14ac:dyDescent="0.25">
      <c r="B35" s="162" t="s">
        <v>66</v>
      </c>
      <c r="D35" s="162"/>
      <c r="G35" s="89" t="s">
        <v>170</v>
      </c>
      <c r="H35" s="87">
        <v>47</v>
      </c>
      <c r="I35" s="88">
        <f>+H35*1.5</f>
        <v>70.5</v>
      </c>
      <c r="J35" s="224" t="s">
        <v>206</v>
      </c>
      <c r="K35" s="215"/>
    </row>
    <row r="36" spans="1:11" x14ac:dyDescent="0.25">
      <c r="B36" s="76" t="s">
        <v>67</v>
      </c>
      <c r="C36" s="77" t="s">
        <v>68</v>
      </c>
      <c r="D36" s="78" t="s">
        <v>69</v>
      </c>
      <c r="E36" s="79" t="s">
        <v>33</v>
      </c>
      <c r="G36" s="89" t="s">
        <v>107</v>
      </c>
      <c r="H36" s="87">
        <v>219</v>
      </c>
      <c r="I36" s="88">
        <f>+H36*1.5</f>
        <v>328.5</v>
      </c>
      <c r="J36" s="224" t="s">
        <v>152</v>
      </c>
      <c r="K36" s="215"/>
    </row>
    <row r="37" spans="1:11" x14ac:dyDescent="0.25">
      <c r="B37" s="73">
        <v>1</v>
      </c>
      <c r="C37" s="74">
        <v>0</v>
      </c>
      <c r="D37" s="74">
        <v>3</v>
      </c>
      <c r="E37" s="75">
        <f>+SUM(B37:D37)</f>
        <v>4</v>
      </c>
      <c r="J37" s="218"/>
      <c r="K37" s="215"/>
    </row>
    <row r="38" spans="1:11" x14ac:dyDescent="0.25">
      <c r="E38" s="198" t="s">
        <v>76</v>
      </c>
      <c r="F38" s="198" t="s">
        <v>137</v>
      </c>
      <c r="H38" s="144" t="s">
        <v>124</v>
      </c>
      <c r="I38" s="220" t="s">
        <v>148</v>
      </c>
      <c r="J38" s="218" t="s">
        <v>146</v>
      </c>
      <c r="K38" s="215"/>
    </row>
    <row r="39" spans="1:11" x14ac:dyDescent="0.25">
      <c r="D39" s="162"/>
      <c r="G39" s="71" t="s">
        <v>90</v>
      </c>
      <c r="H39" s="144" t="s">
        <v>120</v>
      </c>
      <c r="I39" s="145">
        <v>0</v>
      </c>
      <c r="J39" s="218"/>
      <c r="K39" s="215"/>
    </row>
    <row r="40" spans="1:11" x14ac:dyDescent="0.25">
      <c r="A40" s="207" t="s">
        <v>70</v>
      </c>
      <c r="B40" s="199">
        <v>0</v>
      </c>
      <c r="C40" s="199">
        <v>1894</v>
      </c>
      <c r="D40" s="200">
        <v>2400</v>
      </c>
      <c r="E40" s="201">
        <f t="shared" ref="E40:E45" si="3">+C40/D40</f>
        <v>0.78916666666666668</v>
      </c>
      <c r="F40" s="201">
        <f t="shared" ref="F40:F45" si="4">+B40/24</f>
        <v>0</v>
      </c>
      <c r="G40" s="202">
        <v>7</v>
      </c>
      <c r="H40" s="144" t="s">
        <v>121</v>
      </c>
      <c r="I40" s="220" t="s">
        <v>149</v>
      </c>
      <c r="J40" s="218" t="s">
        <v>146</v>
      </c>
      <c r="K40" s="215"/>
    </row>
    <row r="41" spans="1:11" x14ac:dyDescent="0.25">
      <c r="A41" s="207" t="s">
        <v>71</v>
      </c>
      <c r="B41" s="199">
        <v>5.34</v>
      </c>
      <c r="C41" s="199">
        <v>1689</v>
      </c>
      <c r="D41" s="200">
        <v>3600</v>
      </c>
      <c r="E41" s="201">
        <f t="shared" si="3"/>
        <v>0.46916666666666668</v>
      </c>
      <c r="F41" s="201">
        <f t="shared" si="4"/>
        <v>0.2225</v>
      </c>
      <c r="G41" s="202">
        <v>12</v>
      </c>
      <c r="H41" s="71"/>
      <c r="K41" s="215"/>
    </row>
    <row r="42" spans="1:11" x14ac:dyDescent="0.25">
      <c r="A42" s="207" t="s">
        <v>72</v>
      </c>
      <c r="B42" s="199">
        <v>8.11</v>
      </c>
      <c r="C42" s="199">
        <v>652</v>
      </c>
      <c r="D42" s="200">
        <v>3900</v>
      </c>
      <c r="E42" s="201">
        <f t="shared" si="3"/>
        <v>0.16717948717948719</v>
      </c>
      <c r="F42" s="201">
        <f t="shared" si="4"/>
        <v>0.33791666666666664</v>
      </c>
      <c r="G42" s="202">
        <v>12</v>
      </c>
      <c r="H42" s="237" t="s">
        <v>195</v>
      </c>
      <c r="J42" s="162" t="s">
        <v>177</v>
      </c>
      <c r="K42" s="215" t="s">
        <v>92</v>
      </c>
    </row>
    <row r="43" spans="1:11" x14ac:dyDescent="0.25">
      <c r="A43" s="207" t="s">
        <v>73</v>
      </c>
      <c r="B43" s="199">
        <v>14.7</v>
      </c>
      <c r="C43" s="199">
        <v>2509</v>
      </c>
      <c r="D43" s="200">
        <v>3900</v>
      </c>
      <c r="E43" s="201">
        <f t="shared" si="3"/>
        <v>0.64333333333333331</v>
      </c>
      <c r="F43" s="201">
        <f t="shared" si="4"/>
        <v>0.61249999999999993</v>
      </c>
      <c r="G43" s="202">
        <v>12</v>
      </c>
      <c r="H43" s="301">
        <v>45925</v>
      </c>
      <c r="I43" s="129" t="s">
        <v>176</v>
      </c>
      <c r="J43" s="162">
        <v>143</v>
      </c>
      <c r="K43" s="318">
        <f>+J43*1.5</f>
        <v>214.5</v>
      </c>
    </row>
    <row r="44" spans="1:11" x14ac:dyDescent="0.25">
      <c r="A44" s="207" t="s">
        <v>74</v>
      </c>
      <c r="B44" s="199">
        <v>9.66</v>
      </c>
      <c r="C44" s="199">
        <v>2494</v>
      </c>
      <c r="D44" s="200">
        <v>3900</v>
      </c>
      <c r="E44" s="201">
        <f t="shared" si="3"/>
        <v>0.63948717948717948</v>
      </c>
      <c r="F44" s="201">
        <f t="shared" si="4"/>
        <v>0.40250000000000002</v>
      </c>
      <c r="G44" s="202">
        <v>12</v>
      </c>
      <c r="H44" s="301">
        <v>45931</v>
      </c>
      <c r="I44" s="129" t="s">
        <v>176</v>
      </c>
      <c r="J44" s="162">
        <v>47</v>
      </c>
      <c r="K44" s="318">
        <f>+J44*1.5</f>
        <v>70.5</v>
      </c>
    </row>
    <row r="45" spans="1:11" x14ac:dyDescent="0.25">
      <c r="A45" s="259" t="s">
        <v>75</v>
      </c>
      <c r="B45" s="260">
        <v>12.76</v>
      </c>
      <c r="C45" s="261">
        <v>2751</v>
      </c>
      <c r="D45" s="262">
        <v>4300</v>
      </c>
      <c r="E45" s="263">
        <f t="shared" si="3"/>
        <v>0.63976744186046508</v>
      </c>
      <c r="F45" s="201">
        <f t="shared" si="4"/>
        <v>0.53166666666666662</v>
      </c>
      <c r="G45" s="202">
        <v>16</v>
      </c>
      <c r="H45" s="301">
        <v>45939</v>
      </c>
      <c r="I45" s="129" t="s">
        <v>176</v>
      </c>
      <c r="J45" s="162">
        <v>49</v>
      </c>
      <c r="K45" s="318">
        <f>+J45*1.5</f>
        <v>73.5</v>
      </c>
    </row>
    <row r="46" spans="1:11" x14ac:dyDescent="0.25">
      <c r="C46" s="71" t="s">
        <v>83</v>
      </c>
      <c r="D46" s="72" t="s">
        <v>79</v>
      </c>
      <c r="I46" s="129"/>
      <c r="K46" s="215"/>
    </row>
    <row r="47" spans="1:11" x14ac:dyDescent="0.25">
      <c r="B47" s="162" t="s">
        <v>78</v>
      </c>
      <c r="H47" s="301"/>
      <c r="K47" s="198"/>
    </row>
    <row r="48" spans="1:11" x14ac:dyDescent="0.25">
      <c r="C48" s="71">
        <v>1</v>
      </c>
      <c r="D48" s="225" t="s">
        <v>153</v>
      </c>
      <c r="H48" s="237" t="s">
        <v>197</v>
      </c>
      <c r="J48" s="162" t="s">
        <v>157</v>
      </c>
      <c r="K48" s="215" t="s">
        <v>92</v>
      </c>
    </row>
    <row r="49" spans="2:11" x14ac:dyDescent="0.25">
      <c r="C49" s="71">
        <v>2</v>
      </c>
      <c r="D49" s="225" t="s">
        <v>153</v>
      </c>
      <c r="H49" s="301">
        <v>45929</v>
      </c>
      <c r="I49" s="129" t="s">
        <v>176</v>
      </c>
      <c r="J49" s="162">
        <v>5120</v>
      </c>
      <c r="K49" s="318">
        <f>+J49*0.025</f>
        <v>128</v>
      </c>
    </row>
    <row r="50" spans="2:11" x14ac:dyDescent="0.25">
      <c r="C50" s="71">
        <v>3</v>
      </c>
      <c r="D50" s="225" t="s">
        <v>154</v>
      </c>
      <c r="H50" s="301">
        <v>45939</v>
      </c>
      <c r="I50" s="129" t="s">
        <v>176</v>
      </c>
      <c r="J50" s="162">
        <v>430</v>
      </c>
      <c r="K50" s="318">
        <f>+J50*0.025</f>
        <v>10.75</v>
      </c>
    </row>
    <row r="51" spans="2:11" x14ac:dyDescent="0.25">
      <c r="C51" s="71">
        <v>4</v>
      </c>
      <c r="D51" s="108">
        <v>0</v>
      </c>
      <c r="H51" s="301">
        <v>45940</v>
      </c>
      <c r="I51" s="129" t="s">
        <v>175</v>
      </c>
      <c r="J51" s="162">
        <v>1080</v>
      </c>
      <c r="K51" s="318">
        <f>+J51*0.025</f>
        <v>27</v>
      </c>
    </row>
    <row r="52" spans="2:11" x14ac:dyDescent="0.25">
      <c r="C52" s="71">
        <v>5</v>
      </c>
      <c r="D52" s="108">
        <v>4</v>
      </c>
      <c r="H52" s="301"/>
      <c r="I52" s="129"/>
      <c r="K52" s="215"/>
    </row>
    <row r="53" spans="2:11" x14ac:dyDescent="0.25">
      <c r="C53" s="71">
        <v>6</v>
      </c>
      <c r="D53" s="108">
        <v>1</v>
      </c>
    </row>
    <row r="54" spans="2:11" x14ac:dyDescent="0.25">
      <c r="C54" s="71">
        <v>7</v>
      </c>
      <c r="D54" s="225" t="s">
        <v>153</v>
      </c>
    </row>
    <row r="55" spans="2:11" x14ac:dyDescent="0.25">
      <c r="C55" s="71">
        <v>8</v>
      </c>
      <c r="D55" s="225" t="s">
        <v>153</v>
      </c>
      <c r="H55" s="237" t="s">
        <v>205</v>
      </c>
      <c r="J55" s="162" t="s">
        <v>177</v>
      </c>
      <c r="K55" s="215" t="s">
        <v>92</v>
      </c>
    </row>
    <row r="56" spans="2:11" x14ac:dyDescent="0.25">
      <c r="H56" s="301">
        <v>45942</v>
      </c>
      <c r="I56" s="129" t="s">
        <v>176</v>
      </c>
      <c r="J56" s="162">
        <v>47</v>
      </c>
      <c r="K56" s="318">
        <f>+J56*1.5</f>
        <v>70.5</v>
      </c>
    </row>
    <row r="57" spans="2:11" x14ac:dyDescent="0.25">
      <c r="I57" s="129"/>
      <c r="K57" s="215"/>
    </row>
    <row r="58" spans="2:11" x14ac:dyDescent="0.25">
      <c r="B58" s="162" t="s">
        <v>116</v>
      </c>
      <c r="C58" s="162" t="s">
        <v>58</v>
      </c>
      <c r="D58" s="93"/>
      <c r="H58" s="237" t="s">
        <v>167</v>
      </c>
      <c r="J58" s="162" t="s">
        <v>157</v>
      </c>
      <c r="K58" s="215" t="s">
        <v>92</v>
      </c>
    </row>
    <row r="59" spans="2:11" x14ac:dyDescent="0.25">
      <c r="C59" s="162" t="s">
        <v>59</v>
      </c>
      <c r="D59" s="93"/>
      <c r="H59" s="301"/>
      <c r="I59" s="129"/>
      <c r="J59" s="68">
        <f>+K59/1.5</f>
        <v>262.66666666666669</v>
      </c>
      <c r="K59" s="318">
        <v>394</v>
      </c>
    </row>
    <row r="60" spans="2:11" x14ac:dyDescent="0.25">
      <c r="H60" s="301"/>
      <c r="I60" s="129"/>
      <c r="J60" s="68">
        <f>+K60/1.5</f>
        <v>120.66666666666667</v>
      </c>
      <c r="K60" s="318">
        <v>181</v>
      </c>
    </row>
    <row r="61" spans="2:11" x14ac:dyDescent="0.25">
      <c r="C61" s="162" t="s">
        <v>204</v>
      </c>
      <c r="K61" s="162">
        <f>+SUM(K59:K60)</f>
        <v>575</v>
      </c>
    </row>
    <row r="63" spans="2:11" x14ac:dyDescent="0.25">
      <c r="K63" s="162">
        <f>+K61-750</f>
        <v>-175</v>
      </c>
    </row>
  </sheetData>
  <protectedRanges>
    <protectedRange password="D554" sqref="I38:I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A38" workbookViewId="0">
      <selection activeCell="A24" sqref="A24:K5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3.28515625" style="163" customWidth="1"/>
    <col min="5" max="5" width="11.85546875" style="162" bestFit="1" customWidth="1"/>
    <col min="6" max="16384" width="11.42578125" style="162"/>
  </cols>
  <sheetData>
    <row r="1" spans="1:10" ht="15" customHeight="1" x14ac:dyDescent="0.25">
      <c r="A1" s="161"/>
      <c r="B1" s="518">
        <v>45950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24"/>
      <c r="C4" s="324"/>
      <c r="D4" s="165">
        <f>D22</f>
        <v>6535.6479999999992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3834</v>
      </c>
      <c r="D5" s="172">
        <v>163.62200000000001</v>
      </c>
      <c r="E5" s="80">
        <f>+D5/$D$4</f>
        <v>2.5035314019359677E-2</v>
      </c>
      <c r="F5" s="58" t="s">
        <v>51</v>
      </c>
      <c r="G5" s="59">
        <v>45950</v>
      </c>
      <c r="H5" s="190">
        <v>6932</v>
      </c>
      <c r="I5" s="141">
        <v>6535.6479999999992</v>
      </c>
      <c r="J5" s="60">
        <f t="shared" ref="J5:J12" si="0">+I5/H5</f>
        <v>0.94282285054818227</v>
      </c>
    </row>
    <row r="6" spans="1:10" ht="15" customHeight="1" x14ac:dyDescent="0.25">
      <c r="A6" s="164"/>
      <c r="B6" s="169" t="s">
        <v>10</v>
      </c>
      <c r="C6" s="177">
        <v>12410</v>
      </c>
      <c r="D6" s="173">
        <v>529.5</v>
      </c>
      <c r="E6" s="80">
        <f t="shared" ref="E6:E22" si="1">+D6/$D$4</f>
        <v>8.1017215125416805E-2</v>
      </c>
      <c r="F6" s="58" t="s">
        <v>52</v>
      </c>
      <c r="G6" s="59">
        <v>45951</v>
      </c>
      <c r="H6" s="190">
        <v>9157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20023</v>
      </c>
      <c r="D7" s="173">
        <v>853.03399999999988</v>
      </c>
      <c r="E7" s="80">
        <f t="shared" si="1"/>
        <v>0.1305201871337012</v>
      </c>
      <c r="F7" s="58" t="s">
        <v>53</v>
      </c>
      <c r="G7" s="59">
        <v>45952</v>
      </c>
      <c r="H7" s="190">
        <v>8632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1535</v>
      </c>
      <c r="D8" s="173">
        <v>65.45</v>
      </c>
      <c r="E8" s="80">
        <f t="shared" si="1"/>
        <v>1.0014309216163418E-2</v>
      </c>
      <c r="F8" s="58" t="s">
        <v>54</v>
      </c>
      <c r="G8" s="59">
        <v>45953</v>
      </c>
      <c r="H8" s="190">
        <v>8339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32112</v>
      </c>
      <c r="D9" s="173">
        <v>1369.212</v>
      </c>
      <c r="E9" s="245">
        <f t="shared" si="1"/>
        <v>0.2094990427881061</v>
      </c>
      <c r="F9" s="58" t="s">
        <v>55</v>
      </c>
      <c r="G9" s="59">
        <v>45954</v>
      </c>
      <c r="H9" s="190">
        <v>9105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37339</v>
      </c>
      <c r="D10" s="173">
        <v>1590.5320000000002</v>
      </c>
      <c r="E10" s="245">
        <f t="shared" si="1"/>
        <v>0.24336255563335119</v>
      </c>
      <c r="F10" s="58" t="s">
        <v>56</v>
      </c>
      <c r="G10" s="59">
        <v>45955</v>
      </c>
      <c r="H10" s="190">
        <v>7143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8550</v>
      </c>
      <c r="D11" s="173">
        <v>365.05799999999999</v>
      </c>
      <c r="E11" s="80">
        <f t="shared" si="1"/>
        <v>5.5856435352699539E-2</v>
      </c>
      <c r="F11" s="58" t="s">
        <v>57</v>
      </c>
      <c r="G11" s="59">
        <v>45956</v>
      </c>
      <c r="H11" s="190">
        <v>4609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39</v>
      </c>
      <c r="C12" s="177">
        <v>352</v>
      </c>
      <c r="D12" s="173">
        <v>530.74</v>
      </c>
      <c r="E12" s="80">
        <f t="shared" si="1"/>
        <v>8.1206943825616079E-2</v>
      </c>
      <c r="H12" s="139">
        <f>+SUM(H5:H11)</f>
        <v>53917</v>
      </c>
      <c r="I12" s="142">
        <f>+SUM(I5:I11)</f>
        <v>6535.6479999999992</v>
      </c>
      <c r="J12" s="140">
        <f t="shared" si="0"/>
        <v>0.12121683328078341</v>
      </c>
    </row>
    <row r="13" spans="1:10" ht="15" customHeight="1" x14ac:dyDescent="0.25">
      <c r="A13" s="164"/>
      <c r="B13" s="169" t="s">
        <v>43</v>
      </c>
      <c r="C13" s="177">
        <v>69</v>
      </c>
      <c r="D13" s="173">
        <v>104.19999999999999</v>
      </c>
      <c r="E13" s="80">
        <f t="shared" si="1"/>
        <v>1.5943331097390802E-2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194</v>
      </c>
      <c r="C14" s="177">
        <v>43</v>
      </c>
      <c r="D14" s="173">
        <v>64.8</v>
      </c>
      <c r="E14" s="80">
        <f t="shared" si="1"/>
        <v>9.9148546555750863E-3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88</v>
      </c>
      <c r="C15" s="177">
        <v>20</v>
      </c>
      <c r="D15" s="173">
        <v>30.95</v>
      </c>
      <c r="E15" s="80">
        <f t="shared" si="1"/>
        <v>4.7355671541674223E-3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85</v>
      </c>
      <c r="C16" s="177">
        <v>65</v>
      </c>
      <c r="D16" s="173">
        <v>97.97999999999999</v>
      </c>
      <c r="E16" s="80">
        <f t="shared" si="1"/>
        <v>1.4991627456068626E-2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49</v>
      </c>
      <c r="C17" s="177">
        <v>41</v>
      </c>
      <c r="D17" s="173">
        <v>61.53</v>
      </c>
      <c r="E17" s="80">
        <f t="shared" si="1"/>
        <v>9.4145217123076403E-3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41</v>
      </c>
      <c r="C18" s="177">
        <v>108</v>
      </c>
      <c r="D18" s="173">
        <v>162.51999999999998</v>
      </c>
      <c r="E18" s="80">
        <f t="shared" si="1"/>
        <v>2.486670028740838E-2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40</v>
      </c>
      <c r="C19" s="177"/>
      <c r="D19" s="173">
        <v>332.81</v>
      </c>
      <c r="E19" s="80">
        <f t="shared" si="1"/>
        <v>5.0922265091388037E-2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9</v>
      </c>
      <c r="C20" s="177"/>
      <c r="D20" s="173">
        <v>123.11</v>
      </c>
      <c r="E20" s="80">
        <f t="shared" si="1"/>
        <v>1.8836693775429767E-2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thickBot="1" x14ac:dyDescent="0.3">
      <c r="A21" s="164"/>
      <c r="B21" s="169" t="s">
        <v>46</v>
      </c>
      <c r="C21" s="177"/>
      <c r="D21" s="173">
        <v>90.6</v>
      </c>
      <c r="E21" s="80">
        <f t="shared" si="1"/>
        <v>1.3862435675850352E-2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B22" s="178" t="s">
        <v>0</v>
      </c>
      <c r="C22" s="170"/>
      <c r="D22" s="171">
        <f>SUM(D5:D21)</f>
        <v>6535.6479999999992</v>
      </c>
      <c r="E22" s="80">
        <f t="shared" si="1"/>
        <v>1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thickBot="1" x14ac:dyDescent="0.3">
      <c r="B23" s="166" t="s">
        <v>1</v>
      </c>
      <c r="C23" s="167"/>
      <c r="D23" s="233">
        <v>155345.77099999989</v>
      </c>
      <c r="E23" s="313">
        <f>+D23/E2</f>
        <v>0.65702001500569363</v>
      </c>
      <c r="F23" s="112" t="s">
        <v>161</v>
      </c>
      <c r="G23" s="190">
        <v>237591.573</v>
      </c>
      <c r="H23" s="119">
        <f>+D23</f>
        <v>155345.77099999989</v>
      </c>
      <c r="I23" s="98">
        <f t="shared" si="2"/>
        <v>0.65383535719930563</v>
      </c>
    </row>
    <row r="24" spans="1:11" ht="15" customHeight="1" x14ac:dyDescent="0.25">
      <c r="D24" s="108">
        <f>+(E2/31)*20</f>
        <v>152541.89488222447</v>
      </c>
      <c r="E24" s="314">
        <f>+D24/E2</f>
        <v>0.64516129032258063</v>
      </c>
      <c r="K24" s="215"/>
    </row>
    <row r="25" spans="1:11" x14ac:dyDescent="0.25">
      <c r="D25" s="183">
        <f>+D23-D24</f>
        <v>2803.8761177754204</v>
      </c>
      <c r="E25" s="99">
        <f>E23-E24</f>
        <v>1.1858724683112998E-2</v>
      </c>
      <c r="K25" s="215"/>
    </row>
    <row r="26" spans="1:11" x14ac:dyDescent="0.25">
      <c r="G26" s="300" t="s">
        <v>190</v>
      </c>
      <c r="H26" s="87">
        <v>74</v>
      </c>
      <c r="I26" s="88">
        <f>+H26*1.5</f>
        <v>111</v>
      </c>
      <c r="K26" s="215"/>
    </row>
    <row r="27" spans="1:11" x14ac:dyDescent="0.25">
      <c r="B27" s="66" t="s">
        <v>60</v>
      </c>
      <c r="D27" s="109" t="s">
        <v>105</v>
      </c>
      <c r="E27" s="109" t="s">
        <v>80</v>
      </c>
      <c r="G27" s="163"/>
      <c r="H27" s="237" t="s">
        <v>157</v>
      </c>
      <c r="I27" s="237" t="s">
        <v>92</v>
      </c>
      <c r="J27" s="71"/>
      <c r="K27" s="215"/>
    </row>
    <row r="28" spans="1:11" x14ac:dyDescent="0.25">
      <c r="B28" s="162" t="s">
        <v>61</v>
      </c>
      <c r="C28" s="162">
        <v>1070</v>
      </c>
      <c r="D28" s="108">
        <v>2142</v>
      </c>
      <c r="E28" s="57">
        <f>+C28/D28</f>
        <v>0.49953314659197012</v>
      </c>
      <c r="G28" s="86" t="s">
        <v>86</v>
      </c>
      <c r="H28" s="87">
        <f>15438+414+1080</f>
        <v>16932</v>
      </c>
      <c r="I28" s="88">
        <f>+H28*0.025</f>
        <v>423.3</v>
      </c>
      <c r="J28" s="224"/>
      <c r="K28" s="215"/>
    </row>
    <row r="29" spans="1:11" x14ac:dyDescent="0.25">
      <c r="B29" s="162" t="s">
        <v>62</v>
      </c>
      <c r="C29" s="162">
        <v>1280</v>
      </c>
      <c r="D29" s="108">
        <v>1890</v>
      </c>
      <c r="E29" s="57">
        <f>+C29/D29</f>
        <v>0.67724867724867721</v>
      </c>
      <c r="G29" s="86" t="s">
        <v>171</v>
      </c>
      <c r="H29" s="87">
        <v>12</v>
      </c>
      <c r="I29" s="88">
        <v>0.30000000000000004</v>
      </c>
      <c r="J29" s="297" t="s">
        <v>188</v>
      </c>
      <c r="K29" s="215"/>
    </row>
    <row r="30" spans="1:11" ht="15" customHeight="1" x14ac:dyDescent="0.25">
      <c r="B30" s="162" t="s">
        <v>63</v>
      </c>
      <c r="C30" s="67">
        <v>1245</v>
      </c>
      <c r="D30" s="108">
        <v>3006</v>
      </c>
      <c r="E30" s="57">
        <f>+C30/D30</f>
        <v>0.41417165668662675</v>
      </c>
      <c r="G30" s="89" t="s">
        <v>169</v>
      </c>
      <c r="H30" s="87">
        <v>150</v>
      </c>
      <c r="I30" s="88">
        <f>+H30*1.5</f>
        <v>225</v>
      </c>
      <c r="J30" s="298">
        <f>+I30+I28</f>
        <v>648.29999999999995</v>
      </c>
      <c r="K30" s="215" t="s">
        <v>191</v>
      </c>
    </row>
    <row r="31" spans="1:11" x14ac:dyDescent="0.25">
      <c r="C31" s="162">
        <f>+SUM(C28:C30)</f>
        <v>3595</v>
      </c>
      <c r="D31" s="110">
        <f>+SUM(D28:D30)</f>
        <v>7038</v>
      </c>
      <c r="E31" s="57">
        <f>+C31/D31</f>
        <v>0.51079852230747369</v>
      </c>
      <c r="G31" s="89" t="s">
        <v>168</v>
      </c>
      <c r="H31" s="87">
        <v>121</v>
      </c>
      <c r="I31" s="88">
        <f>+H31*1.5</f>
        <v>181.5</v>
      </c>
      <c r="J31" s="228" t="s">
        <v>193</v>
      </c>
      <c r="K31" s="215"/>
    </row>
    <row r="32" spans="1:11" x14ac:dyDescent="0.25">
      <c r="G32" s="231" t="s">
        <v>123</v>
      </c>
      <c r="H32" s="138">
        <v>231</v>
      </c>
      <c r="I32" s="232">
        <v>346.5</v>
      </c>
      <c r="J32" s="218" t="s">
        <v>146</v>
      </c>
      <c r="K32" s="215"/>
    </row>
    <row r="33" spans="1:11" ht="15" customHeight="1" x14ac:dyDescent="0.25">
      <c r="B33" s="162" t="s">
        <v>66</v>
      </c>
      <c r="D33" s="162"/>
      <c r="G33" s="89" t="s">
        <v>170</v>
      </c>
      <c r="H33" s="87">
        <v>47</v>
      </c>
      <c r="I33" s="88">
        <f>+H33*1.5</f>
        <v>70.5</v>
      </c>
      <c r="J33" s="224" t="s">
        <v>206</v>
      </c>
      <c r="K33" s="215"/>
    </row>
    <row r="34" spans="1:11" x14ac:dyDescent="0.25">
      <c r="B34" s="76" t="s">
        <v>67</v>
      </c>
      <c r="C34" s="77" t="s">
        <v>68</v>
      </c>
      <c r="D34" s="78" t="s">
        <v>69</v>
      </c>
      <c r="E34" s="79" t="s">
        <v>33</v>
      </c>
      <c r="G34" s="89" t="s">
        <v>107</v>
      </c>
      <c r="H34" s="87">
        <v>219</v>
      </c>
      <c r="I34" s="88">
        <f>+H34*1.5</f>
        <v>328.5</v>
      </c>
      <c r="J34" s="224" t="s">
        <v>152</v>
      </c>
      <c r="K34" s="215"/>
    </row>
    <row r="35" spans="1:11" x14ac:dyDescent="0.25">
      <c r="B35" s="73">
        <v>13</v>
      </c>
      <c r="C35" s="74">
        <v>5</v>
      </c>
      <c r="D35" s="74">
        <v>19</v>
      </c>
      <c r="E35" s="75">
        <f>+SUM(B35:D35)</f>
        <v>37</v>
      </c>
      <c r="J35" s="218"/>
      <c r="K35" s="215"/>
    </row>
    <row r="36" spans="1:11" x14ac:dyDescent="0.25">
      <c r="E36" s="198" t="s">
        <v>76</v>
      </c>
      <c r="F36" s="198" t="s">
        <v>137</v>
      </c>
      <c r="H36" s="144" t="s">
        <v>124</v>
      </c>
      <c r="I36" s="220" t="s">
        <v>148</v>
      </c>
      <c r="J36" s="218" t="s">
        <v>146</v>
      </c>
      <c r="K36" s="215"/>
    </row>
    <row r="37" spans="1:11" x14ac:dyDescent="0.25">
      <c r="D37" s="162"/>
      <c r="G37" s="71" t="s">
        <v>90</v>
      </c>
      <c r="H37" s="144" t="s">
        <v>120</v>
      </c>
      <c r="I37" s="145">
        <v>0</v>
      </c>
      <c r="J37" s="218"/>
      <c r="K37" s="215"/>
    </row>
    <row r="38" spans="1:11" x14ac:dyDescent="0.25">
      <c r="A38" s="207" t="s">
        <v>70</v>
      </c>
      <c r="B38" s="199">
        <v>0</v>
      </c>
      <c r="C38" s="199">
        <v>1894</v>
      </c>
      <c r="D38" s="200">
        <v>2400</v>
      </c>
      <c r="E38" s="201">
        <f t="shared" ref="E38:E43" si="3">+C38/D38</f>
        <v>0.78916666666666668</v>
      </c>
      <c r="F38" s="201">
        <f t="shared" ref="F38:F43" si="4">+B38/24</f>
        <v>0</v>
      </c>
      <c r="G38" s="202">
        <v>7</v>
      </c>
      <c r="H38" s="144" t="s">
        <v>121</v>
      </c>
      <c r="I38" s="220" t="s">
        <v>149</v>
      </c>
      <c r="J38" s="218" t="s">
        <v>146</v>
      </c>
      <c r="K38" s="215"/>
    </row>
    <row r="39" spans="1:11" x14ac:dyDescent="0.25">
      <c r="A39" s="207" t="s">
        <v>71</v>
      </c>
      <c r="B39" s="199">
        <v>6.13</v>
      </c>
      <c r="C39" s="199">
        <v>1794</v>
      </c>
      <c r="D39" s="200">
        <v>3600</v>
      </c>
      <c r="E39" s="201">
        <f t="shared" si="3"/>
        <v>0.49833333333333335</v>
      </c>
      <c r="F39" s="201">
        <f t="shared" si="4"/>
        <v>0.25541666666666668</v>
      </c>
      <c r="G39" s="202">
        <v>12</v>
      </c>
      <c r="H39" s="71"/>
      <c r="K39" s="215"/>
    </row>
    <row r="40" spans="1:11" x14ac:dyDescent="0.25">
      <c r="A40" s="207" t="s">
        <v>72</v>
      </c>
      <c r="B40" s="199">
        <v>6.97</v>
      </c>
      <c r="C40" s="199">
        <v>0</v>
      </c>
      <c r="D40" s="200">
        <v>3900</v>
      </c>
      <c r="E40" s="201">
        <f t="shared" si="3"/>
        <v>0</v>
      </c>
      <c r="F40" s="201">
        <f t="shared" si="4"/>
        <v>0.29041666666666666</v>
      </c>
      <c r="G40" s="202">
        <v>12</v>
      </c>
      <c r="H40" s="237" t="s">
        <v>195</v>
      </c>
      <c r="J40" s="162" t="s">
        <v>177</v>
      </c>
      <c r="K40" s="215" t="s">
        <v>92</v>
      </c>
    </row>
    <row r="41" spans="1:11" x14ac:dyDescent="0.25">
      <c r="A41" s="207" t="s">
        <v>73</v>
      </c>
      <c r="B41" s="199">
        <v>9.6300000000000008</v>
      </c>
      <c r="C41" s="199">
        <v>2467</v>
      </c>
      <c r="D41" s="200">
        <v>3900</v>
      </c>
      <c r="E41" s="201">
        <f t="shared" si="3"/>
        <v>0.63256410256410256</v>
      </c>
      <c r="F41" s="201">
        <f t="shared" si="4"/>
        <v>0.40125000000000005</v>
      </c>
      <c r="G41" s="202">
        <v>12</v>
      </c>
      <c r="H41" s="301">
        <v>45925</v>
      </c>
      <c r="I41" s="129" t="s">
        <v>176</v>
      </c>
      <c r="J41" s="162">
        <v>143</v>
      </c>
      <c r="K41" s="318">
        <f>+J41*1.5</f>
        <v>214.5</v>
      </c>
    </row>
    <row r="42" spans="1:11" x14ac:dyDescent="0.25">
      <c r="A42" s="207" t="s">
        <v>74</v>
      </c>
      <c r="B42" s="199">
        <v>9.27</v>
      </c>
      <c r="C42" s="199">
        <v>2352</v>
      </c>
      <c r="D42" s="200">
        <v>3900</v>
      </c>
      <c r="E42" s="201">
        <f t="shared" si="3"/>
        <v>0.60307692307692307</v>
      </c>
      <c r="F42" s="201">
        <f t="shared" si="4"/>
        <v>0.38624999999999998</v>
      </c>
      <c r="G42" s="202">
        <v>12</v>
      </c>
      <c r="H42" s="301">
        <v>45931</v>
      </c>
      <c r="I42" s="129" t="s">
        <v>176</v>
      </c>
      <c r="J42" s="162">
        <v>47</v>
      </c>
      <c r="K42" s="318">
        <f>+J42*1.5</f>
        <v>70.5</v>
      </c>
    </row>
    <row r="43" spans="1:11" x14ac:dyDescent="0.25">
      <c r="A43" s="259" t="s">
        <v>75</v>
      </c>
      <c r="B43" s="260">
        <v>7.85</v>
      </c>
      <c r="C43" s="261">
        <v>2007</v>
      </c>
      <c r="D43" s="262">
        <v>4300</v>
      </c>
      <c r="E43" s="263">
        <f t="shared" si="3"/>
        <v>0.46674418604651163</v>
      </c>
      <c r="F43" s="201">
        <f t="shared" si="4"/>
        <v>0.32708333333333334</v>
      </c>
      <c r="G43" s="202">
        <v>16</v>
      </c>
      <c r="H43" s="301">
        <v>45939</v>
      </c>
      <c r="I43" s="129" t="s">
        <v>176</v>
      </c>
      <c r="J43" s="162">
        <v>49</v>
      </c>
      <c r="K43" s="318">
        <f>+J43*1.5</f>
        <v>73.5</v>
      </c>
    </row>
    <row r="44" spans="1:11" x14ac:dyDescent="0.25">
      <c r="C44" s="71" t="s">
        <v>83</v>
      </c>
      <c r="D44" s="72" t="s">
        <v>79</v>
      </c>
      <c r="I44" s="129"/>
      <c r="K44" s="215"/>
    </row>
    <row r="45" spans="1:11" x14ac:dyDescent="0.25">
      <c r="B45" s="162" t="s">
        <v>78</v>
      </c>
      <c r="H45" s="301"/>
      <c r="K45" s="198"/>
    </row>
    <row r="46" spans="1:11" x14ac:dyDescent="0.25">
      <c r="C46" s="71">
        <v>1</v>
      </c>
      <c r="D46" s="225" t="s">
        <v>153</v>
      </c>
      <c r="H46" s="237" t="s">
        <v>197</v>
      </c>
      <c r="J46" s="162" t="s">
        <v>157</v>
      </c>
      <c r="K46" s="215" t="s">
        <v>92</v>
      </c>
    </row>
    <row r="47" spans="1:11" x14ac:dyDescent="0.25">
      <c r="C47" s="71">
        <v>2</v>
      </c>
      <c r="D47" s="225" t="s">
        <v>153</v>
      </c>
      <c r="H47" s="301">
        <v>45929</v>
      </c>
      <c r="I47" s="129" t="s">
        <v>176</v>
      </c>
      <c r="J47" s="162">
        <v>5120</v>
      </c>
      <c r="K47" s="318">
        <f>+J47*0.025</f>
        <v>128</v>
      </c>
    </row>
    <row r="48" spans="1:11" x14ac:dyDescent="0.25">
      <c r="C48" s="71">
        <v>3</v>
      </c>
      <c r="D48" s="225" t="s">
        <v>154</v>
      </c>
      <c r="H48" s="301">
        <v>45939</v>
      </c>
      <c r="I48" s="129" t="s">
        <v>176</v>
      </c>
      <c r="J48" s="162">
        <v>430</v>
      </c>
      <c r="K48" s="318">
        <f>+J48*0.025</f>
        <v>10.75</v>
      </c>
    </row>
    <row r="49" spans="3:11" x14ac:dyDescent="0.25">
      <c r="C49" s="71">
        <v>4</v>
      </c>
      <c r="D49" s="108">
        <v>0</v>
      </c>
      <c r="H49" s="301">
        <v>45940</v>
      </c>
      <c r="I49" s="129" t="s">
        <v>175</v>
      </c>
      <c r="J49" s="162">
        <v>1080</v>
      </c>
      <c r="K49" s="318">
        <f>+J49*0.025</f>
        <v>27</v>
      </c>
    </row>
    <row r="50" spans="3:11" x14ac:dyDescent="0.25">
      <c r="C50" s="71">
        <v>5</v>
      </c>
      <c r="D50" s="108">
        <v>6</v>
      </c>
      <c r="H50" s="301"/>
      <c r="I50" s="129"/>
      <c r="K50" s="215"/>
    </row>
    <row r="51" spans="3:11" x14ac:dyDescent="0.25">
      <c r="C51" s="71">
        <v>6</v>
      </c>
      <c r="D51" s="108">
        <v>1</v>
      </c>
    </row>
    <row r="52" spans="3:11" x14ac:dyDescent="0.25">
      <c r="C52" s="71">
        <v>7</v>
      </c>
      <c r="D52" s="225" t="s">
        <v>153</v>
      </c>
    </row>
    <row r="53" spans="3:11" x14ac:dyDescent="0.25">
      <c r="C53" s="71">
        <v>8</v>
      </c>
      <c r="D53" s="225" t="s">
        <v>153</v>
      </c>
      <c r="H53" s="237" t="s">
        <v>205</v>
      </c>
      <c r="J53" s="162" t="s">
        <v>177</v>
      </c>
      <c r="K53" s="215" t="s">
        <v>92</v>
      </c>
    </row>
    <row r="54" spans="3:11" x14ac:dyDescent="0.25">
      <c r="H54" s="301">
        <v>45942</v>
      </c>
      <c r="I54" s="129" t="s">
        <v>176</v>
      </c>
      <c r="J54" s="162">
        <v>47</v>
      </c>
      <c r="K54" s="318">
        <f>+J54*1.5</f>
        <v>70.5</v>
      </c>
    </row>
    <row r="55" spans="3:11" x14ac:dyDescent="0.25">
      <c r="I55" s="129"/>
      <c r="K55" s="215"/>
    </row>
    <row r="56" spans="3:11" x14ac:dyDescent="0.25">
      <c r="D56" s="93"/>
      <c r="H56" s="237" t="s">
        <v>167</v>
      </c>
      <c r="J56" s="162" t="s">
        <v>157</v>
      </c>
      <c r="K56" s="215" t="s">
        <v>92</v>
      </c>
    </row>
    <row r="57" spans="3:11" x14ac:dyDescent="0.25">
      <c r="D57" s="93"/>
      <c r="H57" s="301">
        <v>45949</v>
      </c>
      <c r="I57" s="129" t="s">
        <v>207</v>
      </c>
      <c r="J57" s="68">
        <v>383</v>
      </c>
      <c r="K57" s="318">
        <f>+J57*1.5</f>
        <v>574.5</v>
      </c>
    </row>
    <row r="58" spans="3:11" x14ac:dyDescent="0.25">
      <c r="H58" s="301">
        <v>45950</v>
      </c>
      <c r="I58" s="129" t="s">
        <v>175</v>
      </c>
      <c r="J58" s="68">
        <v>99</v>
      </c>
      <c r="K58" s="318">
        <f>+J58*1.5</f>
        <v>148.5</v>
      </c>
    </row>
    <row r="59" spans="3:11" x14ac:dyDescent="0.25">
      <c r="H59" s="215" t="s">
        <v>209</v>
      </c>
      <c r="I59" s="162" t="s">
        <v>208</v>
      </c>
      <c r="J59" s="162">
        <f>68-26</f>
        <v>42</v>
      </c>
      <c r="K59" s="318">
        <f>+J59*1.5</f>
        <v>63</v>
      </c>
    </row>
    <row r="61" spans="3:11" x14ac:dyDescent="0.25">
      <c r="K61" s="162">
        <f>+K59+K58+K57</f>
        <v>786</v>
      </c>
    </row>
  </sheetData>
  <protectedRanges>
    <protectedRange password="D554" sqref="I36:I38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opLeftCell="A21" workbookViewId="0">
      <selection activeCell="J32" sqref="J32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3.28515625" style="163" customWidth="1"/>
    <col min="5" max="5" width="11.85546875" style="162" bestFit="1" customWidth="1"/>
    <col min="6" max="7" width="11.42578125" style="162"/>
    <col min="8" max="8" width="11.85546875" style="162" bestFit="1" customWidth="1"/>
    <col min="9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25"/>
      <c r="C4" s="325"/>
      <c r="D4" s="165">
        <f>D23</f>
        <v>9354.4139999999989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6228</v>
      </c>
      <c r="D5" s="172">
        <v>265.04400000000004</v>
      </c>
      <c r="E5" s="80">
        <f>+D5/$D$4</f>
        <v>2.8333575999522801E-2</v>
      </c>
      <c r="F5" s="58" t="s">
        <v>51</v>
      </c>
      <c r="G5" s="59">
        <v>45950</v>
      </c>
      <c r="H5" s="190">
        <v>6932</v>
      </c>
      <c r="I5" s="141">
        <v>6535.6479999999992</v>
      </c>
      <c r="J5" s="60">
        <f t="shared" ref="J5:J12" si="0">+I5/H5</f>
        <v>0.94282285054818227</v>
      </c>
    </row>
    <row r="6" spans="1:10" ht="15" customHeight="1" x14ac:dyDescent="0.25">
      <c r="A6" s="164"/>
      <c r="B6" s="169" t="s">
        <v>10</v>
      </c>
      <c r="C6" s="177">
        <v>12410</v>
      </c>
      <c r="D6" s="173">
        <v>529.33000000000004</v>
      </c>
      <c r="E6" s="80">
        <f t="shared" ref="E6:E23" si="1">+D6/$D$4</f>
        <v>5.6586120734019266E-2</v>
      </c>
      <c r="F6" s="58" t="s">
        <v>52</v>
      </c>
      <c r="G6" s="59">
        <v>45951</v>
      </c>
      <c r="H6" s="190">
        <v>9157</v>
      </c>
      <c r="I6" s="141">
        <v>9354.4139999999989</v>
      </c>
      <c r="J6" s="60">
        <f t="shared" si="0"/>
        <v>1.0215588074696953</v>
      </c>
    </row>
    <row r="7" spans="1:10" ht="15" customHeight="1" x14ac:dyDescent="0.25">
      <c r="A7" s="164"/>
      <c r="B7" s="169" t="s">
        <v>35</v>
      </c>
      <c r="C7" s="177">
        <v>24055</v>
      </c>
      <c r="D7" s="173">
        <v>1025.3280000000002</v>
      </c>
      <c r="E7" s="80">
        <f t="shared" si="1"/>
        <v>0.10960900383498104</v>
      </c>
      <c r="F7" s="58" t="s">
        <v>53</v>
      </c>
      <c r="G7" s="59">
        <v>45952</v>
      </c>
      <c r="H7" s="190">
        <v>8632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2240</v>
      </c>
      <c r="D8" s="173">
        <v>95.53</v>
      </c>
      <c r="E8" s="80">
        <f t="shared" si="1"/>
        <v>1.0212291224228478E-2</v>
      </c>
      <c r="F8" s="58" t="s">
        <v>54</v>
      </c>
      <c r="G8" s="59">
        <v>45953</v>
      </c>
      <c r="H8" s="190">
        <v>8339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47466</v>
      </c>
      <c r="D9" s="173">
        <v>2022.7399999999989</v>
      </c>
      <c r="E9" s="245">
        <f t="shared" si="1"/>
        <v>0.21623374804664397</v>
      </c>
      <c r="F9" s="58" t="s">
        <v>55</v>
      </c>
      <c r="G9" s="59">
        <v>45954</v>
      </c>
      <c r="H9" s="190">
        <v>9105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49247</v>
      </c>
      <c r="D10" s="173">
        <v>2099.9160000000006</v>
      </c>
      <c r="E10" s="245">
        <f t="shared" si="1"/>
        <v>0.22448397088262298</v>
      </c>
      <c r="F10" s="58" t="s">
        <v>56</v>
      </c>
      <c r="G10" s="59">
        <v>45955</v>
      </c>
      <c r="H10" s="190">
        <v>7143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10605</v>
      </c>
      <c r="D11" s="173">
        <v>453.20600000000002</v>
      </c>
      <c r="E11" s="80">
        <f t="shared" si="1"/>
        <v>4.8448358176150862E-2</v>
      </c>
      <c r="F11" s="58" t="s">
        <v>57</v>
      </c>
      <c r="G11" s="59">
        <v>45956</v>
      </c>
      <c r="H11" s="190">
        <v>4609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44</v>
      </c>
      <c r="C12" s="177">
        <v>65</v>
      </c>
      <c r="D12" s="173">
        <v>98.22</v>
      </c>
      <c r="E12" s="80">
        <f t="shared" si="1"/>
        <v>1.0499856003807402E-2</v>
      </c>
      <c r="H12" s="139">
        <f>+SUM(H5:H11)</f>
        <v>53917</v>
      </c>
      <c r="I12" s="142">
        <f>+SUM(I5:I11)</f>
        <v>15890.061999999998</v>
      </c>
      <c r="J12" s="140">
        <f t="shared" si="0"/>
        <v>0.29471339280746328</v>
      </c>
    </row>
    <row r="13" spans="1:10" ht="15" customHeight="1" x14ac:dyDescent="0.25">
      <c r="A13" s="164"/>
      <c r="B13" s="169" t="s">
        <v>39</v>
      </c>
      <c r="C13" s="177">
        <v>483</v>
      </c>
      <c r="D13" s="173">
        <v>728.78000000000009</v>
      </c>
      <c r="E13" s="80">
        <f t="shared" si="1"/>
        <v>7.7907605970828339E-2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253</v>
      </c>
      <c r="D14" s="173">
        <v>381.86</v>
      </c>
      <c r="E14" s="80">
        <f t="shared" si="1"/>
        <v>4.0821370531601453E-2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194</v>
      </c>
      <c r="C15" s="177">
        <v>133</v>
      </c>
      <c r="D15" s="173">
        <v>200.72000000000003</v>
      </c>
      <c r="E15" s="80">
        <f t="shared" si="1"/>
        <v>2.1457250021219936E-2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82</v>
      </c>
      <c r="D16" s="173">
        <v>123.78</v>
      </c>
      <c r="E16" s="80">
        <f t="shared" si="1"/>
        <v>1.3232255916832419E-2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276</v>
      </c>
      <c r="D17" s="173">
        <v>417.18000000000006</v>
      </c>
      <c r="E17" s="80">
        <f t="shared" si="1"/>
        <v>4.4597128157894246E-2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88</v>
      </c>
      <c r="C18" s="177">
        <v>40</v>
      </c>
      <c r="D18" s="173">
        <v>61.34</v>
      </c>
      <c r="E18" s="80">
        <f t="shared" si="1"/>
        <v>6.5573321856398498E-3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40</v>
      </c>
      <c r="C19" s="177"/>
      <c r="D19" s="173">
        <v>574.2299999999999</v>
      </c>
      <c r="E19" s="80">
        <f t="shared" si="1"/>
        <v>6.1385993820671177E-2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184</v>
      </c>
      <c r="C20" s="177"/>
      <c r="D20" s="173">
        <v>65.289999999999992</v>
      </c>
      <c r="E20" s="80">
        <f t="shared" si="1"/>
        <v>6.9795927355791607E-3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9</v>
      </c>
      <c r="C21" s="177"/>
      <c r="D21" s="173">
        <v>91.86</v>
      </c>
      <c r="E21" s="80">
        <f t="shared" si="1"/>
        <v>9.8199630677025859E-3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A22" s="164"/>
      <c r="B22" s="169" t="s">
        <v>46</v>
      </c>
      <c r="C22" s="177"/>
      <c r="D22" s="173">
        <v>120.06</v>
      </c>
      <c r="E22" s="80">
        <f t="shared" si="1"/>
        <v>1.2834582690054131E-2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thickBot="1" x14ac:dyDescent="0.3">
      <c r="B23" s="178" t="s">
        <v>0</v>
      </c>
      <c r="C23" s="170"/>
      <c r="D23" s="171">
        <f>SUM(D5:D22)</f>
        <v>9354.4139999999989</v>
      </c>
      <c r="E23" s="80">
        <f t="shared" si="1"/>
        <v>1</v>
      </c>
      <c r="F23" s="112" t="s">
        <v>161</v>
      </c>
      <c r="G23" s="190">
        <v>237591.573</v>
      </c>
      <c r="H23" s="119">
        <f>+D24</f>
        <v>164929.45499999996</v>
      </c>
      <c r="I23" s="98">
        <f t="shared" si="2"/>
        <v>0.69417215820192391</v>
      </c>
    </row>
    <row r="24" spans="1:11" ht="15" customHeight="1" thickBot="1" x14ac:dyDescent="0.3">
      <c r="B24" s="166" t="s">
        <v>1</v>
      </c>
      <c r="C24" s="167"/>
      <c r="D24" s="233">
        <v>164929.45499999996</v>
      </c>
      <c r="E24" s="313">
        <f>+D24/E2</f>
        <v>0.69755328581800224</v>
      </c>
      <c r="F24" s="163"/>
    </row>
    <row r="25" spans="1:11" ht="15" customHeight="1" x14ac:dyDescent="0.25">
      <c r="D25" s="108">
        <f>+(E2/31)*21</f>
        <v>160168.98962633571</v>
      </c>
      <c r="E25" s="314">
        <f>+D25/E2</f>
        <v>0.67741935483870974</v>
      </c>
      <c r="K25" s="215"/>
    </row>
    <row r="26" spans="1:11" x14ac:dyDescent="0.25">
      <c r="D26" s="183">
        <f>+D24-D25</f>
        <v>4760.4653736642504</v>
      </c>
      <c r="E26" s="99">
        <f>E24-E25</f>
        <v>2.0133930979292503E-2</v>
      </c>
      <c r="K26" s="215"/>
    </row>
    <row r="27" spans="1:11" x14ac:dyDescent="0.25">
      <c r="G27" s="300" t="s">
        <v>190</v>
      </c>
      <c r="H27" s="87">
        <v>85</v>
      </c>
      <c r="I27" s="88">
        <f>+H27*1.5</f>
        <v>127.5</v>
      </c>
      <c r="K27" s="215"/>
    </row>
    <row r="28" spans="1:11" x14ac:dyDescent="0.25">
      <c r="B28" s="66" t="s">
        <v>60</v>
      </c>
      <c r="D28" s="109" t="s">
        <v>105</v>
      </c>
      <c r="E28" s="109" t="s">
        <v>80</v>
      </c>
      <c r="G28" s="163"/>
      <c r="H28" s="237" t="s">
        <v>157</v>
      </c>
      <c r="I28" s="237" t="s">
        <v>92</v>
      </c>
      <c r="J28" s="71"/>
      <c r="K28" s="215"/>
    </row>
    <row r="29" spans="1:11" x14ac:dyDescent="0.25">
      <c r="B29" s="162" t="s">
        <v>61</v>
      </c>
      <c r="C29" s="162">
        <v>832</v>
      </c>
      <c r="D29" s="108">
        <v>2142</v>
      </c>
      <c r="E29" s="57">
        <f>+C29/D29</f>
        <v>0.38842203548085902</v>
      </c>
      <c r="G29" s="86" t="s">
        <v>86</v>
      </c>
      <c r="H29" s="87">
        <f>15438+414+1080+654</f>
        <v>17586</v>
      </c>
      <c r="I29" s="88">
        <f>+H29*0.025</f>
        <v>439.65000000000003</v>
      </c>
      <c r="J29" s="224"/>
      <c r="K29" s="215"/>
    </row>
    <row r="30" spans="1:11" ht="15" customHeight="1" x14ac:dyDescent="0.25">
      <c r="B30" s="162" t="s">
        <v>62</v>
      </c>
      <c r="C30" s="162">
        <v>948</v>
      </c>
      <c r="D30" s="108">
        <v>1890</v>
      </c>
      <c r="E30" s="57">
        <f>+C30/D30</f>
        <v>0.50158730158730158</v>
      </c>
      <c r="G30" s="86" t="s">
        <v>171</v>
      </c>
      <c r="H30" s="87">
        <v>12</v>
      </c>
      <c r="I30" s="88">
        <v>0.30000000000000004</v>
      </c>
      <c r="J30" s="297" t="s">
        <v>188</v>
      </c>
      <c r="K30" s="215"/>
    </row>
    <row r="31" spans="1:11" ht="15" customHeight="1" x14ac:dyDescent="0.25">
      <c r="B31" s="162" t="s">
        <v>63</v>
      </c>
      <c r="C31" s="67">
        <v>858</v>
      </c>
      <c r="D31" s="108">
        <v>3006</v>
      </c>
      <c r="E31" s="57">
        <f>+C31/D31</f>
        <v>0.28542914171656686</v>
      </c>
      <c r="G31" s="89" t="s">
        <v>169</v>
      </c>
      <c r="H31" s="87">
        <v>164</v>
      </c>
      <c r="I31" s="88">
        <f>+H31*1.5</f>
        <v>246</v>
      </c>
      <c r="J31" s="298">
        <f>+I31+I29</f>
        <v>685.65000000000009</v>
      </c>
      <c r="K31" s="215" t="s">
        <v>191</v>
      </c>
    </row>
    <row r="32" spans="1:11" x14ac:dyDescent="0.25">
      <c r="C32" s="162">
        <f>+SUM(C29:C31)</f>
        <v>2638</v>
      </c>
      <c r="D32" s="110">
        <f>+SUM(D29:D31)</f>
        <v>7038</v>
      </c>
      <c r="E32" s="57">
        <f>+C32/D32</f>
        <v>0.37482239272520601</v>
      </c>
      <c r="G32" s="89" t="s">
        <v>168</v>
      </c>
      <c r="H32" s="87">
        <v>24</v>
      </c>
      <c r="I32" s="88">
        <f>+H32*1.5</f>
        <v>36</v>
      </c>
      <c r="J32" s="228" t="s">
        <v>193</v>
      </c>
      <c r="K32" s="215"/>
    </row>
    <row r="33" spans="1:11" ht="15" customHeight="1" x14ac:dyDescent="0.25">
      <c r="G33" s="231" t="s">
        <v>123</v>
      </c>
      <c r="H33" s="138">
        <v>231</v>
      </c>
      <c r="I33" s="232">
        <v>346.5</v>
      </c>
      <c r="J33" s="218" t="s">
        <v>146</v>
      </c>
      <c r="K33" s="215"/>
    </row>
    <row r="34" spans="1:11" ht="15" customHeight="1" x14ac:dyDescent="0.25">
      <c r="B34" s="162" t="s">
        <v>66</v>
      </c>
      <c r="D34" s="162"/>
      <c r="G34" s="89" t="s">
        <v>170</v>
      </c>
      <c r="H34" s="87">
        <v>47</v>
      </c>
      <c r="I34" s="88">
        <f>+H34*1.5</f>
        <v>70.5</v>
      </c>
      <c r="J34" s="224" t="s">
        <v>206</v>
      </c>
      <c r="K34" s="215"/>
    </row>
    <row r="35" spans="1:11" x14ac:dyDescent="0.25">
      <c r="B35" s="76" t="s">
        <v>67</v>
      </c>
      <c r="C35" s="77" t="s">
        <v>68</v>
      </c>
      <c r="D35" s="78" t="s">
        <v>69</v>
      </c>
      <c r="E35" s="79" t="s">
        <v>33</v>
      </c>
      <c r="G35" s="89" t="s">
        <v>107</v>
      </c>
      <c r="H35" s="87">
        <v>219</v>
      </c>
      <c r="I35" s="88">
        <f>+H35*1.5</f>
        <v>328.5</v>
      </c>
      <c r="J35" s="224" t="s">
        <v>152</v>
      </c>
      <c r="K35" s="215"/>
    </row>
    <row r="36" spans="1:11" x14ac:dyDescent="0.25">
      <c r="B36" s="73">
        <v>21</v>
      </c>
      <c r="C36" s="74">
        <v>5</v>
      </c>
      <c r="D36" s="74">
        <v>30</v>
      </c>
      <c r="E36" s="75">
        <f>+SUM(B36:D36)</f>
        <v>56</v>
      </c>
      <c r="J36" s="218"/>
      <c r="K36" s="215"/>
    </row>
    <row r="37" spans="1:11" x14ac:dyDescent="0.25">
      <c r="E37" s="198" t="s">
        <v>76</v>
      </c>
      <c r="F37" s="198" t="s">
        <v>137</v>
      </c>
      <c r="H37" s="144" t="s">
        <v>124</v>
      </c>
      <c r="I37" s="220" t="s">
        <v>148</v>
      </c>
      <c r="J37" s="218" t="s">
        <v>146</v>
      </c>
      <c r="K37" s="215"/>
    </row>
    <row r="38" spans="1:11" x14ac:dyDescent="0.25">
      <c r="D38" s="162"/>
      <c r="G38" s="71" t="s">
        <v>90</v>
      </c>
      <c r="H38" s="144" t="s">
        <v>120</v>
      </c>
      <c r="I38" s="145">
        <v>0</v>
      </c>
      <c r="J38" s="218"/>
      <c r="K38" s="215"/>
    </row>
    <row r="39" spans="1:11" x14ac:dyDescent="0.25">
      <c r="A39" s="207" t="s">
        <v>70</v>
      </c>
      <c r="B39" s="199">
        <v>0</v>
      </c>
      <c r="C39" s="199">
        <v>1894</v>
      </c>
      <c r="D39" s="200">
        <v>2400</v>
      </c>
      <c r="E39" s="201">
        <f t="shared" ref="E39:E44" si="3">+C39/D39</f>
        <v>0.78916666666666668</v>
      </c>
      <c r="F39" s="201">
        <f t="shared" ref="F39:F44" si="4">+B39/24</f>
        <v>0</v>
      </c>
      <c r="G39" s="202">
        <v>7</v>
      </c>
      <c r="H39" s="144" t="s">
        <v>121</v>
      </c>
      <c r="I39" s="220" t="s">
        <v>149</v>
      </c>
      <c r="J39" s="218" t="s">
        <v>146</v>
      </c>
      <c r="K39" s="215"/>
    </row>
    <row r="40" spans="1:11" x14ac:dyDescent="0.25">
      <c r="A40" s="207" t="s">
        <v>71</v>
      </c>
      <c r="B40" s="199">
        <v>10.92</v>
      </c>
      <c r="C40" s="199">
        <v>1350</v>
      </c>
      <c r="D40" s="200">
        <v>3600</v>
      </c>
      <c r="E40" s="201">
        <f t="shared" si="3"/>
        <v>0.375</v>
      </c>
      <c r="F40" s="201">
        <f t="shared" si="4"/>
        <v>0.45500000000000002</v>
      </c>
      <c r="G40" s="202">
        <v>12</v>
      </c>
      <c r="H40" s="71"/>
      <c r="K40" s="215"/>
    </row>
    <row r="41" spans="1:11" x14ac:dyDescent="0.25">
      <c r="A41" s="207" t="s">
        <v>72</v>
      </c>
      <c r="B41" s="199">
        <v>9.41</v>
      </c>
      <c r="C41" s="199">
        <v>0</v>
      </c>
      <c r="D41" s="200">
        <v>3900</v>
      </c>
      <c r="E41" s="201">
        <f t="shared" si="3"/>
        <v>0</v>
      </c>
      <c r="F41" s="201">
        <f t="shared" si="4"/>
        <v>0.39208333333333334</v>
      </c>
      <c r="G41" s="202">
        <v>12</v>
      </c>
      <c r="H41" s="237" t="s">
        <v>195</v>
      </c>
      <c r="J41" s="162" t="s">
        <v>177</v>
      </c>
      <c r="K41" s="215" t="s">
        <v>92</v>
      </c>
    </row>
    <row r="42" spans="1:11" x14ac:dyDescent="0.25">
      <c r="A42" s="207" t="s">
        <v>73</v>
      </c>
      <c r="B42" s="199">
        <v>9.9600000000000009</v>
      </c>
      <c r="C42" s="199">
        <v>2817</v>
      </c>
      <c r="D42" s="200">
        <v>3900</v>
      </c>
      <c r="E42" s="201">
        <f t="shared" si="3"/>
        <v>0.72230769230769232</v>
      </c>
      <c r="F42" s="201">
        <f t="shared" si="4"/>
        <v>0.41500000000000004</v>
      </c>
      <c r="G42" s="202">
        <v>12</v>
      </c>
      <c r="H42" s="301">
        <v>45925</v>
      </c>
      <c r="I42" s="129" t="s">
        <v>176</v>
      </c>
      <c r="J42" s="162">
        <v>143</v>
      </c>
      <c r="K42" s="318">
        <f>+J42*1.5</f>
        <v>214.5</v>
      </c>
    </row>
    <row r="43" spans="1:11" x14ac:dyDescent="0.25">
      <c r="A43" s="207" t="s">
        <v>74</v>
      </c>
      <c r="B43" s="199">
        <v>15.68</v>
      </c>
      <c r="C43" s="199">
        <v>2463</v>
      </c>
      <c r="D43" s="200">
        <v>3900</v>
      </c>
      <c r="E43" s="201">
        <f t="shared" si="3"/>
        <v>0.63153846153846149</v>
      </c>
      <c r="F43" s="201">
        <f t="shared" si="4"/>
        <v>0.65333333333333332</v>
      </c>
      <c r="G43" s="202">
        <v>12</v>
      </c>
      <c r="H43" s="301">
        <v>45931</v>
      </c>
      <c r="I43" s="129" t="s">
        <v>176</v>
      </c>
      <c r="J43" s="162">
        <v>47</v>
      </c>
      <c r="K43" s="318">
        <f>+J43*1.5</f>
        <v>70.5</v>
      </c>
    </row>
    <row r="44" spans="1:11" x14ac:dyDescent="0.25">
      <c r="A44" s="259" t="s">
        <v>75</v>
      </c>
      <c r="B44" s="260">
        <v>13.49</v>
      </c>
      <c r="C44" s="261">
        <v>2910</v>
      </c>
      <c r="D44" s="262">
        <v>4300</v>
      </c>
      <c r="E44" s="263">
        <f t="shared" si="3"/>
        <v>0.67674418604651165</v>
      </c>
      <c r="F44" s="201">
        <f t="shared" si="4"/>
        <v>0.56208333333333338</v>
      </c>
      <c r="G44" s="202">
        <v>16</v>
      </c>
      <c r="H44" s="301">
        <v>45939</v>
      </c>
      <c r="I44" s="129" t="s">
        <v>176</v>
      </c>
      <c r="J44" s="162">
        <v>49</v>
      </c>
      <c r="K44" s="318">
        <f>+J44*1.5</f>
        <v>73.5</v>
      </c>
    </row>
    <row r="45" spans="1:11" x14ac:dyDescent="0.25">
      <c r="C45" s="71" t="s">
        <v>83</v>
      </c>
      <c r="D45" s="72" t="s">
        <v>79</v>
      </c>
      <c r="H45" s="301">
        <v>45952</v>
      </c>
      <c r="I45" s="129" t="s">
        <v>175</v>
      </c>
      <c r="J45" s="162">
        <v>45</v>
      </c>
      <c r="K45" s="318">
        <f>+J45*1.5</f>
        <v>67.5</v>
      </c>
    </row>
    <row r="46" spans="1:11" x14ac:dyDescent="0.25">
      <c r="B46" s="162" t="s">
        <v>78</v>
      </c>
      <c r="H46" s="301"/>
      <c r="K46" s="198"/>
    </row>
    <row r="47" spans="1:11" x14ac:dyDescent="0.25">
      <c r="C47" s="71">
        <v>1</v>
      </c>
      <c r="D47" s="225" t="s">
        <v>153</v>
      </c>
      <c r="H47" s="237" t="s">
        <v>197</v>
      </c>
      <c r="J47" s="162" t="s">
        <v>157</v>
      </c>
      <c r="K47" s="215" t="s">
        <v>92</v>
      </c>
    </row>
    <row r="48" spans="1:11" x14ac:dyDescent="0.25">
      <c r="C48" s="71">
        <v>2</v>
      </c>
      <c r="D48" s="225" t="s">
        <v>153</v>
      </c>
      <c r="H48" s="301">
        <v>45929</v>
      </c>
      <c r="I48" s="129" t="s">
        <v>176</v>
      </c>
      <c r="J48" s="162">
        <v>5120</v>
      </c>
      <c r="K48" s="318">
        <f>+J48*0.025</f>
        <v>128</v>
      </c>
    </row>
    <row r="49" spans="3:11" x14ac:dyDescent="0.25">
      <c r="C49" s="71">
        <v>3</v>
      </c>
      <c r="D49" s="225" t="s">
        <v>154</v>
      </c>
      <c r="H49" s="301">
        <v>45939</v>
      </c>
      <c r="I49" s="129" t="s">
        <v>176</v>
      </c>
      <c r="J49" s="162">
        <v>430</v>
      </c>
      <c r="K49" s="318">
        <f>+J49*0.025</f>
        <v>10.75</v>
      </c>
    </row>
    <row r="50" spans="3:11" x14ac:dyDescent="0.25">
      <c r="C50" s="71">
        <v>4</v>
      </c>
      <c r="D50" s="108">
        <v>0</v>
      </c>
      <c r="H50" s="301">
        <v>45940</v>
      </c>
      <c r="I50" s="129" t="s">
        <v>175</v>
      </c>
      <c r="J50" s="162">
        <v>1080</v>
      </c>
      <c r="K50" s="318">
        <f>+J50*0.025</f>
        <v>27</v>
      </c>
    </row>
    <row r="51" spans="3:11" x14ac:dyDescent="0.25">
      <c r="C51" s="71">
        <v>5</v>
      </c>
      <c r="D51" s="108">
        <v>13</v>
      </c>
      <c r="H51" s="301"/>
      <c r="I51" s="129"/>
      <c r="K51" s="215"/>
    </row>
    <row r="52" spans="3:11" x14ac:dyDescent="0.25">
      <c r="C52" s="71">
        <v>6</v>
      </c>
      <c r="D52" s="108">
        <v>1</v>
      </c>
    </row>
    <row r="53" spans="3:11" x14ac:dyDescent="0.25">
      <c r="C53" s="71">
        <v>7</v>
      </c>
      <c r="D53" s="225" t="s">
        <v>153</v>
      </c>
    </row>
    <row r="54" spans="3:11" x14ac:dyDescent="0.25">
      <c r="C54" s="71">
        <v>8</v>
      </c>
      <c r="D54" s="225" t="s">
        <v>153</v>
      </c>
      <c r="H54" s="237" t="s">
        <v>205</v>
      </c>
      <c r="J54" s="162" t="s">
        <v>177</v>
      </c>
      <c r="K54" s="215" t="s">
        <v>92</v>
      </c>
    </row>
    <row r="55" spans="3:11" x14ac:dyDescent="0.25">
      <c r="H55" s="301">
        <v>45942</v>
      </c>
      <c r="I55" s="129" t="s">
        <v>176</v>
      </c>
      <c r="J55" s="162">
        <v>47</v>
      </c>
      <c r="K55" s="318">
        <f>+J55*1.5</f>
        <v>70.5</v>
      </c>
    </row>
    <row r="56" spans="3:11" x14ac:dyDescent="0.25">
      <c r="I56" s="129"/>
      <c r="K56" s="215"/>
    </row>
    <row r="57" spans="3:11" x14ac:dyDescent="0.25">
      <c r="D57" s="93"/>
      <c r="H57" s="237" t="s">
        <v>167</v>
      </c>
      <c r="J57" s="162" t="s">
        <v>157</v>
      </c>
      <c r="K57" s="215" t="s">
        <v>92</v>
      </c>
    </row>
    <row r="58" spans="3:11" x14ac:dyDescent="0.25">
      <c r="D58" s="93"/>
      <c r="H58" s="301">
        <v>45949</v>
      </c>
      <c r="I58" s="129" t="s">
        <v>207</v>
      </c>
      <c r="J58" s="68">
        <v>383</v>
      </c>
      <c r="K58" s="318">
        <f>+J58*1.5</f>
        <v>574.5</v>
      </c>
    </row>
    <row r="59" spans="3:11" x14ac:dyDescent="0.25">
      <c r="H59" s="301">
        <v>45950</v>
      </c>
      <c r="I59" s="129" t="s">
        <v>175</v>
      </c>
      <c r="J59" s="68">
        <v>99</v>
      </c>
      <c r="K59" s="318">
        <f>+J59*1.5</f>
        <v>148.5</v>
      </c>
    </row>
    <row r="60" spans="3:11" x14ac:dyDescent="0.25">
      <c r="H60" s="215" t="s">
        <v>209</v>
      </c>
      <c r="I60" s="162" t="s">
        <v>208</v>
      </c>
      <c r="J60" s="162">
        <f>68-26</f>
        <v>42</v>
      </c>
      <c r="K60" s="318">
        <f>+J60*1.5</f>
        <v>63</v>
      </c>
    </row>
  </sheetData>
  <protectedRanges>
    <protectedRange password="D554" sqref="I37:I39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opLeftCell="A54" workbookViewId="0">
      <selection activeCell="A26" sqref="A26:K71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3.28515625" style="163" customWidth="1"/>
    <col min="5" max="16384" width="11.42578125" style="162"/>
  </cols>
  <sheetData>
    <row r="1" spans="1:10" ht="15" customHeight="1" x14ac:dyDescent="0.25">
      <c r="A1" s="161"/>
      <c r="B1" s="518">
        <v>45952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26"/>
      <c r="C4" s="326"/>
      <c r="D4" s="165">
        <f>D24</f>
        <v>9797.003999999999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2280</v>
      </c>
      <c r="D5" s="172">
        <v>97.16</v>
      </c>
      <c r="E5" s="80">
        <f>+D5/$D$4</f>
        <v>9.9173175799458693E-3</v>
      </c>
      <c r="F5" s="58" t="s">
        <v>51</v>
      </c>
      <c r="G5" s="59">
        <v>45950</v>
      </c>
      <c r="H5" s="190">
        <v>6932</v>
      </c>
      <c r="I5" s="141">
        <v>6535.6479999999992</v>
      </c>
      <c r="J5" s="60">
        <f t="shared" ref="J5:J12" si="0">+I5/H5</f>
        <v>0.94282285054818227</v>
      </c>
    </row>
    <row r="6" spans="1:10" ht="15" customHeight="1" x14ac:dyDescent="0.25">
      <c r="A6" s="164"/>
      <c r="B6" s="169" t="s">
        <v>10</v>
      </c>
      <c r="C6" s="177">
        <v>14026</v>
      </c>
      <c r="D6" s="173">
        <v>598.71199999999999</v>
      </c>
      <c r="E6" s="80">
        <f t="shared" ref="E6:E24" si="1">+D6/$D$4</f>
        <v>6.1111743957642566E-2</v>
      </c>
      <c r="F6" s="58" t="s">
        <v>52</v>
      </c>
      <c r="G6" s="59">
        <v>45951</v>
      </c>
      <c r="H6" s="190">
        <v>9157</v>
      </c>
      <c r="I6" s="141">
        <v>9354.4139999999989</v>
      </c>
      <c r="J6" s="60">
        <f t="shared" si="0"/>
        <v>1.0215588074696953</v>
      </c>
    </row>
    <row r="7" spans="1:10" ht="15" customHeight="1" x14ac:dyDescent="0.25">
      <c r="A7" s="164"/>
      <c r="B7" s="169" t="s">
        <v>35</v>
      </c>
      <c r="C7" s="177">
        <v>20121</v>
      </c>
      <c r="D7" s="173">
        <v>857.60500000000002</v>
      </c>
      <c r="E7" s="80">
        <f t="shared" si="1"/>
        <v>8.7537475742584178E-2</v>
      </c>
      <c r="F7" s="58" t="s">
        <v>53</v>
      </c>
      <c r="G7" s="59">
        <v>45952</v>
      </c>
      <c r="H7" s="190">
        <v>8632</v>
      </c>
      <c r="I7" s="141">
        <v>9797.003999999999</v>
      </c>
      <c r="J7" s="60">
        <f t="shared" si="0"/>
        <v>1.1349633920296569</v>
      </c>
    </row>
    <row r="8" spans="1:10" ht="15" customHeight="1" x14ac:dyDescent="0.25">
      <c r="A8" s="164"/>
      <c r="B8" s="169" t="s">
        <v>4</v>
      </c>
      <c r="C8" s="177">
        <v>4020</v>
      </c>
      <c r="D8" s="173">
        <v>171.57000000000002</v>
      </c>
      <c r="E8" s="80">
        <f t="shared" si="1"/>
        <v>1.7512496677555715E-2</v>
      </c>
      <c r="F8" s="58" t="s">
        <v>54</v>
      </c>
      <c r="G8" s="59">
        <v>45953</v>
      </c>
      <c r="H8" s="190">
        <v>8339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55444</v>
      </c>
      <c r="D9" s="173">
        <v>2363.4840000000004</v>
      </c>
      <c r="E9" s="245">
        <f t="shared" si="1"/>
        <v>0.24124558895760384</v>
      </c>
      <c r="F9" s="58" t="s">
        <v>55</v>
      </c>
      <c r="G9" s="59">
        <v>45954</v>
      </c>
      <c r="H9" s="190">
        <v>9105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56152</v>
      </c>
      <c r="D10" s="173">
        <v>2394.4230000000007</v>
      </c>
      <c r="E10" s="245">
        <f t="shared" si="1"/>
        <v>0.24440359522155966</v>
      </c>
      <c r="F10" s="58" t="s">
        <v>56</v>
      </c>
      <c r="G10" s="59">
        <v>45955</v>
      </c>
      <c r="H10" s="190">
        <v>7143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14867</v>
      </c>
      <c r="D11" s="173">
        <v>635.46</v>
      </c>
      <c r="E11" s="80">
        <f t="shared" si="1"/>
        <v>6.4862686592758373E-2</v>
      </c>
      <c r="F11" s="58" t="s">
        <v>57</v>
      </c>
      <c r="G11" s="59">
        <v>45956</v>
      </c>
      <c r="H11" s="190">
        <v>4609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210</v>
      </c>
      <c r="C12" s="177">
        <v>750</v>
      </c>
      <c r="D12" s="173">
        <v>32</v>
      </c>
      <c r="E12" s="80">
        <f t="shared" si="1"/>
        <v>3.2663046784506778E-3</v>
      </c>
      <c r="H12" s="139">
        <f>+SUM(H5:H11)</f>
        <v>53917</v>
      </c>
      <c r="I12" s="142">
        <f>+SUM(I5:I11)</f>
        <v>25687.065999999999</v>
      </c>
      <c r="J12" s="140">
        <f t="shared" si="0"/>
        <v>0.47641868056457143</v>
      </c>
    </row>
    <row r="13" spans="1:10" ht="15" customHeight="1" x14ac:dyDescent="0.25">
      <c r="A13" s="164"/>
      <c r="B13" s="169" t="s">
        <v>44</v>
      </c>
      <c r="C13" s="177">
        <v>24</v>
      </c>
      <c r="D13" s="173">
        <v>36.229999999999997</v>
      </c>
      <c r="E13" s="80">
        <f t="shared" si="1"/>
        <v>3.6980693281333764E-3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600</v>
      </c>
      <c r="D14" s="173">
        <v>905.28</v>
      </c>
      <c r="E14" s="80">
        <f t="shared" si="1"/>
        <v>9.2403759353369669E-2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209</v>
      </c>
      <c r="D15" s="173">
        <v>315.26</v>
      </c>
      <c r="E15" s="80">
        <f t="shared" si="1"/>
        <v>3.2179225404011268E-2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194</v>
      </c>
      <c r="C16" s="177">
        <v>129</v>
      </c>
      <c r="D16" s="173">
        <v>194.58</v>
      </c>
      <c r="E16" s="80">
        <f t="shared" si="1"/>
        <v>1.9861173885404152E-2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49</v>
      </c>
      <c r="C17" s="177">
        <v>20</v>
      </c>
      <c r="D17" s="173">
        <v>30.1</v>
      </c>
      <c r="E17" s="80">
        <f t="shared" si="1"/>
        <v>3.0723678381676688E-3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41</v>
      </c>
      <c r="C18" s="177">
        <v>230</v>
      </c>
      <c r="D18" s="173">
        <v>347.37</v>
      </c>
      <c r="E18" s="80">
        <f t="shared" si="1"/>
        <v>3.5456758004794121E-2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88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40</v>
      </c>
      <c r="C20" s="177"/>
      <c r="D20" s="173">
        <v>602.05000000000018</v>
      </c>
      <c r="E20" s="80">
        <f t="shared" si="1"/>
        <v>6.1452460364413472E-2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184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9</v>
      </c>
      <c r="C22" s="177"/>
      <c r="D22" s="173">
        <v>215.72</v>
      </c>
      <c r="E22" s="80">
        <f t="shared" si="1"/>
        <v>2.2018976413605632E-2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thickBot="1" x14ac:dyDescent="0.3">
      <c r="B23" s="169" t="s">
        <v>46</v>
      </c>
      <c r="C23" s="177"/>
      <c r="D23" s="173"/>
      <c r="E23" s="80">
        <f t="shared" si="1"/>
        <v>0</v>
      </c>
      <c r="F23" s="112" t="s">
        <v>161</v>
      </c>
      <c r="G23" s="190">
        <v>237591.573</v>
      </c>
      <c r="H23" s="119">
        <f>+D25</f>
        <v>174893.239</v>
      </c>
      <c r="I23" s="98">
        <f t="shared" si="2"/>
        <v>0.73610876341982046</v>
      </c>
    </row>
    <row r="24" spans="1:11" ht="15" customHeight="1" thickBot="1" x14ac:dyDescent="0.3">
      <c r="B24" s="178" t="s">
        <v>0</v>
      </c>
      <c r="C24" s="170"/>
      <c r="D24" s="171">
        <f>SUM(D5:D23)</f>
        <v>9797.003999999999</v>
      </c>
      <c r="E24" s="80">
        <f t="shared" si="1"/>
        <v>1</v>
      </c>
      <c r="F24" s="163"/>
    </row>
    <row r="25" spans="1:11" ht="15" customHeight="1" thickBot="1" x14ac:dyDescent="0.3">
      <c r="B25" s="166" t="s">
        <v>1</v>
      </c>
      <c r="C25" s="167"/>
      <c r="D25" s="233">
        <v>174893.239</v>
      </c>
      <c r="E25" s="313">
        <f>+D25/E2</f>
        <v>0.73969415306564379</v>
      </c>
    </row>
    <row r="26" spans="1:11" x14ac:dyDescent="0.25">
      <c r="D26" s="108">
        <f>+(E2/31)*22</f>
        <v>167796.08437044692</v>
      </c>
      <c r="E26" s="314">
        <f>+D26/E2</f>
        <v>0.70967741935483875</v>
      </c>
      <c r="K26" s="215"/>
    </row>
    <row r="27" spans="1:11" x14ac:dyDescent="0.25">
      <c r="D27" s="183">
        <f>+D25-D26</f>
        <v>7097.1546295530861</v>
      </c>
      <c r="E27" s="99">
        <f>E25-E26</f>
        <v>3.0016733710805044E-2</v>
      </c>
      <c r="K27" s="215"/>
    </row>
    <row r="28" spans="1:11" x14ac:dyDescent="0.25">
      <c r="G28" s="300" t="s">
        <v>190</v>
      </c>
      <c r="H28" s="87">
        <v>85</v>
      </c>
      <c r="I28" s="88">
        <f>+H28*1.5</f>
        <v>127.5</v>
      </c>
      <c r="K28" s="215"/>
    </row>
    <row r="29" spans="1:11" x14ac:dyDescent="0.25">
      <c r="B29" s="66" t="s">
        <v>60</v>
      </c>
      <c r="D29" s="109" t="s">
        <v>105</v>
      </c>
      <c r="E29" s="109" t="s">
        <v>80</v>
      </c>
      <c r="G29" s="163"/>
      <c r="H29" s="237" t="s">
        <v>157</v>
      </c>
      <c r="I29" s="237" t="s">
        <v>92</v>
      </c>
      <c r="J29" s="71"/>
      <c r="K29" s="215"/>
    </row>
    <row r="30" spans="1:11" x14ac:dyDescent="0.25">
      <c r="B30" s="162" t="s">
        <v>61</v>
      </c>
      <c r="C30" s="162">
        <v>568</v>
      </c>
      <c r="D30" s="108">
        <v>2142</v>
      </c>
      <c r="E30" s="57">
        <f>+C30/D30</f>
        <v>0.26517273576097106</v>
      </c>
      <c r="G30" s="86" t="s">
        <v>86</v>
      </c>
      <c r="H30" s="87">
        <f>15438+414+1080+654-1080</f>
        <v>16506</v>
      </c>
      <c r="I30" s="88">
        <f>+H30*0.025</f>
        <v>412.65000000000003</v>
      </c>
      <c r="J30" s="224">
        <f>15*72</f>
        <v>1080</v>
      </c>
      <c r="K30" s="215"/>
    </row>
    <row r="31" spans="1:11" x14ac:dyDescent="0.25">
      <c r="B31" s="162" t="s">
        <v>62</v>
      </c>
      <c r="C31" s="162">
        <v>1054</v>
      </c>
      <c r="D31" s="108">
        <v>1890</v>
      </c>
      <c r="E31" s="57">
        <f>+C31/D31</f>
        <v>0.55767195767195765</v>
      </c>
      <c r="G31" s="86" t="s">
        <v>171</v>
      </c>
      <c r="H31" s="87">
        <v>12</v>
      </c>
      <c r="I31" s="88">
        <v>0.30000000000000004</v>
      </c>
      <c r="J31" s="297" t="s">
        <v>188</v>
      </c>
      <c r="K31" s="215"/>
    </row>
    <row r="32" spans="1:11" x14ac:dyDescent="0.25">
      <c r="B32" s="162" t="s">
        <v>63</v>
      </c>
      <c r="C32" s="67">
        <v>588</v>
      </c>
      <c r="D32" s="108">
        <v>3006</v>
      </c>
      <c r="E32" s="57">
        <f>+C32/D32</f>
        <v>0.19560878243512975</v>
      </c>
      <c r="G32" s="89" t="s">
        <v>169</v>
      </c>
      <c r="H32" s="87">
        <v>256</v>
      </c>
      <c r="I32" s="88">
        <f>+H32*1.5</f>
        <v>384</v>
      </c>
      <c r="J32" s="298">
        <f>+I32+I30</f>
        <v>796.65000000000009</v>
      </c>
      <c r="K32" s="215" t="s">
        <v>191</v>
      </c>
    </row>
    <row r="33" spans="1:11" x14ac:dyDescent="0.25">
      <c r="C33" s="162">
        <f>+SUM(C30:C32)</f>
        <v>2210</v>
      </c>
      <c r="D33" s="110">
        <f>+SUM(D30:D32)</f>
        <v>7038</v>
      </c>
      <c r="E33" s="57">
        <f>+C33/D33</f>
        <v>0.3140096618357488</v>
      </c>
      <c r="G33" s="89" t="s">
        <v>168</v>
      </c>
      <c r="H33" s="87">
        <v>24</v>
      </c>
      <c r="I33" s="88">
        <f>+H33*1.5</f>
        <v>36</v>
      </c>
      <c r="J33" s="228" t="s">
        <v>193</v>
      </c>
      <c r="K33" s="215"/>
    </row>
    <row r="34" spans="1:11" x14ac:dyDescent="0.25">
      <c r="G34" s="231" t="s">
        <v>123</v>
      </c>
      <c r="H34" s="138">
        <v>231</v>
      </c>
      <c r="I34" s="232">
        <v>346.5</v>
      </c>
      <c r="J34" s="218" t="s">
        <v>146</v>
      </c>
      <c r="K34" s="215"/>
    </row>
    <row r="35" spans="1:11" x14ac:dyDescent="0.25">
      <c r="B35" s="162" t="s">
        <v>66</v>
      </c>
      <c r="D35" s="162"/>
      <c r="G35" s="89" t="s">
        <v>170</v>
      </c>
      <c r="H35" s="87">
        <v>47</v>
      </c>
      <c r="I35" s="88">
        <f>+H35*1.5</f>
        <v>70.5</v>
      </c>
      <c r="J35" s="224" t="s">
        <v>206</v>
      </c>
      <c r="K35" s="215"/>
    </row>
    <row r="36" spans="1:11" x14ac:dyDescent="0.25">
      <c r="B36" s="76" t="s">
        <v>67</v>
      </c>
      <c r="C36" s="77" t="s">
        <v>68</v>
      </c>
      <c r="D36" s="78" t="s">
        <v>69</v>
      </c>
      <c r="E36" s="79" t="s">
        <v>33</v>
      </c>
      <c r="G36" s="89" t="s">
        <v>107</v>
      </c>
      <c r="H36" s="87">
        <v>219</v>
      </c>
      <c r="I36" s="88">
        <f>+H36*1.5</f>
        <v>328.5</v>
      </c>
      <c r="J36" s="224" t="s">
        <v>152</v>
      </c>
      <c r="K36" s="215"/>
    </row>
    <row r="37" spans="1:11" x14ac:dyDescent="0.25">
      <c r="B37" s="73">
        <v>14</v>
      </c>
      <c r="C37" s="74">
        <v>6</v>
      </c>
      <c r="D37" s="74">
        <v>16</v>
      </c>
      <c r="E37" s="75">
        <f>+SUM(B37:D37)</f>
        <v>36</v>
      </c>
      <c r="J37" s="218"/>
      <c r="K37" s="215"/>
    </row>
    <row r="38" spans="1:11" x14ac:dyDescent="0.25">
      <c r="E38" s="198" t="s">
        <v>76</v>
      </c>
      <c r="F38" s="198" t="s">
        <v>137</v>
      </c>
      <c r="H38" s="144" t="s">
        <v>124</v>
      </c>
      <c r="I38" s="220" t="s">
        <v>148</v>
      </c>
      <c r="J38" s="218" t="s">
        <v>146</v>
      </c>
      <c r="K38" s="215"/>
    </row>
    <row r="39" spans="1:11" x14ac:dyDescent="0.25">
      <c r="D39" s="162"/>
      <c r="G39" s="71" t="s">
        <v>90</v>
      </c>
      <c r="H39" s="144" t="s">
        <v>120</v>
      </c>
      <c r="I39" s="145">
        <v>0</v>
      </c>
      <c r="J39" s="218"/>
      <c r="K39" s="215"/>
    </row>
    <row r="40" spans="1:11" x14ac:dyDescent="0.25">
      <c r="A40" s="207" t="s">
        <v>70</v>
      </c>
      <c r="B40" s="199">
        <v>0</v>
      </c>
      <c r="C40" s="199">
        <v>1894</v>
      </c>
      <c r="D40" s="200">
        <v>2400</v>
      </c>
      <c r="E40" s="201">
        <f t="shared" ref="E40:E45" si="3">+C40/D40</f>
        <v>0.78916666666666668</v>
      </c>
      <c r="F40" s="201">
        <f t="shared" ref="F40:F45" si="4">+B40/24</f>
        <v>0</v>
      </c>
      <c r="G40" s="202">
        <v>7</v>
      </c>
      <c r="H40" s="144" t="s">
        <v>121</v>
      </c>
      <c r="I40" s="220" t="s">
        <v>149</v>
      </c>
      <c r="J40" s="218" t="s">
        <v>146</v>
      </c>
      <c r="K40" s="215"/>
    </row>
    <row r="41" spans="1:11" x14ac:dyDescent="0.25">
      <c r="A41" s="207" t="s">
        <v>71</v>
      </c>
      <c r="B41" s="199">
        <v>10</v>
      </c>
      <c r="C41" s="199">
        <v>1906</v>
      </c>
      <c r="D41" s="200">
        <v>3600</v>
      </c>
      <c r="E41" s="201">
        <f t="shared" si="3"/>
        <v>0.5294444444444445</v>
      </c>
      <c r="F41" s="201">
        <f t="shared" si="4"/>
        <v>0.41666666666666669</v>
      </c>
      <c r="G41" s="202">
        <v>12</v>
      </c>
      <c r="H41" s="71"/>
      <c r="K41" s="215"/>
    </row>
    <row r="42" spans="1:11" x14ac:dyDescent="0.25">
      <c r="A42" s="207" t="s">
        <v>72</v>
      </c>
      <c r="B42" s="199">
        <v>15.26</v>
      </c>
      <c r="C42" s="199">
        <v>954</v>
      </c>
      <c r="D42" s="200">
        <v>3900</v>
      </c>
      <c r="E42" s="201">
        <f t="shared" si="3"/>
        <v>0.24461538461538462</v>
      </c>
      <c r="F42" s="201">
        <f t="shared" si="4"/>
        <v>0.63583333333333336</v>
      </c>
      <c r="G42" s="202">
        <v>12</v>
      </c>
      <c r="H42" s="237" t="s">
        <v>195</v>
      </c>
      <c r="J42" s="162" t="s">
        <v>177</v>
      </c>
      <c r="K42" s="215" t="s">
        <v>92</v>
      </c>
    </row>
    <row r="43" spans="1:11" x14ac:dyDescent="0.25">
      <c r="A43" s="207" t="s">
        <v>73</v>
      </c>
      <c r="B43" s="199">
        <v>9.02</v>
      </c>
      <c r="C43" s="199">
        <v>2790</v>
      </c>
      <c r="D43" s="200">
        <v>3900</v>
      </c>
      <c r="E43" s="201">
        <f t="shared" si="3"/>
        <v>0.7153846153846154</v>
      </c>
      <c r="F43" s="201">
        <f t="shared" si="4"/>
        <v>0.3758333333333333</v>
      </c>
      <c r="G43" s="202">
        <v>12</v>
      </c>
      <c r="H43" s="301">
        <v>45925</v>
      </c>
      <c r="I43" s="129" t="s">
        <v>176</v>
      </c>
      <c r="J43" s="162">
        <v>143</v>
      </c>
      <c r="K43" s="318">
        <f t="shared" ref="K43:K48" si="5">+J43*1.5</f>
        <v>214.5</v>
      </c>
    </row>
    <row r="44" spans="1:11" x14ac:dyDescent="0.25">
      <c r="A44" s="207" t="s">
        <v>74</v>
      </c>
      <c r="B44" s="199">
        <v>14.01</v>
      </c>
      <c r="C44" s="199">
        <v>2640</v>
      </c>
      <c r="D44" s="200">
        <v>3900</v>
      </c>
      <c r="E44" s="201">
        <f t="shared" si="3"/>
        <v>0.67692307692307696</v>
      </c>
      <c r="F44" s="201">
        <f t="shared" si="4"/>
        <v>0.58374999999999999</v>
      </c>
      <c r="G44" s="202">
        <v>12</v>
      </c>
      <c r="H44" s="301">
        <v>45931</v>
      </c>
      <c r="I44" s="129" t="s">
        <v>176</v>
      </c>
      <c r="J44" s="162">
        <v>47</v>
      </c>
      <c r="K44" s="318">
        <f t="shared" si="5"/>
        <v>70.5</v>
      </c>
    </row>
    <row r="45" spans="1:11" x14ac:dyDescent="0.25">
      <c r="A45" s="259" t="s">
        <v>75</v>
      </c>
      <c r="B45" s="260">
        <v>12.38</v>
      </c>
      <c r="C45" s="261">
        <v>2774</v>
      </c>
      <c r="D45" s="262">
        <v>4300</v>
      </c>
      <c r="E45" s="263">
        <f t="shared" si="3"/>
        <v>0.64511627906976743</v>
      </c>
      <c r="F45" s="201">
        <f t="shared" si="4"/>
        <v>0.51583333333333337</v>
      </c>
      <c r="G45" s="202">
        <v>16</v>
      </c>
      <c r="H45" s="301">
        <v>45939</v>
      </c>
      <c r="I45" s="129" t="s">
        <v>176</v>
      </c>
      <c r="J45" s="162">
        <v>49</v>
      </c>
      <c r="K45" s="318">
        <f t="shared" si="5"/>
        <v>73.5</v>
      </c>
    </row>
    <row r="46" spans="1:11" x14ac:dyDescent="0.25">
      <c r="C46" s="71" t="s">
        <v>83</v>
      </c>
      <c r="D46" s="72" t="s">
        <v>79</v>
      </c>
      <c r="H46" s="301">
        <v>45952</v>
      </c>
      <c r="I46" s="129" t="s">
        <v>175</v>
      </c>
      <c r="J46" s="162">
        <v>45</v>
      </c>
      <c r="K46" s="318">
        <f t="shared" si="5"/>
        <v>67.5</v>
      </c>
    </row>
    <row r="47" spans="1:11" x14ac:dyDescent="0.25">
      <c r="B47" s="162" t="s">
        <v>78</v>
      </c>
      <c r="H47" s="301">
        <v>45952</v>
      </c>
      <c r="I47" s="129" t="s">
        <v>175</v>
      </c>
      <c r="J47" s="162">
        <v>16</v>
      </c>
      <c r="K47" s="318">
        <f t="shared" si="5"/>
        <v>24</v>
      </c>
    </row>
    <row r="48" spans="1:11" x14ac:dyDescent="0.25">
      <c r="C48" s="71">
        <v>1</v>
      </c>
      <c r="D48" s="225" t="s">
        <v>153</v>
      </c>
      <c r="H48" s="301">
        <v>45952</v>
      </c>
      <c r="I48" s="129" t="s">
        <v>176</v>
      </c>
      <c r="J48" s="162">
        <v>72</v>
      </c>
      <c r="K48" s="318">
        <f t="shared" si="5"/>
        <v>108</v>
      </c>
    </row>
    <row r="49" spans="3:11" x14ac:dyDescent="0.25">
      <c r="C49" s="71">
        <v>2</v>
      </c>
      <c r="D49" s="225" t="s">
        <v>153</v>
      </c>
      <c r="J49" s="162">
        <f>+J48+J47</f>
        <v>88</v>
      </c>
      <c r="K49" s="162">
        <f>+K48+K47</f>
        <v>132</v>
      </c>
    </row>
    <row r="50" spans="3:11" x14ac:dyDescent="0.25">
      <c r="C50" s="71">
        <v>3</v>
      </c>
      <c r="D50" s="225" t="s">
        <v>154</v>
      </c>
    </row>
    <row r="51" spans="3:11" x14ac:dyDescent="0.25">
      <c r="C51" s="71">
        <v>4</v>
      </c>
      <c r="D51" s="108">
        <v>0</v>
      </c>
      <c r="H51" s="237" t="s">
        <v>197</v>
      </c>
      <c r="J51" s="162" t="s">
        <v>157</v>
      </c>
      <c r="K51" s="215" t="s">
        <v>92</v>
      </c>
    </row>
    <row r="52" spans="3:11" x14ac:dyDescent="0.25">
      <c r="C52" s="71">
        <v>5</v>
      </c>
      <c r="D52" s="108">
        <v>12</v>
      </c>
      <c r="H52" s="301">
        <v>45929</v>
      </c>
      <c r="I52" s="129" t="s">
        <v>176</v>
      </c>
      <c r="J52" s="162">
        <v>5120</v>
      </c>
      <c r="K52" s="318">
        <f>+J52*0.025</f>
        <v>128</v>
      </c>
    </row>
    <row r="53" spans="3:11" x14ac:dyDescent="0.25">
      <c r="C53" s="71">
        <v>6</v>
      </c>
      <c r="D53" s="108">
        <v>1</v>
      </c>
      <c r="H53" s="301">
        <v>45939</v>
      </c>
      <c r="I53" s="129" t="s">
        <v>176</v>
      </c>
      <c r="J53" s="162">
        <v>430</v>
      </c>
      <c r="K53" s="318">
        <f>+J53*0.025</f>
        <v>10.75</v>
      </c>
    </row>
    <row r="54" spans="3:11" x14ac:dyDescent="0.25">
      <c r="C54" s="71">
        <v>7</v>
      </c>
      <c r="D54" s="225" t="s">
        <v>153</v>
      </c>
      <c r="H54" s="301">
        <v>45940</v>
      </c>
      <c r="I54" s="129" t="s">
        <v>175</v>
      </c>
      <c r="J54" s="162">
        <v>1080</v>
      </c>
      <c r="K54" s="318">
        <f>+J54*0.025</f>
        <v>27</v>
      </c>
    </row>
    <row r="55" spans="3:11" x14ac:dyDescent="0.25">
      <c r="C55" s="71">
        <v>8</v>
      </c>
      <c r="D55" s="225" t="s">
        <v>153</v>
      </c>
    </row>
    <row r="56" spans="3:11" x14ac:dyDescent="0.25">
      <c r="H56" s="237" t="s">
        <v>205</v>
      </c>
      <c r="J56" s="162" t="s">
        <v>177</v>
      </c>
      <c r="K56" s="215" t="s">
        <v>92</v>
      </c>
    </row>
    <row r="57" spans="3:11" x14ac:dyDescent="0.25">
      <c r="H57" s="301">
        <v>45942</v>
      </c>
      <c r="I57" s="129" t="s">
        <v>176</v>
      </c>
      <c r="J57" s="162">
        <v>47</v>
      </c>
      <c r="K57" s="318">
        <f>+J57*1.5</f>
        <v>70.5</v>
      </c>
    </row>
    <row r="58" spans="3:11" x14ac:dyDescent="0.25">
      <c r="D58" s="93"/>
      <c r="I58" s="129"/>
      <c r="K58" s="215"/>
    </row>
    <row r="59" spans="3:11" x14ac:dyDescent="0.25">
      <c r="D59" s="93"/>
      <c r="H59" s="237" t="s">
        <v>167</v>
      </c>
      <c r="J59" s="162" t="s">
        <v>157</v>
      </c>
      <c r="K59" s="215" t="s">
        <v>92</v>
      </c>
    </row>
    <row r="60" spans="3:11" x14ac:dyDescent="0.25">
      <c r="H60" s="301">
        <v>45949</v>
      </c>
      <c r="I60" s="129" t="s">
        <v>207</v>
      </c>
      <c r="J60" s="68">
        <v>383</v>
      </c>
      <c r="K60" s="318">
        <f>+J60*1.5</f>
        <v>574.5</v>
      </c>
    </row>
    <row r="61" spans="3:11" x14ac:dyDescent="0.25">
      <c r="H61" s="301">
        <v>45950</v>
      </c>
      <c r="I61" s="129" t="s">
        <v>175</v>
      </c>
      <c r="J61" s="68">
        <v>99</v>
      </c>
      <c r="K61" s="318">
        <f>+J61*1.5</f>
        <v>148.5</v>
      </c>
    </row>
    <row r="62" spans="3:11" x14ac:dyDescent="0.25">
      <c r="H62" s="215" t="s">
        <v>209</v>
      </c>
      <c r="I62" s="162" t="s">
        <v>208</v>
      </c>
      <c r="J62" s="162">
        <f>68-26</f>
        <v>42</v>
      </c>
      <c r="K62" s="318">
        <f>+J62*1.5</f>
        <v>63</v>
      </c>
    </row>
  </sheetData>
  <protectedRanges>
    <protectedRange password="D554" sqref="I38:I40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44" workbookViewId="0">
      <selection activeCell="A27" sqref="A27:K63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3.285156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27"/>
      <c r="C4" s="327"/>
      <c r="D4" s="165">
        <f>D25</f>
        <v>9370.3570000000018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3786</v>
      </c>
      <c r="D5" s="172">
        <v>161.35</v>
      </c>
      <c r="E5" s="80">
        <f>+D5/$D$4</f>
        <v>1.7219194530155038E-2</v>
      </c>
      <c r="F5" s="58" t="s">
        <v>51</v>
      </c>
      <c r="G5" s="59">
        <v>45950</v>
      </c>
      <c r="H5" s="190">
        <v>6932</v>
      </c>
      <c r="I5" s="141">
        <v>6535.6479999999992</v>
      </c>
      <c r="J5" s="60">
        <f t="shared" ref="J5:J12" si="0">+I5/H5</f>
        <v>0.94282285054818227</v>
      </c>
    </row>
    <row r="6" spans="1:10" ht="15" customHeight="1" x14ac:dyDescent="0.25">
      <c r="A6" s="164"/>
      <c r="B6" s="169" t="s">
        <v>10</v>
      </c>
      <c r="C6" s="177">
        <v>18730</v>
      </c>
      <c r="D6" s="173">
        <v>798.65900000000011</v>
      </c>
      <c r="E6" s="80">
        <f t="shared" ref="E6:E25" si="1">+D6/$D$4</f>
        <v>8.523250501555063E-2</v>
      </c>
      <c r="F6" s="58" t="s">
        <v>52</v>
      </c>
      <c r="G6" s="59">
        <v>45951</v>
      </c>
      <c r="H6" s="190">
        <v>9157</v>
      </c>
      <c r="I6" s="141">
        <v>9354.4139999999989</v>
      </c>
      <c r="J6" s="60">
        <f t="shared" si="0"/>
        <v>1.0215588074696953</v>
      </c>
    </row>
    <row r="7" spans="1:10" ht="15" customHeight="1" x14ac:dyDescent="0.25">
      <c r="A7" s="164"/>
      <c r="B7" s="169" t="s">
        <v>35</v>
      </c>
      <c r="C7" s="177">
        <v>23257</v>
      </c>
      <c r="D7" s="173">
        <v>990.62699999999973</v>
      </c>
      <c r="E7" s="80">
        <f t="shared" si="1"/>
        <v>0.10571923780492029</v>
      </c>
      <c r="F7" s="58" t="s">
        <v>53</v>
      </c>
      <c r="G7" s="59">
        <v>45952</v>
      </c>
      <c r="H7" s="190">
        <v>8632</v>
      </c>
      <c r="I7" s="141">
        <v>9797.003999999999</v>
      </c>
      <c r="J7" s="60">
        <f t="shared" si="0"/>
        <v>1.1349633920296569</v>
      </c>
    </row>
    <row r="8" spans="1:10" ht="15" customHeight="1" x14ac:dyDescent="0.25">
      <c r="A8" s="164"/>
      <c r="B8" s="169" t="s">
        <v>4</v>
      </c>
      <c r="C8" s="177">
        <v>1574</v>
      </c>
      <c r="D8" s="173">
        <v>66.92</v>
      </c>
      <c r="E8" s="80">
        <f t="shared" si="1"/>
        <v>7.1416702693397902E-3</v>
      </c>
      <c r="F8" s="58" t="s">
        <v>54</v>
      </c>
      <c r="G8" s="59">
        <v>45953</v>
      </c>
      <c r="H8" s="190">
        <v>8339</v>
      </c>
      <c r="I8" s="141">
        <v>9370.3570000000018</v>
      </c>
      <c r="J8" s="60">
        <f t="shared" si="0"/>
        <v>1.1236787384578488</v>
      </c>
    </row>
    <row r="9" spans="1:10" ht="15" customHeight="1" x14ac:dyDescent="0.25">
      <c r="A9" s="164"/>
      <c r="B9" s="169" t="s">
        <v>37</v>
      </c>
      <c r="C9" s="177">
        <v>40304</v>
      </c>
      <c r="D9" s="173">
        <v>1717.182</v>
      </c>
      <c r="E9" s="245">
        <f t="shared" si="1"/>
        <v>0.18325683856015301</v>
      </c>
      <c r="F9" s="58" t="s">
        <v>55</v>
      </c>
      <c r="G9" s="59">
        <v>45954</v>
      </c>
      <c r="H9" s="190">
        <v>9105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56075</v>
      </c>
      <c r="D10" s="173">
        <v>2391.0980000000004</v>
      </c>
      <c r="E10" s="245">
        <f t="shared" si="1"/>
        <v>0.25517683050923246</v>
      </c>
      <c r="F10" s="58" t="s">
        <v>56</v>
      </c>
      <c r="G10" s="59">
        <v>45955</v>
      </c>
      <c r="H10" s="190">
        <v>7143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14197</v>
      </c>
      <c r="D11" s="173">
        <v>606.26</v>
      </c>
      <c r="E11" s="80">
        <f t="shared" si="1"/>
        <v>6.4699776113119264E-2</v>
      </c>
      <c r="F11" s="58" t="s">
        <v>57</v>
      </c>
      <c r="G11" s="59">
        <v>45956</v>
      </c>
      <c r="H11" s="190">
        <v>4609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81</v>
      </c>
      <c r="C12" s="177">
        <v>3200</v>
      </c>
      <c r="D12" s="173">
        <v>136.66199999999998</v>
      </c>
      <c r="E12" s="80">
        <f t="shared" si="1"/>
        <v>1.4584503023737511E-2</v>
      </c>
      <c r="H12" s="139">
        <f>+SUM(H5:H11)</f>
        <v>53917</v>
      </c>
      <c r="I12" s="142">
        <f>+SUM(I5:I11)</f>
        <v>35057.423000000003</v>
      </c>
      <c r="J12" s="140">
        <f t="shared" si="0"/>
        <v>0.65021093532652041</v>
      </c>
    </row>
    <row r="13" spans="1:10" ht="15" customHeight="1" x14ac:dyDescent="0.25">
      <c r="A13" s="164"/>
      <c r="B13" s="169" t="s">
        <v>172</v>
      </c>
      <c r="C13" s="177">
        <v>15</v>
      </c>
      <c r="D13" s="173">
        <v>27.248999999999999</v>
      </c>
      <c r="E13" s="80">
        <f t="shared" si="1"/>
        <v>2.9080001967907942E-3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86</v>
      </c>
      <c r="D14" s="173">
        <v>129.91</v>
      </c>
      <c r="E14" s="80">
        <f t="shared" si="1"/>
        <v>1.3863932825611658E-2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63</v>
      </c>
      <c r="D15" s="173">
        <v>94.98</v>
      </c>
      <c r="E15" s="80">
        <f t="shared" si="1"/>
        <v>1.0136219996740784E-2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326</v>
      </c>
      <c r="D16" s="173">
        <v>492.06000000000006</v>
      </c>
      <c r="E16" s="80">
        <f t="shared" si="1"/>
        <v>5.2512406944580654E-2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194</v>
      </c>
      <c r="C17" s="177">
        <v>87</v>
      </c>
      <c r="D17" s="173">
        <v>131.48000000000002</v>
      </c>
      <c r="E17" s="80">
        <f t="shared" si="1"/>
        <v>1.4031482471799099E-2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39</v>
      </c>
      <c r="C18" s="177">
        <v>575</v>
      </c>
      <c r="D18" s="173">
        <v>868.3</v>
      </c>
      <c r="E18" s="80">
        <f t="shared" si="1"/>
        <v>9.2664559098442012E-2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41</v>
      </c>
      <c r="C19" s="177">
        <v>128</v>
      </c>
      <c r="D19" s="173">
        <v>192.82999999999998</v>
      </c>
      <c r="E19" s="80">
        <f t="shared" si="1"/>
        <v>2.0578725015493002E-2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88</v>
      </c>
      <c r="C20" s="177"/>
      <c r="D20" s="173">
        <v>30.26</v>
      </c>
      <c r="E20" s="80">
        <f t="shared" si="1"/>
        <v>3.2293326711031389E-3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40</v>
      </c>
      <c r="C21" s="177"/>
      <c r="D21" s="173">
        <v>356.73</v>
      </c>
      <c r="E21" s="80">
        <f t="shared" si="1"/>
        <v>3.8070054321302803E-2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184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B23" s="169" t="s">
        <v>9</v>
      </c>
      <c r="C23" s="177"/>
      <c r="D23" s="173">
        <v>30.45</v>
      </c>
      <c r="E23" s="80">
        <f t="shared" si="1"/>
        <v>3.2496093798774148E-3</v>
      </c>
      <c r="F23" s="112" t="s">
        <v>161</v>
      </c>
      <c r="G23" s="190">
        <v>237591.573</v>
      </c>
      <c r="H23" s="119">
        <f>+D26</f>
        <v>184263.59599999999</v>
      </c>
      <c r="I23" s="98">
        <f t="shared" si="2"/>
        <v>0.77554769166834037</v>
      </c>
    </row>
    <row r="24" spans="1:11" ht="15" customHeight="1" thickBot="1" x14ac:dyDescent="0.3">
      <c r="B24" s="169" t="s">
        <v>46</v>
      </c>
      <c r="C24" s="177"/>
      <c r="D24" s="173">
        <v>147.35</v>
      </c>
      <c r="E24" s="80">
        <f t="shared" si="1"/>
        <v>1.5725121252050479E-2</v>
      </c>
      <c r="F24" s="163"/>
    </row>
    <row r="25" spans="1:11" ht="15" customHeight="1" thickBot="1" x14ac:dyDescent="0.3">
      <c r="B25" s="178" t="s">
        <v>0</v>
      </c>
      <c r="C25" s="170"/>
      <c r="D25" s="171">
        <f>SUM(D5:D24)</f>
        <v>9370.3570000000018</v>
      </c>
      <c r="E25" s="80">
        <f t="shared" si="1"/>
        <v>1</v>
      </c>
    </row>
    <row r="26" spans="1:11" ht="15" customHeight="1" thickBot="1" x14ac:dyDescent="0.3">
      <c r="B26" s="166" t="s">
        <v>1</v>
      </c>
      <c r="C26" s="167"/>
      <c r="D26" s="233">
        <v>184263.59599999999</v>
      </c>
      <c r="E26" s="313">
        <f>+D26/E2</f>
        <v>0.77932517782491251</v>
      </c>
    </row>
    <row r="27" spans="1:11" x14ac:dyDescent="0.25">
      <c r="D27" s="108">
        <f>+(E2/31)*23</f>
        <v>175423.17911455815</v>
      </c>
      <c r="E27" s="314">
        <f>+D27/E2</f>
        <v>0.74193548387096775</v>
      </c>
      <c r="K27" s="215"/>
    </row>
    <row r="28" spans="1:11" x14ac:dyDescent="0.25">
      <c r="D28" s="183">
        <f>+D26-D27</f>
        <v>8840.4168854418385</v>
      </c>
      <c r="E28" s="99">
        <f>E26-E27</f>
        <v>3.7389693953944758E-2</v>
      </c>
      <c r="K28" s="215"/>
    </row>
    <row r="29" spans="1:11" x14ac:dyDescent="0.25">
      <c r="G29" s="300" t="s">
        <v>190</v>
      </c>
      <c r="H29" s="87">
        <v>122</v>
      </c>
      <c r="I29" s="88">
        <f>+H29*1.5</f>
        <v>183</v>
      </c>
      <c r="K29" s="215"/>
    </row>
    <row r="30" spans="1:11" x14ac:dyDescent="0.25">
      <c r="B30" s="66" t="s">
        <v>60</v>
      </c>
      <c r="D30" s="109" t="s">
        <v>105</v>
      </c>
      <c r="E30" s="109" t="s">
        <v>80</v>
      </c>
      <c r="G30" s="163"/>
      <c r="H30" s="237" t="s">
        <v>157</v>
      </c>
      <c r="I30" s="237" t="s">
        <v>92</v>
      </c>
      <c r="J30" s="71"/>
      <c r="K30" s="215"/>
    </row>
    <row r="31" spans="1:11" x14ac:dyDescent="0.25">
      <c r="B31" s="162" t="s">
        <v>61</v>
      </c>
      <c r="C31" s="162">
        <v>812</v>
      </c>
      <c r="D31" s="108">
        <v>2142</v>
      </c>
      <c r="E31" s="57">
        <f>+C31/D31</f>
        <v>0.37908496732026142</v>
      </c>
      <c r="G31" s="86" t="s">
        <v>86</v>
      </c>
      <c r="H31" s="87">
        <f>15438+414+1080+654-1080</f>
        <v>16506</v>
      </c>
      <c r="I31" s="88">
        <f>+H31*0.025</f>
        <v>412.65000000000003</v>
      </c>
      <c r="J31" s="224">
        <f>15*72</f>
        <v>1080</v>
      </c>
      <c r="K31" s="215"/>
    </row>
    <row r="32" spans="1:11" x14ac:dyDescent="0.25">
      <c r="B32" s="162" t="s">
        <v>62</v>
      </c>
      <c r="C32" s="162">
        <v>1033</v>
      </c>
      <c r="D32" s="108">
        <v>1890</v>
      </c>
      <c r="E32" s="57">
        <f>+C32/D32</f>
        <v>0.54656084656084658</v>
      </c>
      <c r="G32" s="86" t="s">
        <v>171</v>
      </c>
      <c r="H32" s="87">
        <v>12</v>
      </c>
      <c r="I32" s="88">
        <v>0.30000000000000004</v>
      </c>
      <c r="J32" s="297" t="s">
        <v>188</v>
      </c>
      <c r="K32" s="215"/>
    </row>
    <row r="33" spans="1:11" x14ac:dyDescent="0.25">
      <c r="B33" s="162" t="s">
        <v>63</v>
      </c>
      <c r="C33" s="67">
        <v>1005</v>
      </c>
      <c r="D33" s="108">
        <v>3006</v>
      </c>
      <c r="E33" s="57">
        <f>+C33/D33</f>
        <v>0.33433133732534931</v>
      </c>
      <c r="G33" s="89" t="s">
        <v>169</v>
      </c>
      <c r="H33" s="87">
        <v>196</v>
      </c>
      <c r="I33" s="88">
        <f>+H33*1.5</f>
        <v>294</v>
      </c>
      <c r="J33" s="298">
        <f>+I33+I31</f>
        <v>706.65000000000009</v>
      </c>
      <c r="K33" s="215" t="s">
        <v>191</v>
      </c>
    </row>
    <row r="34" spans="1:11" x14ac:dyDescent="0.25">
      <c r="C34" s="162">
        <f>+SUM(C31:C33)</f>
        <v>2850</v>
      </c>
      <c r="D34" s="110">
        <f>+SUM(D31:D33)</f>
        <v>7038</v>
      </c>
      <c r="E34" s="57">
        <f>+C34/D34</f>
        <v>0.40494458653026427</v>
      </c>
      <c r="G34" s="89" t="s">
        <v>168</v>
      </c>
      <c r="H34" s="87">
        <v>24</v>
      </c>
      <c r="I34" s="88">
        <f>+H34*1.5</f>
        <v>36</v>
      </c>
      <c r="J34" s="228" t="s">
        <v>193</v>
      </c>
      <c r="K34" s="215"/>
    </row>
    <row r="35" spans="1:11" x14ac:dyDescent="0.25">
      <c r="G35" s="231" t="s">
        <v>123</v>
      </c>
      <c r="H35" s="138">
        <v>231</v>
      </c>
      <c r="I35" s="232">
        <v>346.5</v>
      </c>
      <c r="J35" s="218" t="s">
        <v>146</v>
      </c>
      <c r="K35" s="215"/>
    </row>
    <row r="36" spans="1:11" x14ac:dyDescent="0.25">
      <c r="B36" s="162" t="s">
        <v>66</v>
      </c>
      <c r="D36" s="162"/>
      <c r="G36" s="89" t="s">
        <v>170</v>
      </c>
      <c r="H36" s="87">
        <v>47</v>
      </c>
      <c r="I36" s="88">
        <f>+H36*1.5</f>
        <v>70.5</v>
      </c>
      <c r="J36" s="224" t="s">
        <v>206</v>
      </c>
      <c r="K36" s="215"/>
    </row>
    <row r="37" spans="1:11" x14ac:dyDescent="0.25">
      <c r="B37" s="76" t="s">
        <v>67</v>
      </c>
      <c r="C37" s="77" t="s">
        <v>68</v>
      </c>
      <c r="D37" s="78" t="s">
        <v>69</v>
      </c>
      <c r="E37" s="79" t="s">
        <v>33</v>
      </c>
      <c r="G37" s="89" t="s">
        <v>107</v>
      </c>
      <c r="H37" s="87">
        <v>219</v>
      </c>
      <c r="I37" s="88">
        <f>+H37*1.5</f>
        <v>328.5</v>
      </c>
      <c r="J37" s="224" t="s">
        <v>152</v>
      </c>
      <c r="K37" s="215"/>
    </row>
    <row r="38" spans="1:11" x14ac:dyDescent="0.25">
      <c r="B38" s="73">
        <v>16</v>
      </c>
      <c r="C38" s="74">
        <v>5</v>
      </c>
      <c r="D38" s="74">
        <v>18</v>
      </c>
      <c r="E38" s="75">
        <f>+SUM(B38:D38)</f>
        <v>39</v>
      </c>
      <c r="J38" s="218"/>
      <c r="K38" s="215"/>
    </row>
    <row r="39" spans="1:11" x14ac:dyDescent="0.25">
      <c r="E39" s="198" t="s">
        <v>76</v>
      </c>
      <c r="F39" s="198" t="s">
        <v>137</v>
      </c>
      <c r="H39" s="144" t="s">
        <v>124</v>
      </c>
      <c r="I39" s="220" t="s">
        <v>148</v>
      </c>
      <c r="J39" s="218" t="s">
        <v>146</v>
      </c>
      <c r="K39" s="215"/>
    </row>
    <row r="40" spans="1:11" x14ac:dyDescent="0.25">
      <c r="D40" s="162"/>
      <c r="G40" s="71" t="s">
        <v>90</v>
      </c>
      <c r="H40" s="144" t="s">
        <v>120</v>
      </c>
      <c r="I40" s="145">
        <v>0</v>
      </c>
      <c r="J40" s="218"/>
      <c r="K40" s="215"/>
    </row>
    <row r="41" spans="1:11" x14ac:dyDescent="0.25">
      <c r="A41" s="207" t="s">
        <v>70</v>
      </c>
      <c r="B41" s="199">
        <v>0</v>
      </c>
      <c r="C41" s="199">
        <v>1894</v>
      </c>
      <c r="D41" s="200">
        <v>2400</v>
      </c>
      <c r="E41" s="201">
        <f t="shared" ref="E41:E46" si="3">+C41/D41</f>
        <v>0.78916666666666668</v>
      </c>
      <c r="F41" s="201">
        <f t="shared" ref="F41:F46" si="4">+B41/24</f>
        <v>0</v>
      </c>
      <c r="G41" s="202">
        <v>7</v>
      </c>
      <c r="H41" s="144" t="s">
        <v>121</v>
      </c>
      <c r="I41" s="220" t="s">
        <v>149</v>
      </c>
      <c r="J41" s="218" t="s">
        <v>146</v>
      </c>
      <c r="K41" s="215"/>
    </row>
    <row r="42" spans="1:11" x14ac:dyDescent="0.25">
      <c r="A42" s="207" t="s">
        <v>71</v>
      </c>
      <c r="B42" s="199">
        <v>10.28</v>
      </c>
      <c r="C42" s="199">
        <v>1857</v>
      </c>
      <c r="D42" s="200">
        <v>3600</v>
      </c>
      <c r="E42" s="201">
        <f t="shared" si="3"/>
        <v>0.51583333333333337</v>
      </c>
      <c r="F42" s="201">
        <f t="shared" si="4"/>
        <v>0.42833333333333329</v>
      </c>
      <c r="G42" s="202">
        <v>12</v>
      </c>
      <c r="H42" s="71"/>
      <c r="K42" s="215"/>
    </row>
    <row r="43" spans="1:11" x14ac:dyDescent="0.25">
      <c r="A43" s="207" t="s">
        <v>72</v>
      </c>
      <c r="B43" s="199">
        <v>10.58</v>
      </c>
      <c r="C43" s="199">
        <v>1253</v>
      </c>
      <c r="D43" s="200">
        <v>3900</v>
      </c>
      <c r="E43" s="201">
        <f t="shared" si="3"/>
        <v>0.32128205128205128</v>
      </c>
      <c r="F43" s="201">
        <f t="shared" si="4"/>
        <v>0.44083333333333335</v>
      </c>
      <c r="G43" s="202">
        <v>12</v>
      </c>
      <c r="H43" s="237" t="s">
        <v>195</v>
      </c>
      <c r="J43" s="162" t="s">
        <v>177</v>
      </c>
      <c r="K43" s="215" t="s">
        <v>92</v>
      </c>
    </row>
    <row r="44" spans="1:11" x14ac:dyDescent="0.25">
      <c r="A44" s="207" t="s">
        <v>73</v>
      </c>
      <c r="B44" s="199">
        <v>15.73</v>
      </c>
      <c r="C44" s="199">
        <v>2792</v>
      </c>
      <c r="D44" s="200">
        <v>3900</v>
      </c>
      <c r="E44" s="201">
        <f t="shared" si="3"/>
        <v>0.71589743589743593</v>
      </c>
      <c r="F44" s="201">
        <f t="shared" si="4"/>
        <v>0.65541666666666665</v>
      </c>
      <c r="G44" s="202">
        <v>12</v>
      </c>
      <c r="H44" s="301">
        <v>45925</v>
      </c>
      <c r="I44" s="129" t="s">
        <v>176</v>
      </c>
      <c r="J44" s="162">
        <v>143</v>
      </c>
      <c r="K44" s="318">
        <f t="shared" ref="K44:K49" si="5">+J44*1.5</f>
        <v>214.5</v>
      </c>
    </row>
    <row r="45" spans="1:11" x14ac:dyDescent="0.25">
      <c r="A45" s="207" t="s">
        <v>74</v>
      </c>
      <c r="B45" s="199">
        <v>12.13</v>
      </c>
      <c r="C45" s="199">
        <v>2972</v>
      </c>
      <c r="D45" s="200">
        <v>3900</v>
      </c>
      <c r="E45" s="201">
        <f t="shared" si="3"/>
        <v>0.76205128205128203</v>
      </c>
      <c r="F45" s="201">
        <f t="shared" si="4"/>
        <v>0.50541666666666674</v>
      </c>
      <c r="G45" s="202">
        <v>12</v>
      </c>
      <c r="H45" s="301">
        <v>45931</v>
      </c>
      <c r="I45" s="129" t="s">
        <v>176</v>
      </c>
      <c r="J45" s="162">
        <v>47</v>
      </c>
      <c r="K45" s="318">
        <f t="shared" si="5"/>
        <v>70.5</v>
      </c>
    </row>
    <row r="46" spans="1:11" x14ac:dyDescent="0.25">
      <c r="A46" s="259" t="s">
        <v>75</v>
      </c>
      <c r="B46" s="260">
        <v>16.75</v>
      </c>
      <c r="C46" s="261">
        <v>2959</v>
      </c>
      <c r="D46" s="262">
        <v>4300</v>
      </c>
      <c r="E46" s="263">
        <f t="shared" si="3"/>
        <v>0.68813953488372093</v>
      </c>
      <c r="F46" s="201">
        <f t="shared" si="4"/>
        <v>0.69791666666666663</v>
      </c>
      <c r="G46" s="202">
        <v>16</v>
      </c>
      <c r="H46" s="301">
        <v>45939</v>
      </c>
      <c r="I46" s="129" t="s">
        <v>176</v>
      </c>
      <c r="J46" s="162">
        <v>49</v>
      </c>
      <c r="K46" s="318">
        <f t="shared" si="5"/>
        <v>73.5</v>
      </c>
    </row>
    <row r="47" spans="1:11" x14ac:dyDescent="0.25">
      <c r="C47" s="71" t="s">
        <v>83</v>
      </c>
      <c r="D47" s="72" t="s">
        <v>79</v>
      </c>
      <c r="H47" s="301">
        <v>45952</v>
      </c>
      <c r="I47" s="129" t="s">
        <v>175</v>
      </c>
      <c r="J47" s="162">
        <v>45</v>
      </c>
      <c r="K47" s="318">
        <f t="shared" si="5"/>
        <v>67.5</v>
      </c>
    </row>
    <row r="48" spans="1:11" x14ac:dyDescent="0.25">
      <c r="B48" s="162" t="s">
        <v>78</v>
      </c>
      <c r="H48" s="301">
        <v>45952</v>
      </c>
      <c r="I48" s="129" t="s">
        <v>175</v>
      </c>
      <c r="J48" s="162">
        <v>16</v>
      </c>
      <c r="K48" s="318">
        <f t="shared" si="5"/>
        <v>24</v>
      </c>
    </row>
    <row r="49" spans="3:11" x14ac:dyDescent="0.25">
      <c r="C49" s="71">
        <v>1</v>
      </c>
      <c r="D49" s="225" t="s">
        <v>153</v>
      </c>
      <c r="H49" s="301">
        <v>45952</v>
      </c>
      <c r="I49" s="129" t="s">
        <v>176</v>
      </c>
      <c r="J49" s="162">
        <v>72</v>
      </c>
      <c r="K49" s="318">
        <f t="shared" si="5"/>
        <v>108</v>
      </c>
    </row>
    <row r="50" spans="3:11" x14ac:dyDescent="0.25">
      <c r="C50" s="71">
        <v>2</v>
      </c>
      <c r="D50" s="225" t="s">
        <v>153</v>
      </c>
      <c r="J50" s="162">
        <f>+J49+J48</f>
        <v>88</v>
      </c>
      <c r="K50" s="162">
        <f>+K49+K48</f>
        <v>132</v>
      </c>
    </row>
    <row r="51" spans="3:11" x14ac:dyDescent="0.25">
      <c r="C51" s="71">
        <v>3</v>
      </c>
      <c r="D51" s="225" t="s">
        <v>154</v>
      </c>
    </row>
    <row r="52" spans="3:11" x14ac:dyDescent="0.25">
      <c r="C52" s="71">
        <v>4</v>
      </c>
      <c r="D52" s="108">
        <v>0</v>
      </c>
      <c r="H52" s="237" t="s">
        <v>197</v>
      </c>
      <c r="J52" s="162" t="s">
        <v>157</v>
      </c>
      <c r="K52" s="215" t="s">
        <v>92</v>
      </c>
    </row>
    <row r="53" spans="3:11" x14ac:dyDescent="0.25">
      <c r="C53" s="71">
        <v>5</v>
      </c>
      <c r="D53" s="108">
        <v>13</v>
      </c>
      <c r="H53" s="301">
        <v>45929</v>
      </c>
      <c r="I53" s="129" t="s">
        <v>176</v>
      </c>
      <c r="J53" s="162">
        <v>5120</v>
      </c>
      <c r="K53" s="318">
        <f>+J53*0.025</f>
        <v>128</v>
      </c>
    </row>
    <row r="54" spans="3:11" x14ac:dyDescent="0.25">
      <c r="C54" s="71">
        <v>6</v>
      </c>
      <c r="D54" s="108">
        <v>1</v>
      </c>
      <c r="H54" s="301">
        <v>45939</v>
      </c>
      <c r="I54" s="129" t="s">
        <v>176</v>
      </c>
      <c r="J54" s="162">
        <v>430</v>
      </c>
      <c r="K54" s="318">
        <f>+J54*0.025</f>
        <v>10.75</v>
      </c>
    </row>
    <row r="55" spans="3:11" x14ac:dyDescent="0.25">
      <c r="C55" s="71">
        <v>7</v>
      </c>
      <c r="D55" s="225" t="s">
        <v>153</v>
      </c>
      <c r="H55" s="301">
        <v>45940</v>
      </c>
      <c r="I55" s="129" t="s">
        <v>175</v>
      </c>
      <c r="J55" s="162">
        <v>1080</v>
      </c>
      <c r="K55" s="318">
        <f>+J55*0.025</f>
        <v>27</v>
      </c>
    </row>
    <row r="56" spans="3:11" x14ac:dyDescent="0.25">
      <c r="C56" s="71">
        <v>8</v>
      </c>
      <c r="D56" s="225" t="s">
        <v>153</v>
      </c>
    </row>
    <row r="57" spans="3:11" x14ac:dyDescent="0.25">
      <c r="H57" s="237" t="s">
        <v>205</v>
      </c>
      <c r="J57" s="162" t="s">
        <v>177</v>
      </c>
      <c r="K57" s="215" t="s">
        <v>92</v>
      </c>
    </row>
    <row r="58" spans="3:11" x14ac:dyDescent="0.25">
      <c r="H58" s="301">
        <v>45942</v>
      </c>
      <c r="I58" s="129" t="s">
        <v>176</v>
      </c>
      <c r="J58" s="162">
        <v>47</v>
      </c>
      <c r="K58" s="318">
        <f>+J58*1.5</f>
        <v>70.5</v>
      </c>
    </row>
    <row r="59" spans="3:11" x14ac:dyDescent="0.25">
      <c r="D59" s="93"/>
      <c r="I59" s="129"/>
      <c r="K59" s="215"/>
    </row>
    <row r="60" spans="3:11" x14ac:dyDescent="0.25">
      <c r="D60" s="93"/>
      <c r="H60" s="237" t="s">
        <v>167</v>
      </c>
      <c r="J60" s="162" t="s">
        <v>157</v>
      </c>
      <c r="K60" s="215" t="s">
        <v>92</v>
      </c>
    </row>
    <row r="61" spans="3:11" x14ac:dyDescent="0.25">
      <c r="H61" s="301">
        <v>45949</v>
      </c>
      <c r="I61" s="129" t="s">
        <v>207</v>
      </c>
      <c r="J61" s="68">
        <v>383</v>
      </c>
      <c r="K61" s="318">
        <f>+J61*1.5</f>
        <v>574.5</v>
      </c>
    </row>
    <row r="62" spans="3:11" x14ac:dyDescent="0.25">
      <c r="H62" s="301">
        <v>45950</v>
      </c>
      <c r="I62" s="129" t="s">
        <v>175</v>
      </c>
      <c r="J62" s="68">
        <v>99</v>
      </c>
      <c r="K62" s="318">
        <f>+J62*1.5</f>
        <v>148.5</v>
      </c>
    </row>
    <row r="63" spans="3:11" x14ac:dyDescent="0.25">
      <c r="H63" s="215" t="s">
        <v>209</v>
      </c>
      <c r="I63" s="162" t="s">
        <v>208</v>
      </c>
      <c r="J63" s="162">
        <f>68-26</f>
        <v>42</v>
      </c>
      <c r="K63" s="318">
        <f>+J63*1.5</f>
        <v>63</v>
      </c>
    </row>
  </sheetData>
  <protectedRanges>
    <protectedRange password="D554" sqref="I39:I41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62" workbookViewId="0">
      <selection activeCell="A29" sqref="A29:L69"/>
    </sheetView>
  </sheetViews>
  <sheetFormatPr baseColWidth="10" defaultColWidth="11.42578125" defaultRowHeight="15.75" x14ac:dyDescent="0.25"/>
  <cols>
    <col min="1" max="1" width="2.42578125" style="162" customWidth="1"/>
    <col min="2" max="2" width="42.140625" style="162" customWidth="1"/>
    <col min="3" max="3" width="13.28515625" style="162" customWidth="1"/>
    <col min="4" max="4" width="13.28515625" style="163" customWidth="1"/>
    <col min="5" max="5" width="14.7109375" style="162" customWidth="1"/>
    <col min="6" max="6" width="16.5703125" style="162" customWidth="1"/>
    <col min="7" max="7" width="16.140625" style="162" customWidth="1"/>
    <col min="8" max="9" width="11.42578125" style="162"/>
    <col min="10" max="10" width="17" style="162" bestFit="1" customWidth="1"/>
    <col min="11" max="11" width="7.140625" style="162" bestFit="1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28"/>
      <c r="C4" s="328"/>
      <c r="D4" s="165">
        <f>D27</f>
        <v>7693.2539999999999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3884</v>
      </c>
      <c r="D5" s="172">
        <v>165.87799999999999</v>
      </c>
      <c r="E5" s="80">
        <f>+D5/$D$4</f>
        <v>2.1561487505807032E-2</v>
      </c>
      <c r="F5" s="58" t="s">
        <v>51</v>
      </c>
      <c r="G5" s="59">
        <v>45950</v>
      </c>
      <c r="H5" s="190">
        <v>6932</v>
      </c>
      <c r="I5" s="141">
        <v>6535.6479999999992</v>
      </c>
      <c r="J5" s="60">
        <f t="shared" ref="J5:J12" si="0">+I5/H5</f>
        <v>0.94282285054818227</v>
      </c>
    </row>
    <row r="6" spans="1:10" ht="15" customHeight="1" x14ac:dyDescent="0.25">
      <c r="A6" s="164"/>
      <c r="B6" s="169" t="s">
        <v>10</v>
      </c>
      <c r="C6" s="177">
        <v>19344</v>
      </c>
      <c r="D6" s="173">
        <v>825.14400000000001</v>
      </c>
      <c r="E6" s="80">
        <f t="shared" ref="E6:E27" si="1">+D6/$D$4</f>
        <v>0.10725552542526219</v>
      </c>
      <c r="F6" s="58" t="s">
        <v>52</v>
      </c>
      <c r="G6" s="59">
        <v>45951</v>
      </c>
      <c r="H6" s="190">
        <v>9157</v>
      </c>
      <c r="I6" s="141">
        <v>9354.4139999999989</v>
      </c>
      <c r="J6" s="60">
        <f t="shared" si="0"/>
        <v>1.0215588074696953</v>
      </c>
    </row>
    <row r="7" spans="1:10" ht="15" customHeight="1" x14ac:dyDescent="0.25">
      <c r="A7" s="164"/>
      <c r="B7" s="169" t="s">
        <v>35</v>
      </c>
      <c r="C7" s="177">
        <v>21329</v>
      </c>
      <c r="D7" s="173">
        <v>908.33399999999995</v>
      </c>
      <c r="E7" s="80">
        <f t="shared" si="1"/>
        <v>0.11806889516451685</v>
      </c>
      <c r="F7" s="58" t="s">
        <v>53</v>
      </c>
      <c r="G7" s="59">
        <v>45952</v>
      </c>
      <c r="H7" s="190">
        <v>8632</v>
      </c>
      <c r="I7" s="141">
        <v>9797.003999999999</v>
      </c>
      <c r="J7" s="60">
        <f t="shared" si="0"/>
        <v>1.1349633920296569</v>
      </c>
    </row>
    <row r="8" spans="1:10" ht="15" customHeight="1" x14ac:dyDescent="0.25">
      <c r="A8" s="164"/>
      <c r="B8" s="169" t="s">
        <v>4</v>
      </c>
      <c r="C8" s="177">
        <v>2290</v>
      </c>
      <c r="D8" s="173">
        <v>97.63</v>
      </c>
      <c r="E8" s="80">
        <f t="shared" si="1"/>
        <v>1.2690338834516578E-2</v>
      </c>
      <c r="F8" s="58" t="s">
        <v>54</v>
      </c>
      <c r="G8" s="59">
        <v>45953</v>
      </c>
      <c r="H8" s="190">
        <v>8339</v>
      </c>
      <c r="I8" s="141">
        <v>9370.3570000000018</v>
      </c>
      <c r="J8" s="60">
        <f t="shared" si="0"/>
        <v>1.1236787384578488</v>
      </c>
    </row>
    <row r="9" spans="1:10" ht="15" customHeight="1" x14ac:dyDescent="0.25">
      <c r="A9" s="164"/>
      <c r="B9" s="169" t="s">
        <v>37</v>
      </c>
      <c r="C9" s="177">
        <v>31299</v>
      </c>
      <c r="D9" s="173">
        <v>1334.7619999999999</v>
      </c>
      <c r="E9" s="245">
        <f t="shared" si="1"/>
        <v>0.17349771631093941</v>
      </c>
      <c r="F9" s="58" t="s">
        <v>55</v>
      </c>
      <c r="G9" s="59">
        <v>45954</v>
      </c>
      <c r="H9" s="190">
        <v>9105</v>
      </c>
      <c r="I9" s="141">
        <v>9370.35</v>
      </c>
      <c r="J9" s="60">
        <f t="shared" si="0"/>
        <v>1.0291433278418451</v>
      </c>
    </row>
    <row r="10" spans="1:10" ht="15" customHeight="1" x14ac:dyDescent="0.25">
      <c r="A10" s="164"/>
      <c r="B10" s="169" t="s">
        <v>38</v>
      </c>
      <c r="C10" s="177">
        <v>43401</v>
      </c>
      <c r="D10" s="173">
        <v>1851.268</v>
      </c>
      <c r="E10" s="245">
        <f t="shared" si="1"/>
        <v>0.24063523705313772</v>
      </c>
      <c r="F10" s="58" t="s">
        <v>56</v>
      </c>
      <c r="G10" s="59">
        <v>45955</v>
      </c>
      <c r="H10" s="190">
        <v>7143</v>
      </c>
      <c r="I10" s="141">
        <v>7353.38</v>
      </c>
      <c r="J10" s="60">
        <f t="shared" si="0"/>
        <v>1.0294526109477811</v>
      </c>
    </row>
    <row r="11" spans="1:10" ht="15" customHeight="1" x14ac:dyDescent="0.25">
      <c r="A11" s="164"/>
      <c r="B11" s="169" t="s">
        <v>42</v>
      </c>
      <c r="C11" s="177">
        <v>3190</v>
      </c>
      <c r="D11" s="173">
        <v>136.08199999999999</v>
      </c>
      <c r="E11" s="80">
        <f t="shared" si="1"/>
        <v>1.7688483962702908E-2</v>
      </c>
      <c r="F11" s="58" t="s">
        <v>57</v>
      </c>
      <c r="G11" s="59">
        <v>45956</v>
      </c>
      <c r="H11" s="190">
        <v>4609</v>
      </c>
      <c r="I11" s="141">
        <v>7693.2539999999999</v>
      </c>
      <c r="J11" s="60">
        <f t="shared" si="0"/>
        <v>1.6691807333477977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  <c r="H12" s="139">
        <f>+SUM(H5:H11)</f>
        <v>53917</v>
      </c>
      <c r="I12" s="142">
        <f>+SUM(I5:I11)</f>
        <v>59474.406999999999</v>
      </c>
      <c r="J12" s="140">
        <f t="shared" si="0"/>
        <v>1.1030733720347943</v>
      </c>
    </row>
    <row r="13" spans="1:10" ht="15" customHeight="1" x14ac:dyDescent="0.25">
      <c r="A13" s="164"/>
      <c r="B13" s="169" t="s">
        <v>196</v>
      </c>
      <c r="C13" s="177">
        <v>6852</v>
      </c>
      <c r="D13" s="173">
        <v>172.46</v>
      </c>
      <c r="E13" s="80">
        <f t="shared" si="1"/>
        <v>2.2417042255461733E-2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34</v>
      </c>
      <c r="C14" s="177"/>
      <c r="D14" s="173"/>
      <c r="E14" s="80">
        <f t="shared" si="1"/>
        <v>0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44</v>
      </c>
      <c r="C15" s="177">
        <v>108</v>
      </c>
      <c r="D15" s="173">
        <v>162.75</v>
      </c>
      <c r="E15" s="80">
        <f t="shared" si="1"/>
        <v>2.1154897524506534E-2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52</v>
      </c>
      <c r="D16" s="173">
        <v>78.215999999999994</v>
      </c>
      <c r="E16" s="80">
        <f t="shared" si="1"/>
        <v>1.0166829276662384E-2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45</v>
      </c>
      <c r="C17" s="177"/>
      <c r="D17" s="173"/>
      <c r="E17" s="80">
        <f t="shared" si="1"/>
        <v>0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43</v>
      </c>
      <c r="C18" s="177">
        <v>403</v>
      </c>
      <c r="D18" s="173">
        <v>608.84</v>
      </c>
      <c r="E18" s="80">
        <f t="shared" si="1"/>
        <v>7.9139464263106363E-2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194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39</v>
      </c>
      <c r="C20" s="177">
        <v>452</v>
      </c>
      <c r="D20" s="173">
        <v>682.4</v>
      </c>
      <c r="E20" s="80">
        <f t="shared" si="1"/>
        <v>8.8701087992155203E-2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41</v>
      </c>
      <c r="C21" s="177">
        <v>124</v>
      </c>
      <c r="D21" s="173">
        <v>186.53</v>
      </c>
      <c r="E21" s="80">
        <f t="shared" si="1"/>
        <v>2.4245917267257784E-2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88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B23" s="169" t="s">
        <v>40</v>
      </c>
      <c r="C23" s="177"/>
      <c r="D23" s="173">
        <v>332.28</v>
      </c>
      <c r="E23" s="80">
        <f t="shared" si="1"/>
        <v>4.3191086632522462E-2</v>
      </c>
      <c r="F23" s="112" t="s">
        <v>161</v>
      </c>
      <c r="G23" s="190">
        <v>237591.573</v>
      </c>
      <c r="H23" s="119">
        <f>+D28</f>
        <v>208018.40400000001</v>
      </c>
      <c r="I23" s="98">
        <f t="shared" si="2"/>
        <v>0.87552938588440599</v>
      </c>
      <c r="J23" s="108">
        <f>+H23-G23</f>
        <v>-29573.168999999994</v>
      </c>
    </row>
    <row r="24" spans="1:11" ht="15" customHeight="1" x14ac:dyDescent="0.25">
      <c r="B24" s="169" t="s">
        <v>184</v>
      </c>
      <c r="C24" s="177"/>
      <c r="D24" s="173"/>
      <c r="E24" s="80">
        <f t="shared" si="1"/>
        <v>0</v>
      </c>
      <c r="F24" s="163"/>
    </row>
    <row r="25" spans="1:11" ht="15" customHeight="1" x14ac:dyDescent="0.25">
      <c r="B25" s="169" t="s">
        <v>9</v>
      </c>
      <c r="C25" s="177"/>
      <c r="D25" s="173">
        <v>58.92</v>
      </c>
      <c r="E25" s="80">
        <f t="shared" si="1"/>
        <v>7.6586578319135182E-3</v>
      </c>
    </row>
    <row r="26" spans="1:11" ht="15" customHeight="1" thickBot="1" x14ac:dyDescent="0.3">
      <c r="B26" s="169" t="s">
        <v>46</v>
      </c>
      <c r="C26" s="177"/>
      <c r="D26" s="173">
        <v>91.76</v>
      </c>
      <c r="E26" s="80">
        <f t="shared" si="1"/>
        <v>1.1927332699531305E-2</v>
      </c>
    </row>
    <row r="27" spans="1:11" ht="15" customHeight="1" thickBot="1" x14ac:dyDescent="0.3">
      <c r="B27" s="178" t="s">
        <v>0</v>
      </c>
      <c r="C27" s="170"/>
      <c r="D27" s="171">
        <f>SUM(D5:D26)</f>
        <v>7693.2539999999999</v>
      </c>
      <c r="E27" s="80">
        <f t="shared" si="1"/>
        <v>1</v>
      </c>
      <c r="F27" s="179"/>
      <c r="G27" s="179"/>
      <c r="J27" s="179"/>
    </row>
    <row r="28" spans="1:11" ht="15" customHeight="1" thickBot="1" x14ac:dyDescent="0.3">
      <c r="B28" s="166" t="s">
        <v>1</v>
      </c>
      <c r="C28" s="167"/>
      <c r="D28" s="233">
        <v>208018.40400000001</v>
      </c>
      <c r="E28" s="313">
        <f>+D28/E2</f>
        <v>0.87979385623275541</v>
      </c>
      <c r="F28" s="179"/>
      <c r="G28" s="179"/>
      <c r="J28" s="179"/>
    </row>
    <row r="29" spans="1:11" ht="15" customHeight="1" x14ac:dyDescent="0.25">
      <c r="D29" s="108">
        <f>+(E2/31)*26</f>
        <v>198304.46334689183</v>
      </c>
      <c r="E29" s="314">
        <f>+D29/E2</f>
        <v>0.83870967741935498</v>
      </c>
      <c r="K29" s="215"/>
    </row>
    <row r="30" spans="1:11" ht="15" customHeight="1" x14ac:dyDescent="0.25">
      <c r="D30" s="183">
        <f>+D28-D29</f>
        <v>9713.9406531081768</v>
      </c>
      <c r="E30" s="99">
        <f>E28-E29</f>
        <v>4.1084178813400429E-2</v>
      </c>
      <c r="K30" s="215"/>
    </row>
    <row r="31" spans="1:11" ht="15" customHeight="1" x14ac:dyDescent="0.25">
      <c r="G31" s="300" t="s">
        <v>190</v>
      </c>
      <c r="H31" s="87">
        <v>122</v>
      </c>
      <c r="I31" s="88">
        <f>+H31*1.5</f>
        <v>183</v>
      </c>
      <c r="K31" s="215"/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  <c r="K32" s="215"/>
    </row>
    <row r="33" spans="1:11" ht="15" customHeight="1" x14ac:dyDescent="0.25">
      <c r="B33" s="162" t="s">
        <v>61</v>
      </c>
      <c r="C33" s="162">
        <v>1333</v>
      </c>
      <c r="D33" s="108">
        <v>2142</v>
      </c>
      <c r="E33" s="57">
        <f>+C33/D33</f>
        <v>0.62231559290382821</v>
      </c>
      <c r="G33" s="86" t="s">
        <v>86</v>
      </c>
      <c r="H33" s="87">
        <f>15438+414+1080+654-1080-1080</f>
        <v>15426</v>
      </c>
      <c r="I33" s="88">
        <f>+H33*0.025</f>
        <v>385.65000000000003</v>
      </c>
      <c r="J33" s="224">
        <f>15*72</f>
        <v>1080</v>
      </c>
      <c r="K33" s="215"/>
    </row>
    <row r="34" spans="1:11" ht="15" customHeight="1" x14ac:dyDescent="0.25">
      <c r="B34" s="162" t="s">
        <v>62</v>
      </c>
      <c r="C34" s="162">
        <v>1136</v>
      </c>
      <c r="D34" s="108">
        <v>1890</v>
      </c>
      <c r="E34" s="57">
        <f>+C34/D34</f>
        <v>0.60105820105820107</v>
      </c>
      <c r="G34" s="86" t="s">
        <v>171</v>
      </c>
      <c r="H34" s="87">
        <v>12</v>
      </c>
      <c r="I34" s="88">
        <v>0.30000000000000004</v>
      </c>
      <c r="J34" s="297" t="s">
        <v>188</v>
      </c>
      <c r="K34" s="215"/>
    </row>
    <row r="35" spans="1:11" ht="15" customHeight="1" x14ac:dyDescent="0.25">
      <c r="B35" s="162" t="s">
        <v>63</v>
      </c>
      <c r="C35" s="67">
        <v>1213</v>
      </c>
      <c r="D35" s="108">
        <v>3006</v>
      </c>
      <c r="E35" s="57">
        <f>+C35/D35</f>
        <v>0.40352628077178976</v>
      </c>
      <c r="G35" s="89" t="s">
        <v>169</v>
      </c>
      <c r="H35" s="87">
        <f>196-40</f>
        <v>156</v>
      </c>
      <c r="I35" s="88">
        <f>+H35*1.5</f>
        <v>234</v>
      </c>
      <c r="J35" s="298">
        <f>+I35+I33</f>
        <v>619.65000000000009</v>
      </c>
      <c r="K35" s="215" t="s">
        <v>191</v>
      </c>
    </row>
    <row r="36" spans="1:11" ht="15" customHeight="1" x14ac:dyDescent="0.25">
      <c r="C36" s="162">
        <f>+SUM(C33:C35)</f>
        <v>3682</v>
      </c>
      <c r="D36" s="110">
        <f>+SUM(D33:D35)</f>
        <v>7038</v>
      </c>
      <c r="E36" s="57">
        <f>+C36/D36</f>
        <v>0.5231599886331344</v>
      </c>
      <c r="G36" s="89" t="s">
        <v>168</v>
      </c>
      <c r="H36" s="87">
        <v>0</v>
      </c>
      <c r="I36" s="88">
        <f>+H36*1.5</f>
        <v>0</v>
      </c>
      <c r="J36" s="228" t="s">
        <v>193</v>
      </c>
      <c r="K36" s="215"/>
    </row>
    <row r="37" spans="1:11" ht="15" customHeight="1" x14ac:dyDescent="0.25">
      <c r="G37" s="231" t="s">
        <v>123</v>
      </c>
      <c r="H37" s="138">
        <v>231</v>
      </c>
      <c r="I37" s="232">
        <v>346.5</v>
      </c>
      <c r="J37" s="218" t="s">
        <v>146</v>
      </c>
      <c r="K37" s="215"/>
    </row>
    <row r="38" spans="1:11" ht="15" customHeight="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  <c r="K38" s="215"/>
    </row>
    <row r="39" spans="1:11" ht="15" customHeight="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219</v>
      </c>
      <c r="I39" s="88">
        <f>+H39*1.5</f>
        <v>328.5</v>
      </c>
      <c r="J39" s="224" t="s">
        <v>152</v>
      </c>
      <c r="K39" s="215"/>
    </row>
    <row r="40" spans="1:11" ht="15" customHeight="1" x14ac:dyDescent="0.25">
      <c r="B40" s="73">
        <v>17</v>
      </c>
      <c r="C40" s="74">
        <v>1</v>
      </c>
      <c r="D40" s="74">
        <v>1</v>
      </c>
      <c r="E40" s="75">
        <f>+SUM(B40:D40)</f>
        <v>19</v>
      </c>
      <c r="J40" s="218"/>
      <c r="K40" s="215"/>
    </row>
    <row r="41" spans="1:11" ht="15" customHeight="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  <c r="K41" s="215"/>
    </row>
    <row r="42" spans="1:11" ht="15" customHeight="1" x14ac:dyDescent="0.25">
      <c r="D42" s="162"/>
      <c r="G42" s="71" t="s">
        <v>90</v>
      </c>
      <c r="H42" s="144" t="s">
        <v>120</v>
      </c>
      <c r="I42" s="145">
        <v>0</v>
      </c>
      <c r="J42" s="218"/>
      <c r="K42" s="215"/>
    </row>
    <row r="43" spans="1:11" ht="15" customHeight="1" x14ac:dyDescent="0.25">
      <c r="A43" s="207" t="s">
        <v>70</v>
      </c>
      <c r="B43" s="199">
        <v>0</v>
      </c>
      <c r="C43" s="199">
        <v>1894</v>
      </c>
      <c r="D43" s="200">
        <v>2400</v>
      </c>
      <c r="E43" s="201">
        <f t="shared" ref="E43:E48" si="3">+C43/D43</f>
        <v>0.78916666666666668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  <c r="K43" s="215"/>
    </row>
    <row r="44" spans="1:11" ht="15" customHeight="1" x14ac:dyDescent="0.25">
      <c r="A44" s="207" t="s">
        <v>71</v>
      </c>
      <c r="B44" s="199">
        <v>3.5</v>
      </c>
      <c r="C44" s="199">
        <v>1565</v>
      </c>
      <c r="D44" s="200">
        <v>3600</v>
      </c>
      <c r="E44" s="201">
        <f t="shared" si="3"/>
        <v>0.43472222222222223</v>
      </c>
      <c r="F44" s="201">
        <f t="shared" si="4"/>
        <v>0.14583333333333334</v>
      </c>
      <c r="G44" s="202">
        <v>12</v>
      </c>
      <c r="H44" s="71"/>
      <c r="K44" s="215"/>
    </row>
    <row r="45" spans="1:11" x14ac:dyDescent="0.25">
      <c r="A45" s="207" t="s">
        <v>72</v>
      </c>
      <c r="B45" s="199">
        <v>11.25</v>
      </c>
      <c r="C45" s="199">
        <v>1429</v>
      </c>
      <c r="D45" s="200">
        <v>3900</v>
      </c>
      <c r="E45" s="201">
        <f t="shared" si="3"/>
        <v>0.36641025641025643</v>
      </c>
      <c r="F45" s="201">
        <f t="shared" si="4"/>
        <v>0.46875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15.43</v>
      </c>
      <c r="C46" s="199">
        <v>2911</v>
      </c>
      <c r="D46" s="200">
        <v>3900</v>
      </c>
      <c r="E46" s="201">
        <f t="shared" si="3"/>
        <v>0.74641025641025638</v>
      </c>
      <c r="F46" s="201">
        <f t="shared" si="4"/>
        <v>0.64291666666666669</v>
      </c>
      <c r="G46" s="202">
        <v>12</v>
      </c>
      <c r="H46" s="301">
        <v>45925</v>
      </c>
      <c r="I46" s="129" t="s">
        <v>176</v>
      </c>
      <c r="J46" s="162">
        <v>143</v>
      </c>
      <c r="K46" s="318">
        <f t="shared" ref="K46:K51" si="5">+J46*1.5</f>
        <v>214.5</v>
      </c>
    </row>
    <row r="47" spans="1:11" x14ac:dyDescent="0.25">
      <c r="A47" s="207" t="s">
        <v>74</v>
      </c>
      <c r="B47" s="199">
        <v>17.32</v>
      </c>
      <c r="C47" s="199">
        <v>2479</v>
      </c>
      <c r="D47" s="200">
        <v>3900</v>
      </c>
      <c r="E47" s="201">
        <f t="shared" si="3"/>
        <v>0.63564102564102565</v>
      </c>
      <c r="F47" s="201">
        <f t="shared" si="4"/>
        <v>0.72166666666666668</v>
      </c>
      <c r="G47" s="202">
        <v>12</v>
      </c>
      <c r="H47" s="301">
        <v>45931</v>
      </c>
      <c r="I47" s="129" t="s">
        <v>176</v>
      </c>
      <c r="J47" s="162">
        <v>47</v>
      </c>
      <c r="K47" s="318">
        <f t="shared" si="5"/>
        <v>70.5</v>
      </c>
    </row>
    <row r="48" spans="1:11" x14ac:dyDescent="0.25">
      <c r="A48" s="259" t="s">
        <v>75</v>
      </c>
      <c r="B48" s="260">
        <v>3.95</v>
      </c>
      <c r="C48" s="261">
        <v>2110</v>
      </c>
      <c r="D48" s="262">
        <v>4300</v>
      </c>
      <c r="E48" s="263">
        <f t="shared" si="3"/>
        <v>0.49069767441860462</v>
      </c>
      <c r="F48" s="201">
        <f t="shared" si="4"/>
        <v>0.16458333333333333</v>
      </c>
      <c r="G48" s="202">
        <v>16</v>
      </c>
      <c r="H48" s="301">
        <v>45939</v>
      </c>
      <c r="I48" s="129" t="s">
        <v>176</v>
      </c>
      <c r="J48" s="162">
        <v>49</v>
      </c>
      <c r="K48" s="318">
        <f t="shared" si="5"/>
        <v>73.5</v>
      </c>
    </row>
    <row r="49" spans="2:11" x14ac:dyDescent="0.25">
      <c r="C49" s="71" t="s">
        <v>83</v>
      </c>
      <c r="D49" s="72" t="s">
        <v>79</v>
      </c>
      <c r="H49" s="301">
        <v>45952</v>
      </c>
      <c r="I49" s="129" t="s">
        <v>175</v>
      </c>
      <c r="J49" s="162">
        <v>45</v>
      </c>
      <c r="K49" s="318">
        <f t="shared" si="5"/>
        <v>67.5</v>
      </c>
    </row>
    <row r="50" spans="2:11" x14ac:dyDescent="0.25">
      <c r="B50" s="162" t="s">
        <v>78</v>
      </c>
      <c r="H50" s="301">
        <v>45952</v>
      </c>
      <c r="I50" s="129" t="s">
        <v>175</v>
      </c>
      <c r="J50" s="162">
        <v>16</v>
      </c>
      <c r="K50" s="318">
        <f t="shared" si="5"/>
        <v>24</v>
      </c>
    </row>
    <row r="51" spans="2:11" x14ac:dyDescent="0.25">
      <c r="C51" s="71">
        <v>1</v>
      </c>
      <c r="D51" s="225" t="s">
        <v>153</v>
      </c>
      <c r="H51" s="301">
        <v>45952</v>
      </c>
      <c r="I51" s="129" t="s">
        <v>176</v>
      </c>
      <c r="J51" s="162">
        <v>72</v>
      </c>
      <c r="K51" s="318">
        <f t="shared" si="5"/>
        <v>108</v>
      </c>
    </row>
    <row r="52" spans="2:11" x14ac:dyDescent="0.25">
      <c r="C52" s="71">
        <v>2</v>
      </c>
      <c r="D52" s="225" t="s">
        <v>153</v>
      </c>
      <c r="J52" s="162">
        <f>+J51+J50</f>
        <v>88</v>
      </c>
      <c r="K52" s="162">
        <f>+K51+K50</f>
        <v>132</v>
      </c>
    </row>
    <row r="53" spans="2:11" x14ac:dyDescent="0.25">
      <c r="C53" s="71">
        <v>3</v>
      </c>
      <c r="D53" s="225" t="s">
        <v>154</v>
      </c>
    </row>
    <row r="54" spans="2:11" x14ac:dyDescent="0.25">
      <c r="C54" s="71">
        <v>4</v>
      </c>
      <c r="D54" s="108">
        <v>0</v>
      </c>
      <c r="H54" s="237" t="s">
        <v>197</v>
      </c>
      <c r="J54" s="162" t="s">
        <v>157</v>
      </c>
      <c r="K54" s="215" t="s">
        <v>92</v>
      </c>
    </row>
    <row r="55" spans="2:11" x14ac:dyDescent="0.25">
      <c r="C55" s="71">
        <v>5</v>
      </c>
      <c r="D55" s="108">
        <v>13</v>
      </c>
      <c r="H55" s="301">
        <v>45929</v>
      </c>
      <c r="I55" s="129" t="s">
        <v>176</v>
      </c>
      <c r="J55" s="162">
        <v>5120</v>
      </c>
      <c r="K55" s="318">
        <f>+J55*0.025</f>
        <v>128</v>
      </c>
    </row>
    <row r="56" spans="2:11" x14ac:dyDescent="0.25">
      <c r="C56" s="71">
        <v>6</v>
      </c>
      <c r="D56" s="108">
        <v>1</v>
      </c>
      <c r="H56" s="301">
        <v>45939</v>
      </c>
      <c r="I56" s="129" t="s">
        <v>176</v>
      </c>
      <c r="J56" s="162">
        <v>430</v>
      </c>
      <c r="K56" s="318">
        <f>+J56*0.025</f>
        <v>10.75</v>
      </c>
    </row>
    <row r="57" spans="2:11" x14ac:dyDescent="0.25">
      <c r="C57" s="71">
        <v>7</v>
      </c>
      <c r="D57" s="225" t="s">
        <v>153</v>
      </c>
      <c r="H57" s="301">
        <v>45940</v>
      </c>
      <c r="I57" s="129" t="s">
        <v>175</v>
      </c>
      <c r="J57" s="162">
        <v>1080</v>
      </c>
      <c r="K57" s="318">
        <f>+J57*0.025</f>
        <v>27</v>
      </c>
    </row>
    <row r="58" spans="2:11" x14ac:dyDescent="0.25">
      <c r="C58" s="71">
        <v>8</v>
      </c>
      <c r="D58" s="225" t="s">
        <v>153</v>
      </c>
    </row>
    <row r="59" spans="2:11" x14ac:dyDescent="0.25">
      <c r="H59" s="237" t="s">
        <v>205</v>
      </c>
      <c r="J59" s="162" t="s">
        <v>177</v>
      </c>
      <c r="K59" s="215" t="s">
        <v>92</v>
      </c>
    </row>
    <row r="60" spans="2:11" x14ac:dyDescent="0.25">
      <c r="H60" s="301">
        <v>45942</v>
      </c>
      <c r="I60" s="129" t="s">
        <v>176</v>
      </c>
      <c r="J60" s="162">
        <v>47</v>
      </c>
      <c r="K60" s="318">
        <f>+J60*1.5</f>
        <v>70.5</v>
      </c>
    </row>
    <row r="61" spans="2:11" x14ac:dyDescent="0.25">
      <c r="D61" s="93"/>
      <c r="I61" s="129"/>
      <c r="K61" s="215"/>
    </row>
    <row r="62" spans="2:11" x14ac:dyDescent="0.25">
      <c r="D62" s="93"/>
      <c r="H62" s="237" t="s">
        <v>167</v>
      </c>
      <c r="J62" s="162" t="s">
        <v>157</v>
      </c>
      <c r="K62" s="215" t="s">
        <v>92</v>
      </c>
    </row>
    <row r="63" spans="2:11" x14ac:dyDescent="0.25">
      <c r="H63" s="301">
        <v>45949</v>
      </c>
      <c r="I63" s="129" t="s">
        <v>207</v>
      </c>
      <c r="J63" s="68">
        <v>383</v>
      </c>
      <c r="K63" s="318">
        <f>+J63*1.5</f>
        <v>574.5</v>
      </c>
    </row>
    <row r="64" spans="2:11" x14ac:dyDescent="0.25">
      <c r="H64" s="301">
        <v>45950</v>
      </c>
      <c r="I64" s="129" t="s">
        <v>175</v>
      </c>
      <c r="J64" s="68">
        <v>99</v>
      </c>
      <c r="K64" s="318">
        <f>+J64*1.5</f>
        <v>148.5</v>
      </c>
    </row>
    <row r="65" spans="8:11" x14ac:dyDescent="0.25">
      <c r="H65" s="215" t="s">
        <v>209</v>
      </c>
      <c r="I65" s="162" t="s">
        <v>208</v>
      </c>
      <c r="J65" s="162">
        <f>68-26</f>
        <v>42</v>
      </c>
      <c r="K65" s="318">
        <f>+J65*1.5</f>
        <v>63</v>
      </c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31" workbookViewId="0">
      <selection activeCell="E45" sqref="E45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4.7109375" style="162" customWidth="1"/>
    <col min="6" max="6" width="16.140625" style="162" customWidth="1"/>
    <col min="7" max="7" width="16.85546875" style="162" customWidth="1"/>
    <col min="8" max="8" width="9.5703125" style="162" customWidth="1"/>
    <col min="9" max="9" width="8.42578125" style="162" bestFit="1" customWidth="1"/>
    <col min="10" max="10" width="7.42578125" style="162" bestFit="1" customWidth="1"/>
    <col min="11" max="16384" width="11.42578125" style="162"/>
  </cols>
  <sheetData>
    <row r="1" spans="1:10" ht="15" customHeight="1" x14ac:dyDescent="0.25">
      <c r="A1" s="161"/>
      <c r="B1" s="518">
        <v>45958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29"/>
      <c r="C4" s="329"/>
      <c r="D4" s="165">
        <f>D27</f>
        <v>10187.575999999997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2387</v>
      </c>
      <c r="D5" s="172">
        <v>101.61199999999999</v>
      </c>
      <c r="E5" s="80">
        <f>+D5/$D$4</f>
        <v>9.9741096409980169E-3</v>
      </c>
      <c r="F5" s="58" t="s">
        <v>51</v>
      </c>
      <c r="G5" s="59">
        <v>45957</v>
      </c>
      <c r="H5" s="190">
        <v>6668</v>
      </c>
      <c r="I5" s="141">
        <v>6292.96</v>
      </c>
      <c r="J5" s="60">
        <f t="shared" ref="J5:J12" si="0">+I5/H5</f>
        <v>0.94375524895021001</v>
      </c>
    </row>
    <row r="6" spans="1:10" ht="15" customHeight="1" x14ac:dyDescent="0.25">
      <c r="A6" s="164"/>
      <c r="B6" s="169" t="s">
        <v>10</v>
      </c>
      <c r="C6" s="177">
        <v>22309</v>
      </c>
      <c r="D6" s="173">
        <v>952.19399999999996</v>
      </c>
      <c r="E6" s="80">
        <f t="shared" ref="E6:E27" si="1">+D6/$D$4</f>
        <v>9.3466198436212913E-2</v>
      </c>
      <c r="F6" s="58" t="s">
        <v>52</v>
      </c>
      <c r="G6" s="59">
        <v>45958</v>
      </c>
      <c r="H6" s="190">
        <v>9278</v>
      </c>
      <c r="I6" s="141">
        <v>10187.575999999997</v>
      </c>
      <c r="J6" s="60">
        <f t="shared" si="0"/>
        <v>1.0980357835740457</v>
      </c>
    </row>
    <row r="7" spans="1:10" ht="15" customHeight="1" x14ac:dyDescent="0.25">
      <c r="A7" s="164"/>
      <c r="B7" s="169" t="s">
        <v>35</v>
      </c>
      <c r="C7" s="177">
        <v>24674</v>
      </c>
      <c r="D7" s="173">
        <v>1050.806</v>
      </c>
      <c r="E7" s="80">
        <f t="shared" si="1"/>
        <v>0.10314583174643313</v>
      </c>
      <c r="F7" s="58" t="s">
        <v>53</v>
      </c>
      <c r="G7" s="59">
        <v>45959</v>
      </c>
      <c r="H7" s="190">
        <v>9287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2323</v>
      </c>
      <c r="D8" s="173">
        <v>99.12</v>
      </c>
      <c r="E8" s="80">
        <f t="shared" si="1"/>
        <v>9.7294979688985917E-3</v>
      </c>
      <c r="F8" s="58" t="s">
        <v>54</v>
      </c>
      <c r="G8" s="59">
        <v>45960</v>
      </c>
      <c r="H8" s="190">
        <v>9024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49908</v>
      </c>
      <c r="D9" s="173">
        <v>2128.92</v>
      </c>
      <c r="E9" s="245">
        <f t="shared" si="1"/>
        <v>0.20897218337315968</v>
      </c>
      <c r="F9" s="58" t="s">
        <v>55</v>
      </c>
      <c r="G9" s="59">
        <v>45961</v>
      </c>
      <c r="H9" s="190">
        <v>8857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65796</v>
      </c>
      <c r="D10" s="173">
        <v>2804.7179999999998</v>
      </c>
      <c r="E10" s="245">
        <f t="shared" si="1"/>
        <v>0.27530768850215209</v>
      </c>
      <c r="F10" s="58" t="s">
        <v>56</v>
      </c>
      <c r="G10" s="59">
        <v>45962</v>
      </c>
      <c r="H10" s="190">
        <v>7425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12521</v>
      </c>
      <c r="D11" s="173">
        <v>534.76599999999996</v>
      </c>
      <c r="E11" s="80">
        <f t="shared" si="1"/>
        <v>5.2491976501574084E-2</v>
      </c>
      <c r="F11" s="58" t="s">
        <v>57</v>
      </c>
      <c r="G11" s="59">
        <v>45963</v>
      </c>
      <c r="H11" s="190">
        <v>7221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  <c r="H12" s="139">
        <f>+SUM(H5:H11)</f>
        <v>57760</v>
      </c>
      <c r="I12" s="142">
        <f>+SUM(I5:I11)</f>
        <v>16480.535999999996</v>
      </c>
      <c r="J12" s="140">
        <f t="shared" si="0"/>
        <v>0.28532783933517997</v>
      </c>
    </row>
    <row r="13" spans="1:10" ht="15" customHeight="1" x14ac:dyDescent="0.25">
      <c r="A13" s="164"/>
      <c r="B13" s="169" t="s">
        <v>196</v>
      </c>
      <c r="C13" s="177">
        <v>1368</v>
      </c>
      <c r="D13" s="173">
        <v>34.479999999999997</v>
      </c>
      <c r="E13" s="80">
        <f t="shared" si="1"/>
        <v>3.3845146284062085E-3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95</v>
      </c>
      <c r="C14" s="177">
        <v>4068</v>
      </c>
      <c r="D14" s="173">
        <v>102.95</v>
      </c>
      <c r="E14" s="80">
        <f t="shared" si="1"/>
        <v>1.0105446084524919E-2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44</v>
      </c>
      <c r="C15" s="177">
        <v>43</v>
      </c>
      <c r="D15" s="173">
        <v>64.75</v>
      </c>
      <c r="E15" s="80">
        <f t="shared" si="1"/>
        <v>6.3557808059542349E-3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194</v>
      </c>
      <c r="C16" s="177">
        <v>131</v>
      </c>
      <c r="D16" s="173">
        <v>197.58</v>
      </c>
      <c r="E16" s="80">
        <f t="shared" si="1"/>
        <v>1.9394211145026066E-2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43</v>
      </c>
      <c r="C17" s="177">
        <v>346</v>
      </c>
      <c r="D17" s="173">
        <v>522.34</v>
      </c>
      <c r="E17" s="80">
        <f t="shared" si="1"/>
        <v>5.1272255539492433E-2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39</v>
      </c>
      <c r="C18" s="177">
        <v>308</v>
      </c>
      <c r="D18" s="173">
        <v>465.04</v>
      </c>
      <c r="E18" s="80">
        <f t="shared" si="1"/>
        <v>4.5647757621636406E-2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49</v>
      </c>
      <c r="C19" s="177">
        <v>64</v>
      </c>
      <c r="D19" s="173">
        <v>96.14</v>
      </c>
      <c r="E19" s="80">
        <f t="shared" si="1"/>
        <v>9.4369848136593073E-3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45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41</v>
      </c>
      <c r="C21" s="177">
        <v>205</v>
      </c>
      <c r="D21" s="173">
        <v>308.8</v>
      </c>
      <c r="E21" s="80">
        <f t="shared" si="1"/>
        <v>3.0311430314728459E-2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88</v>
      </c>
      <c r="C22" s="177"/>
      <c r="D22" s="173">
        <v>90.8</v>
      </c>
      <c r="E22" s="80">
        <f t="shared" si="1"/>
        <v>8.9128169448748178E-3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B23" s="169" t="s">
        <v>40</v>
      </c>
      <c r="C23" s="177"/>
      <c r="D23" s="173">
        <v>543.79999999999995</v>
      </c>
      <c r="E23" s="80">
        <f t="shared" si="1"/>
        <v>5.3378742892322972E-2</v>
      </c>
      <c r="F23" s="112" t="s">
        <v>161</v>
      </c>
      <c r="G23" s="190">
        <v>237591.573</v>
      </c>
      <c r="H23" s="119">
        <f>+D28</f>
        <v>224632.38</v>
      </c>
      <c r="I23" s="98">
        <f t="shared" si="2"/>
        <v>0.94545600739804014</v>
      </c>
      <c r="J23" s="108">
        <f>+H23-G23</f>
        <v>-12959.192999999999</v>
      </c>
    </row>
    <row r="24" spans="1:11" ht="15" customHeight="1" x14ac:dyDescent="0.25">
      <c r="B24" s="169" t="s">
        <v>184</v>
      </c>
      <c r="C24" s="177"/>
      <c r="D24" s="173"/>
      <c r="E24" s="80">
        <f t="shared" si="1"/>
        <v>0</v>
      </c>
      <c r="F24" s="163"/>
    </row>
    <row r="25" spans="1:11" ht="15" customHeight="1" x14ac:dyDescent="0.25">
      <c r="B25" s="169" t="s">
        <v>9</v>
      </c>
      <c r="C25" s="177"/>
      <c r="D25" s="173">
        <v>60.83</v>
      </c>
      <c r="E25" s="80">
        <f t="shared" si="1"/>
        <v>5.9709984004045723E-3</v>
      </c>
    </row>
    <row r="26" spans="1:11" ht="15" customHeight="1" thickBot="1" x14ac:dyDescent="0.3">
      <c r="B26" s="169" t="s">
        <v>46</v>
      </c>
      <c r="C26" s="177"/>
      <c r="D26" s="173">
        <v>27.93</v>
      </c>
      <c r="E26" s="80">
        <f t="shared" si="1"/>
        <v>2.7415746395413401E-3</v>
      </c>
    </row>
    <row r="27" spans="1:11" ht="15" customHeight="1" thickBot="1" x14ac:dyDescent="0.3">
      <c r="B27" s="178" t="s">
        <v>0</v>
      </c>
      <c r="C27" s="170"/>
      <c r="D27" s="171">
        <f>SUM(D5:D26)</f>
        <v>10187.575999999997</v>
      </c>
      <c r="E27" s="80">
        <f t="shared" si="1"/>
        <v>1</v>
      </c>
      <c r="F27" s="179"/>
      <c r="G27" s="179"/>
      <c r="J27" s="179"/>
    </row>
    <row r="28" spans="1:11" ht="15" customHeight="1" thickBot="1" x14ac:dyDescent="0.3">
      <c r="B28" s="166" t="s">
        <v>1</v>
      </c>
      <c r="C28" s="167"/>
      <c r="D28" s="233">
        <v>224632.38</v>
      </c>
      <c r="E28" s="313">
        <f>+D28/E2</f>
        <v>0.95006107168739584</v>
      </c>
      <c r="F28" s="179"/>
      <c r="G28" s="179"/>
      <c r="J28" s="179"/>
    </row>
    <row r="29" spans="1:11" ht="15" customHeight="1" x14ac:dyDescent="0.25">
      <c r="D29" s="108">
        <f>+(E2/31)*28</f>
        <v>213558.65283511428</v>
      </c>
      <c r="E29" s="314">
        <f>+D29/E2</f>
        <v>0.90322580645161299</v>
      </c>
      <c r="K29" s="215"/>
    </row>
    <row r="30" spans="1:11" ht="15" customHeight="1" x14ac:dyDescent="0.25">
      <c r="D30" s="183">
        <f>+D28-D29</f>
        <v>11073.727164885728</v>
      </c>
      <c r="E30" s="99">
        <f>E28-E29</f>
        <v>4.6835265235782852E-2</v>
      </c>
      <c r="K30" s="215"/>
    </row>
    <row r="31" spans="1:11" ht="15" customHeight="1" x14ac:dyDescent="0.25">
      <c r="G31" s="300" t="s">
        <v>190</v>
      </c>
      <c r="H31" s="87">
        <v>60</v>
      </c>
      <c r="I31" s="88">
        <f>+H31*1.5</f>
        <v>90</v>
      </c>
      <c r="K31" s="215"/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  <c r="K32" s="215"/>
    </row>
    <row r="33" spans="1:11" ht="15" customHeight="1" x14ac:dyDescent="0.25">
      <c r="B33" s="162" t="s">
        <v>61</v>
      </c>
      <c r="C33" s="162">
        <v>718</v>
      </c>
      <c r="D33" s="108">
        <v>2142</v>
      </c>
      <c r="E33" s="57">
        <f>+C33/D33</f>
        <v>0.33520074696545282</v>
      </c>
      <c r="G33" s="86" t="s">
        <v>86</v>
      </c>
      <c r="H33" s="87">
        <v>17691</v>
      </c>
      <c r="I33" s="88">
        <f>+H33*0.025</f>
        <v>442.27500000000003</v>
      </c>
      <c r="J33" s="224">
        <f>15*72</f>
        <v>1080</v>
      </c>
      <c r="K33" s="215"/>
    </row>
    <row r="34" spans="1:11" ht="15" customHeight="1" x14ac:dyDescent="0.25">
      <c r="B34" s="162" t="s">
        <v>62</v>
      </c>
      <c r="C34" s="162">
        <v>672</v>
      </c>
      <c r="D34" s="108">
        <v>1890</v>
      </c>
      <c r="E34" s="57">
        <f>+C34/D34</f>
        <v>0.35555555555555557</v>
      </c>
      <c r="G34" s="86" t="s">
        <v>171</v>
      </c>
      <c r="H34" s="87">
        <v>0</v>
      </c>
      <c r="I34" s="88">
        <v>0</v>
      </c>
      <c r="J34" s="297" t="s">
        <v>188</v>
      </c>
      <c r="K34" s="215"/>
    </row>
    <row r="35" spans="1:11" ht="15" customHeight="1" x14ac:dyDescent="0.25">
      <c r="B35" s="162" t="s">
        <v>63</v>
      </c>
      <c r="C35" s="67">
        <v>320</v>
      </c>
      <c r="D35" s="108">
        <v>3006</v>
      </c>
      <c r="E35" s="57">
        <f>+C35/D35</f>
        <v>0.10645375914836992</v>
      </c>
      <c r="G35" s="89" t="s">
        <v>169</v>
      </c>
      <c r="H35" s="87">
        <v>73</v>
      </c>
      <c r="I35" s="88">
        <f>+H35*1.5</f>
        <v>109.5</v>
      </c>
      <c r="J35" s="298">
        <f>+I35+I33</f>
        <v>551.77500000000009</v>
      </c>
      <c r="K35" s="215" t="s">
        <v>191</v>
      </c>
    </row>
    <row r="36" spans="1:11" ht="15" customHeight="1" x14ac:dyDescent="0.25">
      <c r="C36" s="162">
        <f>+SUM(C33:C35)</f>
        <v>1710</v>
      </c>
      <c r="D36" s="110">
        <f>+SUM(D33:D35)</f>
        <v>7038</v>
      </c>
      <c r="E36" s="57">
        <f>+C36/D36</f>
        <v>0.24296675191815856</v>
      </c>
      <c r="G36" s="89" t="s">
        <v>168</v>
      </c>
      <c r="H36" s="87">
        <v>0</v>
      </c>
      <c r="I36" s="88">
        <f>+H36*1.5</f>
        <v>0</v>
      </c>
      <c r="J36" s="228" t="s">
        <v>193</v>
      </c>
      <c r="K36" s="215"/>
    </row>
    <row r="37" spans="1:11" ht="15" customHeight="1" x14ac:dyDescent="0.25">
      <c r="G37" s="231" t="s">
        <v>123</v>
      </c>
      <c r="H37" s="138">
        <v>231</v>
      </c>
      <c r="I37" s="232">
        <v>346.5</v>
      </c>
      <c r="J37" s="218" t="s">
        <v>146</v>
      </c>
      <c r="K37" s="215"/>
    </row>
    <row r="38" spans="1:11" ht="15" customHeight="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  <c r="K38" s="215"/>
    </row>
    <row r="39" spans="1:11" ht="15" customHeight="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219</v>
      </c>
      <c r="I39" s="88">
        <f>+H39*1.5</f>
        <v>328.5</v>
      </c>
      <c r="J39" s="224" t="s">
        <v>152</v>
      </c>
      <c r="K39" s="215"/>
    </row>
    <row r="40" spans="1:11" ht="15" customHeight="1" x14ac:dyDescent="0.25">
      <c r="B40" s="73">
        <v>42</v>
      </c>
      <c r="C40" s="74">
        <v>5</v>
      </c>
      <c r="D40" s="74">
        <v>19</v>
      </c>
      <c r="E40" s="75">
        <f>+SUM(B40:D40)</f>
        <v>66</v>
      </c>
      <c r="J40" s="218"/>
      <c r="K40" s="215"/>
    </row>
    <row r="41" spans="1:11" ht="15" customHeight="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  <c r="K41" s="215"/>
    </row>
    <row r="42" spans="1:11" ht="15" customHeight="1" x14ac:dyDescent="0.25">
      <c r="D42" s="162"/>
      <c r="G42" s="71" t="s">
        <v>90</v>
      </c>
      <c r="H42" s="144" t="s">
        <v>120</v>
      </c>
      <c r="I42" s="145">
        <v>0</v>
      </c>
      <c r="J42" s="218"/>
      <c r="K42" s="215"/>
    </row>
    <row r="43" spans="1:11" ht="15" customHeight="1" x14ac:dyDescent="0.25">
      <c r="A43" s="207" t="s">
        <v>70</v>
      </c>
      <c r="B43" s="199">
        <v>0</v>
      </c>
      <c r="C43" s="199">
        <v>1894</v>
      </c>
      <c r="D43" s="200">
        <v>2400</v>
      </c>
      <c r="E43" s="201">
        <f t="shared" ref="E43:E48" si="3">+C43/D43</f>
        <v>0.78916666666666668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  <c r="K43" s="215"/>
    </row>
    <row r="44" spans="1:11" ht="15" customHeight="1" x14ac:dyDescent="0.25">
      <c r="A44" s="207" t="s">
        <v>71</v>
      </c>
      <c r="B44" s="199">
        <v>13.92</v>
      </c>
      <c r="C44" s="199">
        <v>1786</v>
      </c>
      <c r="D44" s="200">
        <v>3600</v>
      </c>
      <c r="E44" s="201">
        <f t="shared" si="3"/>
        <v>0.49611111111111111</v>
      </c>
      <c r="F44" s="201">
        <f t="shared" si="4"/>
        <v>0.57999999999999996</v>
      </c>
      <c r="G44" s="202">
        <v>12</v>
      </c>
      <c r="H44" s="71"/>
      <c r="K44" s="215"/>
    </row>
    <row r="45" spans="1:11" ht="15" customHeight="1" x14ac:dyDescent="0.25">
      <c r="A45" s="207" t="s">
        <v>72</v>
      </c>
      <c r="B45" s="199">
        <v>15.45</v>
      </c>
      <c r="C45" s="199">
        <v>1301</v>
      </c>
      <c r="D45" s="200">
        <v>3900</v>
      </c>
      <c r="E45" s="201">
        <f t="shared" si="3"/>
        <v>0.33358974358974358</v>
      </c>
      <c r="F45" s="201">
        <f t="shared" si="4"/>
        <v>0.64374999999999993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ht="15" customHeight="1" x14ac:dyDescent="0.25">
      <c r="A46" s="207" t="s">
        <v>73</v>
      </c>
      <c r="B46" s="199">
        <v>14.09</v>
      </c>
      <c r="C46" s="199">
        <v>2884</v>
      </c>
      <c r="D46" s="200">
        <v>3900</v>
      </c>
      <c r="E46" s="201">
        <f t="shared" si="3"/>
        <v>0.73948717948717946</v>
      </c>
      <c r="F46" s="201">
        <f t="shared" si="4"/>
        <v>0.58708333333333329</v>
      </c>
      <c r="G46" s="202">
        <v>12</v>
      </c>
      <c r="H46" s="301">
        <v>45925</v>
      </c>
      <c r="I46" s="129" t="s">
        <v>176</v>
      </c>
      <c r="J46" s="162">
        <v>143</v>
      </c>
      <c r="K46" s="318">
        <f t="shared" ref="K46:K51" si="5">+J46*1.5</f>
        <v>214.5</v>
      </c>
    </row>
    <row r="47" spans="1:11" x14ac:dyDescent="0.25">
      <c r="A47" s="207" t="s">
        <v>74</v>
      </c>
      <c r="B47" s="199">
        <v>17.53</v>
      </c>
      <c r="C47" s="199">
        <v>2410</v>
      </c>
      <c r="D47" s="200">
        <v>3900</v>
      </c>
      <c r="E47" s="201">
        <f t="shared" si="3"/>
        <v>0.61794871794871797</v>
      </c>
      <c r="F47" s="201">
        <f t="shared" si="4"/>
        <v>0.73041666666666671</v>
      </c>
      <c r="G47" s="202">
        <v>12</v>
      </c>
      <c r="H47" s="301">
        <v>45931</v>
      </c>
      <c r="I47" s="129" t="s">
        <v>176</v>
      </c>
      <c r="J47" s="162">
        <v>47</v>
      </c>
      <c r="K47" s="318">
        <f t="shared" si="5"/>
        <v>70.5</v>
      </c>
    </row>
    <row r="48" spans="1:11" x14ac:dyDescent="0.25">
      <c r="A48" s="259" t="s">
        <v>75</v>
      </c>
      <c r="B48" s="260">
        <v>10.76</v>
      </c>
      <c r="C48" s="261">
        <v>2119</v>
      </c>
      <c r="D48" s="262">
        <v>4300</v>
      </c>
      <c r="E48" s="263">
        <f t="shared" si="3"/>
        <v>0.49279069767441863</v>
      </c>
      <c r="F48" s="201">
        <f t="shared" si="4"/>
        <v>0.44833333333333331</v>
      </c>
      <c r="G48" s="202">
        <v>16</v>
      </c>
      <c r="H48" s="301">
        <v>45939</v>
      </c>
      <c r="I48" s="129" t="s">
        <v>176</v>
      </c>
      <c r="J48" s="162">
        <v>49</v>
      </c>
      <c r="K48" s="318">
        <f t="shared" si="5"/>
        <v>73.5</v>
      </c>
    </row>
    <row r="49" spans="2:11" x14ac:dyDescent="0.25">
      <c r="C49" s="71" t="s">
        <v>83</v>
      </c>
      <c r="D49" s="72" t="s">
        <v>79</v>
      </c>
      <c r="H49" s="301">
        <v>45952</v>
      </c>
      <c r="I49" s="129" t="s">
        <v>175</v>
      </c>
      <c r="J49" s="162">
        <v>45</v>
      </c>
      <c r="K49" s="318">
        <f t="shared" si="5"/>
        <v>67.5</v>
      </c>
    </row>
    <row r="50" spans="2:11" x14ac:dyDescent="0.25">
      <c r="B50" s="162" t="s">
        <v>78</v>
      </c>
      <c r="H50" s="301">
        <v>45952</v>
      </c>
      <c r="I50" s="129" t="s">
        <v>175</v>
      </c>
      <c r="J50" s="162">
        <v>16</v>
      </c>
      <c r="K50" s="318">
        <f t="shared" si="5"/>
        <v>24</v>
      </c>
    </row>
    <row r="51" spans="2:11" x14ac:dyDescent="0.25">
      <c r="C51" s="71">
        <v>1</v>
      </c>
      <c r="D51" s="225" t="s">
        <v>153</v>
      </c>
      <c r="H51" s="301">
        <v>45952</v>
      </c>
      <c r="I51" s="129" t="s">
        <v>176</v>
      </c>
      <c r="J51" s="162">
        <v>72</v>
      </c>
      <c r="K51" s="318">
        <f t="shared" si="5"/>
        <v>108</v>
      </c>
    </row>
    <row r="52" spans="2:11" x14ac:dyDescent="0.25">
      <c r="C52" s="71">
        <v>2</v>
      </c>
      <c r="D52" s="225" t="s">
        <v>153</v>
      </c>
      <c r="J52" s="162">
        <f>+J51+J50</f>
        <v>88</v>
      </c>
      <c r="K52" s="162">
        <f>+K51+K50</f>
        <v>132</v>
      </c>
    </row>
    <row r="53" spans="2:11" x14ac:dyDescent="0.25">
      <c r="C53" s="71">
        <v>3</v>
      </c>
      <c r="D53" s="225" t="s">
        <v>154</v>
      </c>
    </row>
    <row r="54" spans="2:11" x14ac:dyDescent="0.25">
      <c r="C54" s="71">
        <v>4</v>
      </c>
      <c r="D54" s="108">
        <v>0</v>
      </c>
      <c r="H54" s="237" t="s">
        <v>197</v>
      </c>
      <c r="J54" s="162" t="s">
        <v>157</v>
      </c>
      <c r="K54" s="215" t="s">
        <v>92</v>
      </c>
    </row>
    <row r="55" spans="2:11" x14ac:dyDescent="0.25">
      <c r="C55" s="71">
        <v>5</v>
      </c>
      <c r="D55" s="108">
        <v>13</v>
      </c>
      <c r="H55" s="301">
        <v>45929</v>
      </c>
      <c r="I55" s="129" t="s">
        <v>176</v>
      </c>
      <c r="J55" s="162">
        <v>5120</v>
      </c>
      <c r="K55" s="318">
        <f>+J55*0.025</f>
        <v>128</v>
      </c>
    </row>
    <row r="56" spans="2:11" x14ac:dyDescent="0.25">
      <c r="C56" s="71">
        <v>6</v>
      </c>
      <c r="D56" s="108">
        <v>1</v>
      </c>
      <c r="H56" s="301">
        <v>45939</v>
      </c>
      <c r="I56" s="129" t="s">
        <v>176</v>
      </c>
      <c r="J56" s="162">
        <v>430</v>
      </c>
      <c r="K56" s="318">
        <f>+J56*0.025</f>
        <v>10.75</v>
      </c>
    </row>
    <row r="57" spans="2:11" x14ac:dyDescent="0.25">
      <c r="C57" s="71">
        <v>7</v>
      </c>
      <c r="D57" s="225" t="s">
        <v>153</v>
      </c>
      <c r="H57" s="301">
        <v>45940</v>
      </c>
      <c r="I57" s="129" t="s">
        <v>175</v>
      </c>
      <c r="J57" s="162">
        <v>1080</v>
      </c>
      <c r="K57" s="318">
        <f>+J57*0.025</f>
        <v>27</v>
      </c>
    </row>
    <row r="58" spans="2:11" x14ac:dyDescent="0.25">
      <c r="C58" s="71">
        <v>8</v>
      </c>
      <c r="D58" s="225" t="s">
        <v>153</v>
      </c>
    </row>
    <row r="59" spans="2:11" x14ac:dyDescent="0.25">
      <c r="H59" s="237" t="s">
        <v>205</v>
      </c>
      <c r="J59" s="162" t="s">
        <v>177</v>
      </c>
      <c r="K59" s="215" t="s">
        <v>92</v>
      </c>
    </row>
    <row r="60" spans="2:11" x14ac:dyDescent="0.25">
      <c r="H60" s="301">
        <v>45942</v>
      </c>
      <c r="I60" s="129" t="s">
        <v>176</v>
      </c>
      <c r="J60" s="162">
        <v>47</v>
      </c>
      <c r="K60" s="318">
        <f>+J60*1.5</f>
        <v>70.5</v>
      </c>
    </row>
    <row r="61" spans="2:11" x14ac:dyDescent="0.25">
      <c r="D61" s="93"/>
      <c r="I61" s="129"/>
      <c r="K61" s="215"/>
    </row>
    <row r="62" spans="2:11" x14ac:dyDescent="0.25">
      <c r="D62" s="93"/>
      <c r="H62" s="237" t="s">
        <v>167</v>
      </c>
      <c r="J62" s="162" t="s">
        <v>157</v>
      </c>
      <c r="K62" s="215" t="s">
        <v>92</v>
      </c>
    </row>
    <row r="63" spans="2:11" x14ac:dyDescent="0.25">
      <c r="H63" s="301">
        <v>45949</v>
      </c>
      <c r="I63" s="129" t="s">
        <v>207</v>
      </c>
      <c r="J63" s="68">
        <v>383</v>
      </c>
      <c r="K63" s="318">
        <f>+J63*1.5</f>
        <v>574.5</v>
      </c>
    </row>
    <row r="64" spans="2:11" x14ac:dyDescent="0.25">
      <c r="H64" s="301">
        <v>45950</v>
      </c>
      <c r="I64" s="129" t="s">
        <v>175</v>
      </c>
      <c r="J64" s="68">
        <v>99</v>
      </c>
      <c r="K64" s="318">
        <f>+J64*1.5</f>
        <v>148.5</v>
      </c>
    </row>
    <row r="65" spans="8:11" x14ac:dyDescent="0.25">
      <c r="H65" s="215" t="s">
        <v>209</v>
      </c>
      <c r="I65" s="162" t="s">
        <v>208</v>
      </c>
      <c r="J65" s="162">
        <f>68-26</f>
        <v>42</v>
      </c>
      <c r="K65" s="318">
        <f>+J65*1.5</f>
        <v>63</v>
      </c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47" workbookViewId="0">
      <selection activeCell="H59" sqref="H59:K59"/>
    </sheetView>
  </sheetViews>
  <sheetFormatPr baseColWidth="10" defaultColWidth="11.42578125" defaultRowHeight="15.75" x14ac:dyDescent="0.25"/>
  <cols>
    <col min="1" max="1" width="2.42578125" style="162" customWidth="1"/>
    <col min="2" max="2" width="40" style="162" customWidth="1"/>
    <col min="3" max="3" width="13.28515625" style="162" customWidth="1"/>
    <col min="4" max="4" width="14.5703125" style="163" customWidth="1"/>
    <col min="5" max="5" width="14.7109375" style="162" customWidth="1"/>
    <col min="6" max="6" width="16.140625" style="162" customWidth="1"/>
    <col min="7" max="7" width="16.85546875" style="162" customWidth="1"/>
    <col min="8" max="8" width="11.42578125" style="162" customWidth="1"/>
    <col min="9" max="9" width="8.42578125" style="162" bestFit="1" customWidth="1"/>
    <col min="10" max="10" width="17" style="162" bestFit="1" customWidth="1"/>
    <col min="11" max="11" width="7.140625" style="162" bestFit="1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29"/>
      <c r="C4" s="329"/>
      <c r="D4" s="165">
        <f>D27</f>
        <v>9320.5849999999973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3160</v>
      </c>
      <c r="D5" s="172">
        <v>134.74199999999999</v>
      </c>
      <c r="E5" s="80">
        <f>+D5/$D$4</f>
        <v>1.4456388735256427E-2</v>
      </c>
      <c r="F5" s="58" t="s">
        <v>51</v>
      </c>
      <c r="G5" s="59">
        <v>45957</v>
      </c>
      <c r="H5" s="190">
        <v>6668</v>
      </c>
      <c r="I5" s="141">
        <v>6292.96</v>
      </c>
      <c r="J5" s="60">
        <f t="shared" ref="J5:J12" si="0">+I5/H5</f>
        <v>0.94375524895021001</v>
      </c>
    </row>
    <row r="6" spans="1:10" ht="15" customHeight="1" x14ac:dyDescent="0.25">
      <c r="A6" s="164"/>
      <c r="B6" s="169" t="s">
        <v>10</v>
      </c>
      <c r="C6" s="177">
        <v>16146</v>
      </c>
      <c r="D6" s="173">
        <v>688.86199999999997</v>
      </c>
      <c r="E6" s="80">
        <f t="shared" ref="E6:E27" si="1">+D6/$D$4</f>
        <v>7.3907592710114239E-2</v>
      </c>
      <c r="F6" s="58" t="s">
        <v>52</v>
      </c>
      <c r="G6" s="59">
        <v>45958</v>
      </c>
      <c r="H6" s="190">
        <v>9278</v>
      </c>
      <c r="I6" s="141">
        <v>10187.575999999997</v>
      </c>
      <c r="J6" s="60">
        <f t="shared" si="0"/>
        <v>1.0980357835740457</v>
      </c>
    </row>
    <row r="7" spans="1:10" ht="15" customHeight="1" x14ac:dyDescent="0.25">
      <c r="A7" s="164"/>
      <c r="B7" s="169" t="s">
        <v>35</v>
      </c>
      <c r="C7" s="177">
        <v>27262</v>
      </c>
      <c r="D7" s="173">
        <v>1162.2380000000001</v>
      </c>
      <c r="E7" s="80">
        <f t="shared" si="1"/>
        <v>0.12469582113139899</v>
      </c>
      <c r="F7" s="58" t="s">
        <v>53</v>
      </c>
      <c r="G7" s="59">
        <v>45959</v>
      </c>
      <c r="H7" s="190">
        <v>9287</v>
      </c>
      <c r="I7" s="141">
        <v>9320.5849999999973</v>
      </c>
      <c r="J7" s="60">
        <f t="shared" si="0"/>
        <v>1.0036163454290941</v>
      </c>
    </row>
    <row r="8" spans="1:10" ht="15" customHeight="1" x14ac:dyDescent="0.25">
      <c r="A8" s="164"/>
      <c r="B8" s="169" t="s">
        <v>4</v>
      </c>
      <c r="C8" s="177">
        <v>10453</v>
      </c>
      <c r="D8" s="173">
        <v>446.22500000000002</v>
      </c>
      <c r="E8" s="80">
        <f t="shared" si="1"/>
        <v>4.7875213841191318E-2</v>
      </c>
      <c r="F8" s="58" t="s">
        <v>54</v>
      </c>
      <c r="G8" s="59">
        <v>45960</v>
      </c>
      <c r="H8" s="190">
        <v>9024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40827</v>
      </c>
      <c r="D9" s="173">
        <v>1741.2339999999999</v>
      </c>
      <c r="E9" s="245">
        <f t="shared" si="1"/>
        <v>0.18681595629458886</v>
      </c>
      <c r="F9" s="58" t="s">
        <v>55</v>
      </c>
      <c r="G9" s="59">
        <v>45961</v>
      </c>
      <c r="H9" s="190">
        <v>8857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48998</v>
      </c>
      <c r="D10" s="173">
        <v>2089.866</v>
      </c>
      <c r="E10" s="245">
        <f t="shared" si="1"/>
        <v>0.22422047543153145</v>
      </c>
      <c r="F10" s="58" t="s">
        <v>56</v>
      </c>
      <c r="G10" s="59">
        <v>45962</v>
      </c>
      <c r="H10" s="190">
        <v>7425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13282</v>
      </c>
      <c r="D11" s="173">
        <v>567.82899999999995</v>
      </c>
      <c r="E11" s="80">
        <f t="shared" si="1"/>
        <v>6.0922034400201289E-2</v>
      </c>
      <c r="F11" s="58" t="s">
        <v>57</v>
      </c>
      <c r="G11" s="59">
        <v>45963</v>
      </c>
      <c r="H11" s="190">
        <v>7221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81</v>
      </c>
      <c r="C12" s="177"/>
      <c r="D12" s="173"/>
      <c r="E12" s="80">
        <f t="shared" si="1"/>
        <v>0</v>
      </c>
      <c r="H12" s="139">
        <f>+SUM(H5:H11)</f>
        <v>57760</v>
      </c>
      <c r="I12" s="142">
        <f>+SUM(I5:I11)</f>
        <v>25801.120999999992</v>
      </c>
      <c r="J12" s="140">
        <f t="shared" si="0"/>
        <v>0.44669530817174502</v>
      </c>
    </row>
    <row r="13" spans="1:10" ht="15" customHeight="1" x14ac:dyDescent="0.25">
      <c r="A13" s="164"/>
      <c r="B13" s="169" t="s">
        <v>196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95</v>
      </c>
      <c r="C14" s="177">
        <v>1200</v>
      </c>
      <c r="D14" s="173">
        <v>30.228999999999999</v>
      </c>
      <c r="E14" s="80">
        <f t="shared" si="1"/>
        <v>3.2432513624413069E-3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44</v>
      </c>
      <c r="C15" s="177">
        <v>64</v>
      </c>
      <c r="D15" s="173">
        <v>96.48</v>
      </c>
      <c r="E15" s="80">
        <f t="shared" si="1"/>
        <v>1.0351281598740854E-2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194</v>
      </c>
      <c r="C16" s="177">
        <v>24</v>
      </c>
      <c r="D16" s="173">
        <v>36.22</v>
      </c>
      <c r="E16" s="80">
        <f t="shared" si="1"/>
        <v>3.8860221756467014E-3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43</v>
      </c>
      <c r="C17" s="177">
        <v>183</v>
      </c>
      <c r="D17" s="173">
        <v>276.25</v>
      </c>
      <c r="E17" s="80">
        <f t="shared" si="1"/>
        <v>2.9638697571021569E-2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39</v>
      </c>
      <c r="C18" s="177">
        <v>536</v>
      </c>
      <c r="D18" s="173">
        <v>809.15</v>
      </c>
      <c r="E18" s="80">
        <f t="shared" si="1"/>
        <v>8.6813220414813042E-2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49</v>
      </c>
      <c r="C19" s="177">
        <v>81</v>
      </c>
      <c r="D19" s="173">
        <v>121.98</v>
      </c>
      <c r="E19" s="80">
        <f t="shared" si="1"/>
        <v>1.3087161374527461E-2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45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41</v>
      </c>
      <c r="C21" s="177">
        <v>247</v>
      </c>
      <c r="D21" s="173">
        <v>371.4</v>
      </c>
      <c r="E21" s="80">
        <f t="shared" si="1"/>
        <v>3.9847284263809631E-2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88</v>
      </c>
      <c r="C22" s="177">
        <v>40</v>
      </c>
      <c r="D22" s="173">
        <v>60.89</v>
      </c>
      <c r="E22" s="80">
        <f t="shared" si="1"/>
        <v>6.5328517469665278E-3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B23" s="169" t="s">
        <v>40</v>
      </c>
      <c r="C23" s="177"/>
      <c r="D23" s="173">
        <v>475.99</v>
      </c>
      <c r="E23" s="80">
        <f t="shared" si="1"/>
        <v>5.1068682920653599E-2</v>
      </c>
      <c r="F23" s="112" t="s">
        <v>161</v>
      </c>
      <c r="G23" s="190">
        <v>237591.573</v>
      </c>
      <c r="H23" s="119">
        <f>+D28</f>
        <v>233952.96400000001</v>
      </c>
      <c r="I23" s="98">
        <f t="shared" si="2"/>
        <v>0.98468544589331874</v>
      </c>
      <c r="J23" s="108">
        <f>+H23-G23</f>
        <v>-3638.6089999999967</v>
      </c>
    </row>
    <row r="24" spans="1:11" ht="15" customHeight="1" x14ac:dyDescent="0.25">
      <c r="B24" s="169" t="s">
        <v>184</v>
      </c>
      <c r="C24" s="177"/>
      <c r="D24" s="173"/>
      <c r="E24" s="80">
        <f t="shared" si="1"/>
        <v>0</v>
      </c>
      <c r="F24" s="163"/>
    </row>
    <row r="25" spans="1:11" ht="15" customHeight="1" x14ac:dyDescent="0.25">
      <c r="B25" s="169" t="s">
        <v>9</v>
      </c>
      <c r="C25" s="177"/>
      <c r="D25" s="173">
        <v>91.7</v>
      </c>
      <c r="E25" s="80">
        <f t="shared" si="1"/>
        <v>9.8384382525345815E-3</v>
      </c>
      <c r="G25" s="68">
        <f>+SUM(G14:G23)</f>
        <v>2122275.2460000003</v>
      </c>
      <c r="H25" s="68">
        <f>+SUM(H14:H23)</f>
        <v>2111380.6709999996</v>
      </c>
      <c r="I25" s="98">
        <f t="shared" si="2"/>
        <v>0.99486655888743247</v>
      </c>
      <c r="J25" s="108">
        <f>+H25-G25</f>
        <v>-10894.575000000652</v>
      </c>
    </row>
    <row r="26" spans="1:11" ht="15" customHeight="1" thickBot="1" x14ac:dyDescent="0.3">
      <c r="B26" s="169" t="s">
        <v>46</v>
      </c>
      <c r="C26" s="177"/>
      <c r="D26" s="173">
        <v>119.3</v>
      </c>
      <c r="E26" s="80">
        <f t="shared" si="1"/>
        <v>1.2799625774562437E-2</v>
      </c>
    </row>
    <row r="27" spans="1:11" ht="15" customHeight="1" thickBot="1" x14ac:dyDescent="0.3">
      <c r="B27" s="178" t="s">
        <v>0</v>
      </c>
      <c r="C27" s="170"/>
      <c r="D27" s="171">
        <f>SUM(D5:D26)</f>
        <v>9320.5849999999973</v>
      </c>
      <c r="E27" s="80">
        <f t="shared" si="1"/>
        <v>1</v>
      </c>
      <c r="F27" s="179" t="s">
        <v>211</v>
      </c>
      <c r="G27" s="179"/>
      <c r="J27" s="179"/>
    </row>
    <row r="28" spans="1:11" ht="15" customHeight="1" thickBot="1" x14ac:dyDescent="0.3">
      <c r="B28" s="166" t="s">
        <v>1</v>
      </c>
      <c r="C28" s="167"/>
      <c r="D28" s="233">
        <v>233952.96400000001</v>
      </c>
      <c r="E28" s="313">
        <f>+D28/E2</f>
        <v>0.9894815863246551</v>
      </c>
      <c r="F28" s="179">
        <f>+D28-E2</f>
        <v>-2486.9730674479215</v>
      </c>
      <c r="G28" s="179"/>
      <c r="J28" s="179"/>
    </row>
    <row r="29" spans="1:11" ht="15" customHeight="1" x14ac:dyDescent="0.25">
      <c r="D29" s="108">
        <f>+(E2/31)*29</f>
        <v>221185.74757922548</v>
      </c>
      <c r="E29" s="314">
        <f>+D29/E2</f>
        <v>0.93548387096774199</v>
      </c>
      <c r="K29" s="215"/>
    </row>
    <row r="30" spans="1:11" ht="15" customHeight="1" x14ac:dyDescent="0.25">
      <c r="D30" s="183">
        <f>+D28-D29</f>
        <v>12767.216420774523</v>
      </c>
      <c r="E30" s="99">
        <f>E28-E29</f>
        <v>5.3997715356913112E-2</v>
      </c>
      <c r="K30" s="215"/>
    </row>
    <row r="31" spans="1:11" ht="15" customHeight="1" x14ac:dyDescent="0.25">
      <c r="G31" s="300" t="s">
        <v>190</v>
      </c>
      <c r="H31" s="87">
        <v>164</v>
      </c>
      <c r="I31" s="88">
        <f>+H31*1.5</f>
        <v>246</v>
      </c>
      <c r="K31" s="215"/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  <c r="K32" s="215"/>
    </row>
    <row r="33" spans="1:11" ht="15" customHeight="1" x14ac:dyDescent="0.25">
      <c r="B33" s="162" t="s">
        <v>61</v>
      </c>
      <c r="C33" s="162">
        <v>1458</v>
      </c>
      <c r="D33" s="108">
        <v>2142</v>
      </c>
      <c r="E33" s="57">
        <f>+C33/D33</f>
        <v>0.68067226890756305</v>
      </c>
      <c r="G33" s="86" t="s">
        <v>86</v>
      </c>
      <c r="H33" s="87">
        <v>16611</v>
      </c>
      <c r="I33" s="88">
        <f>+H33*0.025</f>
        <v>415.27500000000003</v>
      </c>
      <c r="J33" s="224">
        <f>15*72</f>
        <v>1080</v>
      </c>
      <c r="K33" s="215"/>
    </row>
    <row r="34" spans="1:11" ht="15" customHeight="1" x14ac:dyDescent="0.25">
      <c r="B34" s="162" t="s">
        <v>62</v>
      </c>
      <c r="C34" s="162">
        <v>1190</v>
      </c>
      <c r="D34" s="108">
        <v>1890</v>
      </c>
      <c r="E34" s="57">
        <f>+C34/D34</f>
        <v>0.62962962962962965</v>
      </c>
      <c r="G34" s="86" t="s">
        <v>171</v>
      </c>
      <c r="H34" s="87">
        <v>0</v>
      </c>
      <c r="I34" s="88">
        <v>0</v>
      </c>
      <c r="J34" s="297" t="s">
        <v>188</v>
      </c>
      <c r="K34" s="215"/>
    </row>
    <row r="35" spans="1:11" ht="15" customHeight="1" x14ac:dyDescent="0.25">
      <c r="B35" s="162" t="s">
        <v>63</v>
      </c>
      <c r="C35" s="67">
        <v>685</v>
      </c>
      <c r="D35" s="108">
        <v>3006</v>
      </c>
      <c r="E35" s="57">
        <f>+C35/D35</f>
        <v>0.22787757817697937</v>
      </c>
      <c r="G35" s="89" t="s">
        <v>169</v>
      </c>
      <c r="H35" s="87">
        <v>306</v>
      </c>
      <c r="I35" s="88">
        <f>+H35*1.5</f>
        <v>459</v>
      </c>
      <c r="J35" s="298">
        <f>+I35+I33</f>
        <v>874.27500000000009</v>
      </c>
      <c r="K35" s="215" t="s">
        <v>191</v>
      </c>
    </row>
    <row r="36" spans="1:11" ht="15" customHeight="1" x14ac:dyDescent="0.25">
      <c r="C36" s="162">
        <f>+SUM(C33:C35)</f>
        <v>3333</v>
      </c>
      <c r="D36" s="110">
        <f>+SUM(D33:D35)</f>
        <v>7038</v>
      </c>
      <c r="E36" s="57">
        <f>+C36/D36</f>
        <v>0.47357203751065646</v>
      </c>
      <c r="G36" s="89" t="s">
        <v>168</v>
      </c>
      <c r="H36" s="87">
        <v>0</v>
      </c>
      <c r="I36" s="88">
        <f>+H36*1.5</f>
        <v>0</v>
      </c>
      <c r="J36" s="228" t="s">
        <v>193</v>
      </c>
      <c r="K36" s="215"/>
    </row>
    <row r="37" spans="1:11" ht="15" customHeight="1" x14ac:dyDescent="0.25">
      <c r="G37" s="231" t="s">
        <v>123</v>
      </c>
      <c r="H37" s="138">
        <v>231</v>
      </c>
      <c r="I37" s="232">
        <v>346.5</v>
      </c>
      <c r="J37" s="218" t="s">
        <v>146</v>
      </c>
      <c r="K37" s="215"/>
    </row>
    <row r="38" spans="1:11" ht="15" customHeight="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  <c r="K38" s="215"/>
    </row>
    <row r="39" spans="1:11" ht="15" customHeight="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219</v>
      </c>
      <c r="I39" s="88">
        <f>+H39*1.5</f>
        <v>328.5</v>
      </c>
      <c r="J39" s="224" t="s">
        <v>152</v>
      </c>
      <c r="K39" s="215"/>
    </row>
    <row r="40" spans="1:11" ht="15" customHeight="1" x14ac:dyDescent="0.25">
      <c r="B40" s="73">
        <v>47</v>
      </c>
      <c r="C40" s="74">
        <v>5</v>
      </c>
      <c r="D40" s="74">
        <v>8</v>
      </c>
      <c r="E40" s="75">
        <f>+SUM(B40:D40)</f>
        <v>60</v>
      </c>
      <c r="J40" s="218"/>
      <c r="K40" s="215"/>
    </row>
    <row r="41" spans="1:11" ht="15" customHeight="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  <c r="K41" s="215"/>
    </row>
    <row r="42" spans="1:11" ht="15" customHeight="1" x14ac:dyDescent="0.25">
      <c r="D42" s="162"/>
      <c r="G42" s="71" t="s">
        <v>90</v>
      </c>
      <c r="H42" s="144" t="s">
        <v>120</v>
      </c>
      <c r="I42" s="145">
        <v>0</v>
      </c>
      <c r="J42" s="218"/>
      <c r="K42" s="215"/>
    </row>
    <row r="43" spans="1:11" ht="15" customHeight="1" x14ac:dyDescent="0.25">
      <c r="A43" s="207" t="s">
        <v>70</v>
      </c>
      <c r="B43" s="199">
        <v>0</v>
      </c>
      <c r="C43" s="199">
        <v>1894</v>
      </c>
      <c r="D43" s="200">
        <v>2400</v>
      </c>
      <c r="E43" s="201">
        <f t="shared" ref="E43:E48" si="3">+C43/D43</f>
        <v>0.78916666666666668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  <c r="K43" s="215"/>
    </row>
    <row r="44" spans="1:11" ht="15" customHeight="1" x14ac:dyDescent="0.25">
      <c r="A44" s="207" t="s">
        <v>71</v>
      </c>
      <c r="B44" s="199">
        <v>9.65</v>
      </c>
      <c r="C44" s="199">
        <v>1775</v>
      </c>
      <c r="D44" s="200">
        <v>3600</v>
      </c>
      <c r="E44" s="201">
        <f t="shared" si="3"/>
        <v>0.49305555555555558</v>
      </c>
      <c r="F44" s="201">
        <f t="shared" si="4"/>
        <v>0.40208333333333335</v>
      </c>
      <c r="G44" s="202">
        <v>12</v>
      </c>
      <c r="H44" s="71"/>
      <c r="K44" s="215"/>
    </row>
    <row r="45" spans="1:11" ht="15" customHeight="1" x14ac:dyDescent="0.25">
      <c r="A45" s="207" t="s">
        <v>72</v>
      </c>
      <c r="B45" s="199">
        <v>14.41</v>
      </c>
      <c r="C45" s="199">
        <v>1129</v>
      </c>
      <c r="D45" s="200">
        <v>3900</v>
      </c>
      <c r="E45" s="201">
        <f t="shared" si="3"/>
        <v>0.2894871794871795</v>
      </c>
      <c r="F45" s="201">
        <f t="shared" si="4"/>
        <v>0.60041666666666671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ht="15" customHeight="1" x14ac:dyDescent="0.25">
      <c r="A46" s="207" t="s">
        <v>73</v>
      </c>
      <c r="B46" s="199">
        <v>16.25</v>
      </c>
      <c r="C46" s="199">
        <v>3378</v>
      </c>
      <c r="D46" s="200">
        <v>3900</v>
      </c>
      <c r="E46" s="201">
        <f t="shared" si="3"/>
        <v>0.86615384615384616</v>
      </c>
      <c r="F46" s="201">
        <f t="shared" si="4"/>
        <v>0.67708333333333337</v>
      </c>
      <c r="G46" s="202">
        <v>12</v>
      </c>
      <c r="H46" s="301">
        <v>45925</v>
      </c>
      <c r="I46" s="129" t="s">
        <v>176</v>
      </c>
      <c r="J46" s="162">
        <v>143</v>
      </c>
      <c r="K46" s="318">
        <f>+J46*1.5</f>
        <v>214.5</v>
      </c>
    </row>
    <row r="47" spans="1:11" ht="15" customHeight="1" x14ac:dyDescent="0.25">
      <c r="A47" s="207" t="s">
        <v>74</v>
      </c>
      <c r="B47" s="199">
        <v>18.47</v>
      </c>
      <c r="C47" s="199">
        <v>2882</v>
      </c>
      <c r="D47" s="200">
        <v>3900</v>
      </c>
      <c r="E47" s="201">
        <f t="shared" si="3"/>
        <v>0.73897435897435892</v>
      </c>
      <c r="F47" s="201">
        <f t="shared" si="4"/>
        <v>0.76958333333333329</v>
      </c>
      <c r="G47" s="202">
        <v>12</v>
      </c>
      <c r="H47" s="301">
        <v>45931</v>
      </c>
      <c r="I47" s="129" t="s">
        <v>176</v>
      </c>
      <c r="J47" s="162">
        <v>47</v>
      </c>
      <c r="K47" s="318">
        <f>+J47*1.5</f>
        <v>70.5</v>
      </c>
    </row>
    <row r="48" spans="1:11" ht="15" customHeight="1" x14ac:dyDescent="0.25">
      <c r="A48" s="259" t="s">
        <v>75</v>
      </c>
      <c r="B48" s="260">
        <v>9.3699999999999992</v>
      </c>
      <c r="C48" s="261">
        <v>2520</v>
      </c>
      <c r="D48" s="262">
        <v>4300</v>
      </c>
      <c r="E48" s="263">
        <f t="shared" si="3"/>
        <v>0.586046511627907</v>
      </c>
      <c r="F48" s="201">
        <f t="shared" si="4"/>
        <v>0.39041666666666663</v>
      </c>
      <c r="G48" s="202">
        <v>16</v>
      </c>
      <c r="H48" s="301">
        <v>45939</v>
      </c>
      <c r="I48" s="129" t="s">
        <v>176</v>
      </c>
      <c r="J48" s="162">
        <v>49</v>
      </c>
      <c r="K48" s="318">
        <f t="shared" ref="K48:K53" si="5">+J48*1.5</f>
        <v>73.5</v>
      </c>
    </row>
    <row r="49" spans="2:11" x14ac:dyDescent="0.25">
      <c r="C49" s="71" t="s">
        <v>83</v>
      </c>
      <c r="D49" s="72" t="s">
        <v>79</v>
      </c>
      <c r="H49" s="301">
        <v>45952</v>
      </c>
      <c r="I49" s="129" t="s">
        <v>175</v>
      </c>
      <c r="J49" s="162">
        <v>45</v>
      </c>
      <c r="K49" s="318">
        <f t="shared" si="5"/>
        <v>67.5</v>
      </c>
    </row>
    <row r="50" spans="2:11" x14ac:dyDescent="0.25">
      <c r="B50" s="162" t="s">
        <v>78</v>
      </c>
      <c r="H50" s="301">
        <v>45952</v>
      </c>
      <c r="I50" s="129" t="s">
        <v>175</v>
      </c>
      <c r="J50" s="162">
        <v>16</v>
      </c>
      <c r="K50" s="318">
        <f t="shared" si="5"/>
        <v>24</v>
      </c>
    </row>
    <row r="51" spans="2:11" x14ac:dyDescent="0.25">
      <c r="C51" s="71">
        <v>1</v>
      </c>
      <c r="D51" s="225" t="s">
        <v>153</v>
      </c>
      <c r="H51" s="301">
        <v>45952</v>
      </c>
      <c r="I51" s="129" t="s">
        <v>176</v>
      </c>
      <c r="J51" s="162">
        <v>72</v>
      </c>
      <c r="K51" s="318">
        <f t="shared" si="5"/>
        <v>108</v>
      </c>
    </row>
    <row r="52" spans="2:11" x14ac:dyDescent="0.25">
      <c r="C52" s="71">
        <v>2</v>
      </c>
      <c r="D52" s="225" t="s">
        <v>153</v>
      </c>
      <c r="H52" s="331">
        <v>45959</v>
      </c>
      <c r="I52" s="332" t="s">
        <v>175</v>
      </c>
      <c r="J52" s="333">
        <v>191</v>
      </c>
      <c r="K52" s="334">
        <f t="shared" si="5"/>
        <v>286.5</v>
      </c>
    </row>
    <row r="53" spans="2:11" x14ac:dyDescent="0.25">
      <c r="C53" s="71">
        <v>3</v>
      </c>
      <c r="D53" s="225" t="s">
        <v>154</v>
      </c>
      <c r="H53" s="335">
        <v>45959</v>
      </c>
      <c r="I53" s="336" t="s">
        <v>176</v>
      </c>
      <c r="J53" s="164">
        <v>55</v>
      </c>
      <c r="K53" s="337">
        <f t="shared" si="5"/>
        <v>82.5</v>
      </c>
    </row>
    <row r="54" spans="2:11" x14ac:dyDescent="0.25">
      <c r="C54" s="71">
        <v>4</v>
      </c>
      <c r="D54" s="108">
        <v>0</v>
      </c>
      <c r="H54" s="213"/>
      <c r="I54" s="67"/>
      <c r="J54" s="67">
        <f>+J53+J52</f>
        <v>246</v>
      </c>
      <c r="K54" s="338">
        <f>+K53+K52</f>
        <v>369</v>
      </c>
    </row>
    <row r="55" spans="2:11" x14ac:dyDescent="0.25">
      <c r="C55" s="71">
        <v>5</v>
      </c>
      <c r="D55" s="108">
        <v>13</v>
      </c>
    </row>
    <row r="56" spans="2:11" x14ac:dyDescent="0.25">
      <c r="C56" s="71">
        <v>6</v>
      </c>
      <c r="D56" s="108">
        <v>1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45929</v>
      </c>
      <c r="I57" s="129" t="s">
        <v>176</v>
      </c>
      <c r="J57" s="162">
        <v>5120</v>
      </c>
      <c r="K57" s="318">
        <f>+J57*0.025</f>
        <v>128</v>
      </c>
    </row>
    <row r="58" spans="2:11" x14ac:dyDescent="0.25">
      <c r="C58" s="71">
        <v>8</v>
      </c>
      <c r="D58" s="225" t="s">
        <v>153</v>
      </c>
      <c r="H58" s="301">
        <v>45939</v>
      </c>
      <c r="I58" s="129" t="s">
        <v>176</v>
      </c>
      <c r="J58" s="162">
        <v>430</v>
      </c>
      <c r="K58" s="318">
        <f>+J58*0.025</f>
        <v>10.75</v>
      </c>
    </row>
    <row r="59" spans="2:11" x14ac:dyDescent="0.25">
      <c r="H59" s="301">
        <v>45940</v>
      </c>
      <c r="I59" s="129" t="s">
        <v>175</v>
      </c>
      <c r="J59" s="162">
        <v>1080</v>
      </c>
      <c r="K59" s="318">
        <f>+J59*0.025</f>
        <v>27</v>
      </c>
    </row>
    <row r="61" spans="2:11" x14ac:dyDescent="0.25">
      <c r="D61" s="93"/>
      <c r="H61" s="237" t="s">
        <v>205</v>
      </c>
      <c r="J61" s="162" t="s">
        <v>177</v>
      </c>
      <c r="K61" s="215" t="s">
        <v>92</v>
      </c>
    </row>
    <row r="62" spans="2:11" x14ac:dyDescent="0.25">
      <c r="D62" s="93"/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45949</v>
      </c>
      <c r="I65" s="129" t="s">
        <v>207</v>
      </c>
      <c r="J65" s="68">
        <v>383</v>
      </c>
      <c r="K65" s="318">
        <f>+J65*1.5</f>
        <v>574.5</v>
      </c>
    </row>
    <row r="66" spans="8:11" x14ac:dyDescent="0.25">
      <c r="H66" s="301">
        <v>45950</v>
      </c>
      <c r="I66" s="129" t="s">
        <v>175</v>
      </c>
      <c r="J66" s="68">
        <v>99</v>
      </c>
      <c r="K66" s="318">
        <f>+J66*1.5</f>
        <v>148.5</v>
      </c>
    </row>
    <row r="67" spans="8:11" x14ac:dyDescent="0.25">
      <c r="H67" s="215" t="s">
        <v>209</v>
      </c>
      <c r="I67" s="162" t="s">
        <v>208</v>
      </c>
      <c r="J67" s="162">
        <f>68-26</f>
        <v>42</v>
      </c>
      <c r="K67" s="318">
        <f>+J67*1.5</f>
        <v>63</v>
      </c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49" workbookViewId="0">
      <selection activeCell="J62" sqref="J62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v>45960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30"/>
      <c r="C4" s="330"/>
      <c r="D4" s="165">
        <f>D27</f>
        <v>8992.6599999999962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6878</v>
      </c>
      <c r="D5" s="172">
        <v>292.98599999999999</v>
      </c>
      <c r="E5" s="80">
        <f>+D5/$D$4</f>
        <v>3.258057126589909E-2</v>
      </c>
      <c r="F5" s="58" t="s">
        <v>51</v>
      </c>
      <c r="G5" s="59">
        <v>45957</v>
      </c>
      <c r="H5" s="190">
        <v>6668</v>
      </c>
      <c r="I5" s="141">
        <v>6292.96</v>
      </c>
      <c r="J5" s="60">
        <f t="shared" ref="J5:J12" si="0">+I5/H5</f>
        <v>0.94375524895021001</v>
      </c>
    </row>
    <row r="6" spans="1:10" ht="15" customHeight="1" x14ac:dyDescent="0.25">
      <c r="A6" s="164"/>
      <c r="B6" s="169" t="s">
        <v>10</v>
      </c>
      <c r="C6" s="177">
        <v>13488</v>
      </c>
      <c r="D6" s="173">
        <v>575.66</v>
      </c>
      <c r="E6" s="80">
        <f t="shared" ref="E6:E27" si="1">+D6/$D$4</f>
        <v>6.4014429545874107E-2</v>
      </c>
      <c r="F6" s="58" t="s">
        <v>52</v>
      </c>
      <c r="G6" s="59">
        <v>45958</v>
      </c>
      <c r="H6" s="190">
        <v>9278</v>
      </c>
      <c r="I6" s="141">
        <v>10187.575999999997</v>
      </c>
      <c r="J6" s="60">
        <f t="shared" si="0"/>
        <v>1.0980357835740457</v>
      </c>
    </row>
    <row r="7" spans="1:10" ht="15" customHeight="1" x14ac:dyDescent="0.25">
      <c r="A7" s="164"/>
      <c r="B7" s="169" t="s">
        <v>35</v>
      </c>
      <c r="C7" s="177">
        <v>22442</v>
      </c>
      <c r="D7" s="173">
        <v>956.2879999999999</v>
      </c>
      <c r="E7" s="80">
        <f t="shared" si="1"/>
        <v>0.10634094917410425</v>
      </c>
      <c r="F7" s="58" t="s">
        <v>53</v>
      </c>
      <c r="G7" s="59">
        <v>45959</v>
      </c>
      <c r="H7" s="190">
        <v>9287</v>
      </c>
      <c r="I7" s="141">
        <v>9320.5849999999973</v>
      </c>
      <c r="J7" s="60">
        <f t="shared" si="0"/>
        <v>1.0036163454290941</v>
      </c>
    </row>
    <row r="8" spans="1:10" ht="15" customHeight="1" x14ac:dyDescent="0.25">
      <c r="A8" s="164"/>
      <c r="B8" s="169" t="s">
        <v>4</v>
      </c>
      <c r="C8" s="177">
        <v>1504</v>
      </c>
      <c r="D8" s="173">
        <v>64.192000000000007</v>
      </c>
      <c r="E8" s="80">
        <f t="shared" si="1"/>
        <v>7.1382660970169039E-3</v>
      </c>
      <c r="F8" s="58" t="s">
        <v>54</v>
      </c>
      <c r="G8" s="59">
        <v>45960</v>
      </c>
      <c r="H8" s="190">
        <v>9024</v>
      </c>
      <c r="I8" s="141">
        <v>8992.6599999999962</v>
      </c>
      <c r="J8" s="60">
        <f t="shared" si="0"/>
        <v>0.99652703900709183</v>
      </c>
    </row>
    <row r="9" spans="1:10" ht="15" customHeight="1" x14ac:dyDescent="0.25">
      <c r="A9" s="164"/>
      <c r="B9" s="169" t="s">
        <v>37</v>
      </c>
      <c r="C9" s="177">
        <v>35903</v>
      </c>
      <c r="D9" s="173">
        <v>1531.1119999999999</v>
      </c>
      <c r="E9" s="245">
        <f t="shared" si="1"/>
        <v>0.17026241401320638</v>
      </c>
      <c r="F9" s="58" t="s">
        <v>55</v>
      </c>
      <c r="G9" s="59">
        <v>45961</v>
      </c>
      <c r="H9" s="190">
        <f>8857-(8857*0.08)</f>
        <v>8148.44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56792</v>
      </c>
      <c r="D10" s="173">
        <v>2423.8079999999991</v>
      </c>
      <c r="E10" s="245">
        <f t="shared" si="1"/>
        <v>0.26953181817170896</v>
      </c>
      <c r="F10" s="58" t="s">
        <v>56</v>
      </c>
      <c r="G10" s="59">
        <v>45962</v>
      </c>
      <c r="H10" s="190">
        <f>7425-(7425*0.1)</f>
        <v>6682.5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7065</v>
      </c>
      <c r="D11" s="173">
        <v>301.86399999999998</v>
      </c>
      <c r="E11" s="80">
        <f t="shared" si="1"/>
        <v>3.3567820867240625E-2</v>
      </c>
      <c r="F11" s="58" t="s">
        <v>57</v>
      </c>
      <c r="G11" s="59">
        <v>45963</v>
      </c>
      <c r="H11" s="190">
        <v>7221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172</v>
      </c>
      <c r="C12" s="177">
        <v>1080</v>
      </c>
      <c r="D12" s="173">
        <v>27.196999999999999</v>
      </c>
      <c r="E12" s="80">
        <f t="shared" si="1"/>
        <v>3.0243554187526283E-3</v>
      </c>
      <c r="H12" s="139">
        <f>+SUM(H5:H11)</f>
        <v>56308.94</v>
      </c>
      <c r="I12" s="142">
        <f>+SUM(I5:I11)</f>
        <v>34793.780999999988</v>
      </c>
      <c r="J12" s="140">
        <f t="shared" si="0"/>
        <v>0.61790864825372294</v>
      </c>
    </row>
    <row r="13" spans="1:10" ht="15" customHeight="1" x14ac:dyDescent="0.25">
      <c r="A13" s="164"/>
      <c r="B13" s="169" t="s">
        <v>39</v>
      </c>
      <c r="C13" s="177">
        <v>628</v>
      </c>
      <c r="D13" s="173">
        <v>947.57</v>
      </c>
      <c r="E13" s="80">
        <f t="shared" si="1"/>
        <v>0.10537149186114013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141</v>
      </c>
      <c r="D14" s="173">
        <v>213.13299999999998</v>
      </c>
      <c r="E14" s="80">
        <f t="shared" si="1"/>
        <v>2.3700773742140819E-2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194</v>
      </c>
      <c r="C15" s="177">
        <v>88</v>
      </c>
      <c r="D15" s="173">
        <v>132.89999999999998</v>
      </c>
      <c r="E15" s="80">
        <f t="shared" si="1"/>
        <v>1.4778719533486202E-2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44</v>
      </c>
      <c r="C16" s="177">
        <v>46</v>
      </c>
      <c r="D16" s="173">
        <v>69.44</v>
      </c>
      <c r="E16" s="80">
        <f t="shared" si="1"/>
        <v>7.7218531557959524E-3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49</v>
      </c>
      <c r="C17" s="177">
        <v>101</v>
      </c>
      <c r="D17" s="173">
        <v>152.22999999999999</v>
      </c>
      <c r="E17" s="80">
        <f t="shared" si="1"/>
        <v>1.6928250373082054E-2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41</v>
      </c>
      <c r="C18" s="177">
        <v>216</v>
      </c>
      <c r="D18" s="173">
        <v>326.13000000000005</v>
      </c>
      <c r="E18" s="80">
        <f t="shared" si="1"/>
        <v>3.6266243803279585E-2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88</v>
      </c>
      <c r="C19" s="177">
        <v>20</v>
      </c>
      <c r="D19" s="173">
        <v>30.32</v>
      </c>
      <c r="E19" s="80">
        <f t="shared" si="1"/>
        <v>3.3716386475192003E-3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45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41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88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B23" s="169" t="s">
        <v>46</v>
      </c>
      <c r="C23" s="177"/>
      <c r="D23" s="173">
        <v>90.14</v>
      </c>
      <c r="E23" s="80">
        <f t="shared" si="1"/>
        <v>1.0023730464623374E-2</v>
      </c>
      <c r="F23" s="112" t="s">
        <v>161</v>
      </c>
      <c r="G23" s="190">
        <v>237591.573</v>
      </c>
      <c r="H23" s="119">
        <f>+D28</f>
        <v>243043.86900000001</v>
      </c>
      <c r="I23" s="98">
        <f t="shared" si="2"/>
        <v>1.0229481876446855</v>
      </c>
      <c r="J23" s="108">
        <f>+H23-G23</f>
        <v>5452.2960000000021</v>
      </c>
    </row>
    <row r="24" spans="1:11" ht="15" customHeight="1" x14ac:dyDescent="0.25">
      <c r="B24" s="169" t="s">
        <v>9</v>
      </c>
      <c r="C24" s="177"/>
      <c r="D24" s="173">
        <v>91.32</v>
      </c>
      <c r="E24" s="80">
        <f t="shared" si="1"/>
        <v>1.0154948591406773E-2</v>
      </c>
      <c r="F24" s="163"/>
    </row>
    <row r="25" spans="1:11" ht="15" customHeight="1" x14ac:dyDescent="0.25">
      <c r="B25" s="169" t="s">
        <v>184</v>
      </c>
      <c r="C25" s="177"/>
      <c r="D25" s="173">
        <v>65.319999999999993</v>
      </c>
      <c r="E25" s="80">
        <f t="shared" si="1"/>
        <v>7.2637017300776433E-3</v>
      </c>
      <c r="G25" s="68">
        <f>+SUM(G14:G23)</f>
        <v>2122275.2460000003</v>
      </c>
      <c r="H25" s="68">
        <f>+SUM(H14:H23)</f>
        <v>2120471.5759999999</v>
      </c>
      <c r="I25" s="98">
        <f t="shared" si="2"/>
        <v>0.99915012437552575</v>
      </c>
      <c r="J25" s="108">
        <f>+H25-G25</f>
        <v>-1803.6700000003912</v>
      </c>
    </row>
    <row r="26" spans="1:11" ht="15" customHeight="1" thickBot="1" x14ac:dyDescent="0.3">
      <c r="B26" s="169" t="s">
        <v>40</v>
      </c>
      <c r="C26" s="177"/>
      <c r="D26" s="173">
        <v>701.05000000000018</v>
      </c>
      <c r="E26" s="80">
        <f t="shared" si="1"/>
        <v>7.7958023543645644E-2</v>
      </c>
    </row>
    <row r="27" spans="1:11" ht="15" customHeight="1" thickBot="1" x14ac:dyDescent="0.3">
      <c r="B27" s="178" t="s">
        <v>0</v>
      </c>
      <c r="C27" s="170"/>
      <c r="D27" s="171">
        <f>SUM(D5:D26)</f>
        <v>8992.6599999999962</v>
      </c>
      <c r="E27" s="80">
        <f t="shared" si="1"/>
        <v>1</v>
      </c>
      <c r="F27" s="179" t="s">
        <v>211</v>
      </c>
      <c r="G27" s="179"/>
      <c r="J27" s="179"/>
    </row>
    <row r="28" spans="1:11" ht="15" customHeight="1" thickBot="1" x14ac:dyDescent="0.3">
      <c r="B28" s="166" t="s">
        <v>1</v>
      </c>
      <c r="C28" s="167"/>
      <c r="D28" s="233">
        <v>243043.86900000001</v>
      </c>
      <c r="E28" s="313">
        <f>+D28/E2</f>
        <v>1.0279306956957455</v>
      </c>
      <c r="F28" s="179">
        <f>+D28-E2</f>
        <v>6603.9319325520773</v>
      </c>
      <c r="G28" s="179"/>
      <c r="J28" s="179"/>
    </row>
    <row r="29" spans="1:11" x14ac:dyDescent="0.25">
      <c r="D29" s="108">
        <f>+(E2/31)*30</f>
        <v>228812.84232333672</v>
      </c>
      <c r="E29" s="314">
        <f>+D29/E2</f>
        <v>0.967741935483871</v>
      </c>
      <c r="K29" s="215"/>
    </row>
    <row r="30" spans="1:11" x14ac:dyDescent="0.25">
      <c r="D30" s="183">
        <f>+D28-D29</f>
        <v>14231.026676663285</v>
      </c>
      <c r="E30" s="99">
        <f>E28-E29</f>
        <v>6.018876021187447E-2</v>
      </c>
      <c r="K30" s="215"/>
    </row>
    <row r="31" spans="1:11" x14ac:dyDescent="0.25">
      <c r="G31" s="300" t="s">
        <v>190</v>
      </c>
      <c r="H31" s="87">
        <v>202</v>
      </c>
      <c r="I31" s="88">
        <f>+H31*1.5</f>
        <v>303</v>
      </c>
      <c r="K31" s="215"/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  <c r="K32" s="215"/>
    </row>
    <row r="33" spans="1:11" x14ac:dyDescent="0.25">
      <c r="B33" s="162" t="s">
        <v>61</v>
      </c>
      <c r="C33" s="162">
        <v>1292</v>
      </c>
      <c r="D33" s="108">
        <v>2142</v>
      </c>
      <c r="E33" s="57">
        <f>+C33/D33</f>
        <v>0.60317460317460314</v>
      </c>
      <c r="G33" s="86" t="s">
        <v>86</v>
      </c>
      <c r="H33" s="87">
        <v>16611</v>
      </c>
      <c r="I33" s="88">
        <f>+H33*0.025</f>
        <v>415.27500000000003</v>
      </c>
      <c r="J33" s="224">
        <f>15*72</f>
        <v>1080</v>
      </c>
      <c r="K33" s="215"/>
    </row>
    <row r="34" spans="1:11" x14ac:dyDescent="0.25">
      <c r="B34" s="162" t="s">
        <v>62</v>
      </c>
      <c r="C34" s="162">
        <v>1158</v>
      </c>
      <c r="D34" s="108">
        <v>1890</v>
      </c>
      <c r="E34" s="57">
        <f>+C34/D34</f>
        <v>0.61269841269841274</v>
      </c>
      <c r="G34" s="86" t="s">
        <v>171</v>
      </c>
      <c r="H34" s="87">
        <v>0</v>
      </c>
      <c r="I34" s="88">
        <v>0</v>
      </c>
      <c r="J34" s="297" t="s">
        <v>188</v>
      </c>
      <c r="K34" s="215"/>
    </row>
    <row r="35" spans="1:11" x14ac:dyDescent="0.25">
      <c r="B35" s="162" t="s">
        <v>63</v>
      </c>
      <c r="C35" s="67">
        <v>1611</v>
      </c>
      <c r="D35" s="108">
        <v>3006</v>
      </c>
      <c r="E35" s="57">
        <f>+C35/D35</f>
        <v>0.5359281437125748</v>
      </c>
      <c r="G35" s="89" t="s">
        <v>169</v>
      </c>
      <c r="H35" s="87">
        <v>269</v>
      </c>
      <c r="I35" s="88">
        <f>+H35*1.5</f>
        <v>403.5</v>
      </c>
      <c r="J35" s="298">
        <f>+I35+I33</f>
        <v>818.77500000000009</v>
      </c>
      <c r="K35" s="215" t="s">
        <v>191</v>
      </c>
    </row>
    <row r="36" spans="1:11" x14ac:dyDescent="0.25">
      <c r="C36" s="162">
        <f>+SUM(C33:C35)</f>
        <v>4061</v>
      </c>
      <c r="D36" s="110">
        <f>+SUM(D33:D35)</f>
        <v>7038</v>
      </c>
      <c r="E36" s="57">
        <f>+C36/D36</f>
        <v>0.57701051435066786</v>
      </c>
      <c r="G36" s="89" t="s">
        <v>168</v>
      </c>
      <c r="H36" s="87">
        <v>0</v>
      </c>
      <c r="I36" s="88">
        <f>+H36*1.5</f>
        <v>0</v>
      </c>
      <c r="J36" s="228" t="s">
        <v>193</v>
      </c>
      <c r="K36" s="215"/>
    </row>
    <row r="37" spans="1:11" x14ac:dyDescent="0.25">
      <c r="G37" s="231" t="s">
        <v>123</v>
      </c>
      <c r="H37" s="138">
        <v>231</v>
      </c>
      <c r="I37" s="232">
        <v>346.5</v>
      </c>
      <c r="J37" s="218" t="s">
        <v>146</v>
      </c>
      <c r="K37" s="215"/>
    </row>
    <row r="38" spans="1:1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  <c r="K38" s="215"/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219</v>
      </c>
      <c r="I39" s="88">
        <f>+H39*1.5</f>
        <v>328.5</v>
      </c>
      <c r="J39" s="224" t="s">
        <v>152</v>
      </c>
      <c r="K39" s="215"/>
    </row>
    <row r="40" spans="1:11" x14ac:dyDescent="0.25">
      <c r="B40" s="73">
        <v>3</v>
      </c>
      <c r="C40" s="74">
        <v>6</v>
      </c>
      <c r="D40" s="74">
        <v>14</v>
      </c>
      <c r="E40" s="75">
        <f>+SUM(B40:D40)</f>
        <v>23</v>
      </c>
      <c r="J40" s="218"/>
      <c r="K40" s="215"/>
    </row>
    <row r="41" spans="1:1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  <c r="K41" s="215"/>
    </row>
    <row r="42" spans="1:11" x14ac:dyDescent="0.25">
      <c r="D42" s="162"/>
      <c r="G42" s="71" t="s">
        <v>90</v>
      </c>
      <c r="H42" s="144" t="s">
        <v>120</v>
      </c>
      <c r="I42" s="145">
        <v>0</v>
      </c>
      <c r="J42" s="218"/>
      <c r="K42" s="215"/>
    </row>
    <row r="43" spans="1:11" x14ac:dyDescent="0.25">
      <c r="A43" s="207" t="s">
        <v>70</v>
      </c>
      <c r="B43" s="199">
        <v>0</v>
      </c>
      <c r="C43" s="199">
        <v>1894</v>
      </c>
      <c r="D43" s="200">
        <v>2400</v>
      </c>
      <c r="E43" s="201">
        <f t="shared" ref="E43:E48" si="3">+C43/D43</f>
        <v>0.78916666666666668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  <c r="K43" s="215"/>
    </row>
    <row r="44" spans="1:11" x14ac:dyDescent="0.25">
      <c r="A44" s="207" t="s">
        <v>71</v>
      </c>
      <c r="B44" s="199">
        <v>5.13</v>
      </c>
      <c r="C44" s="199">
        <v>1692</v>
      </c>
      <c r="D44" s="200">
        <v>3600</v>
      </c>
      <c r="E44" s="201">
        <f t="shared" si="3"/>
        <v>0.47</v>
      </c>
      <c r="F44" s="201">
        <f t="shared" si="4"/>
        <v>0.21375</v>
      </c>
      <c r="G44" s="202">
        <v>12</v>
      </c>
      <c r="H44" s="71"/>
      <c r="K44" s="215"/>
    </row>
    <row r="45" spans="1:11" x14ac:dyDescent="0.25">
      <c r="A45" s="207" t="s">
        <v>72</v>
      </c>
      <c r="B45" s="199">
        <v>11.32</v>
      </c>
      <c r="C45" s="199">
        <v>1067</v>
      </c>
      <c r="D45" s="200">
        <v>3900</v>
      </c>
      <c r="E45" s="201">
        <f t="shared" si="3"/>
        <v>0.27358974358974358</v>
      </c>
      <c r="F45" s="201">
        <f t="shared" si="4"/>
        <v>0.47166666666666668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12.26</v>
      </c>
      <c r="C46" s="199">
        <v>3138</v>
      </c>
      <c r="D46" s="200">
        <v>3900</v>
      </c>
      <c r="E46" s="201">
        <f t="shared" si="3"/>
        <v>0.80461538461538462</v>
      </c>
      <c r="F46" s="201">
        <f t="shared" si="4"/>
        <v>0.51083333333333336</v>
      </c>
      <c r="G46" s="202">
        <v>12</v>
      </c>
      <c r="H46" s="301">
        <v>45925</v>
      </c>
      <c r="I46" s="129" t="s">
        <v>176</v>
      </c>
      <c r="J46" s="162">
        <v>143</v>
      </c>
      <c r="K46" s="318">
        <f t="shared" ref="K46:K53" si="5">+J46*1.5</f>
        <v>214.5</v>
      </c>
    </row>
    <row r="47" spans="1:11" x14ac:dyDescent="0.25">
      <c r="A47" s="207" t="s">
        <v>74</v>
      </c>
      <c r="B47" s="199">
        <v>16.96</v>
      </c>
      <c r="C47" s="199">
        <v>2923</v>
      </c>
      <c r="D47" s="200">
        <v>3900</v>
      </c>
      <c r="E47" s="201">
        <f t="shared" si="3"/>
        <v>0.74948717948717947</v>
      </c>
      <c r="F47" s="201">
        <f t="shared" si="4"/>
        <v>0.70666666666666667</v>
      </c>
      <c r="G47" s="202">
        <v>12</v>
      </c>
      <c r="H47" s="301">
        <v>45931</v>
      </c>
      <c r="I47" s="129" t="s">
        <v>176</v>
      </c>
      <c r="J47" s="162">
        <v>47</v>
      </c>
      <c r="K47" s="318">
        <f t="shared" si="5"/>
        <v>70.5</v>
      </c>
    </row>
    <row r="48" spans="1:11" x14ac:dyDescent="0.25">
      <c r="A48" s="259" t="s">
        <v>75</v>
      </c>
      <c r="B48" s="260">
        <v>8.24</v>
      </c>
      <c r="C48" s="261">
        <v>3033</v>
      </c>
      <c r="D48" s="262">
        <v>4300</v>
      </c>
      <c r="E48" s="263">
        <f t="shared" si="3"/>
        <v>0.7053488372093023</v>
      </c>
      <c r="F48" s="201">
        <f t="shared" si="4"/>
        <v>0.34333333333333332</v>
      </c>
      <c r="G48" s="202">
        <v>16</v>
      </c>
      <c r="H48" s="301">
        <v>45939</v>
      </c>
      <c r="I48" s="129" t="s">
        <v>176</v>
      </c>
      <c r="J48" s="162">
        <v>49</v>
      </c>
      <c r="K48" s="318">
        <f t="shared" si="5"/>
        <v>73.5</v>
      </c>
    </row>
    <row r="49" spans="2:11" x14ac:dyDescent="0.25">
      <c r="C49" s="71" t="s">
        <v>83</v>
      </c>
      <c r="D49" s="72" t="s">
        <v>79</v>
      </c>
      <c r="H49" s="301">
        <v>45952</v>
      </c>
      <c r="I49" s="129" t="s">
        <v>175</v>
      </c>
      <c r="J49" s="162">
        <v>45</v>
      </c>
      <c r="K49" s="318">
        <f t="shared" si="5"/>
        <v>67.5</v>
      </c>
    </row>
    <row r="50" spans="2:11" x14ac:dyDescent="0.25">
      <c r="B50" s="162" t="s">
        <v>78</v>
      </c>
      <c r="H50" s="301">
        <v>45952</v>
      </c>
      <c r="I50" s="129" t="s">
        <v>175</v>
      </c>
      <c r="J50" s="162">
        <v>16</v>
      </c>
      <c r="K50" s="318">
        <f t="shared" si="5"/>
        <v>24</v>
      </c>
    </row>
    <row r="51" spans="2:11" x14ac:dyDescent="0.25">
      <c r="C51" s="71">
        <v>1</v>
      </c>
      <c r="D51" s="225" t="s">
        <v>153</v>
      </c>
      <c r="H51" s="301">
        <v>45952</v>
      </c>
      <c r="I51" s="129" t="s">
        <v>176</v>
      </c>
      <c r="J51" s="162">
        <v>72</v>
      </c>
      <c r="K51" s="318">
        <f t="shared" si="5"/>
        <v>108</v>
      </c>
    </row>
    <row r="52" spans="2:11" x14ac:dyDescent="0.25">
      <c r="C52" s="71">
        <v>2</v>
      </c>
      <c r="D52" s="225" t="s">
        <v>153</v>
      </c>
      <c r="H52" s="331">
        <v>45959</v>
      </c>
      <c r="I52" s="332" t="s">
        <v>175</v>
      </c>
      <c r="J52" s="333">
        <v>191</v>
      </c>
      <c r="K52" s="334">
        <f t="shared" si="5"/>
        <v>286.5</v>
      </c>
    </row>
    <row r="53" spans="2:11" x14ac:dyDescent="0.25">
      <c r="C53" s="71">
        <v>3</v>
      </c>
      <c r="D53" s="225" t="s">
        <v>154</v>
      </c>
      <c r="H53" s="335">
        <v>45959</v>
      </c>
      <c r="I53" s="336" t="s">
        <v>176</v>
      </c>
      <c r="J53" s="164">
        <v>55</v>
      </c>
      <c r="K53" s="337">
        <f t="shared" si="5"/>
        <v>82.5</v>
      </c>
    </row>
    <row r="54" spans="2:11" x14ac:dyDescent="0.25">
      <c r="C54" s="71">
        <v>4</v>
      </c>
      <c r="D54" s="108">
        <v>0</v>
      </c>
      <c r="H54" s="213"/>
      <c r="I54" s="67"/>
      <c r="J54" s="67">
        <f>+J53+J52</f>
        <v>246</v>
      </c>
      <c r="K54" s="338">
        <f>+K53+K52</f>
        <v>369</v>
      </c>
    </row>
    <row r="55" spans="2:11" x14ac:dyDescent="0.25">
      <c r="C55" s="71">
        <v>5</v>
      </c>
      <c r="D55" s="108">
        <v>16</v>
      </c>
    </row>
    <row r="56" spans="2:11" x14ac:dyDescent="0.25">
      <c r="C56" s="71">
        <v>6</v>
      </c>
      <c r="D56" s="108">
        <v>1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45929</v>
      </c>
      <c r="I57" s="129" t="s">
        <v>176</v>
      </c>
      <c r="J57" s="162">
        <v>5120</v>
      </c>
      <c r="K57" s="318">
        <f>+J57*0.025</f>
        <v>128</v>
      </c>
    </row>
    <row r="58" spans="2:11" x14ac:dyDescent="0.25">
      <c r="C58" s="71">
        <v>8</v>
      </c>
      <c r="D58" s="225" t="s">
        <v>153</v>
      </c>
      <c r="H58" s="301">
        <v>45939</v>
      </c>
      <c r="I58" s="129" t="s">
        <v>176</v>
      </c>
      <c r="J58" s="162">
        <v>430</v>
      </c>
      <c r="K58" s="318">
        <f>+J58*0.025</f>
        <v>10.75</v>
      </c>
    </row>
    <row r="59" spans="2:11" x14ac:dyDescent="0.25">
      <c r="H59" s="301">
        <v>45940</v>
      </c>
      <c r="I59" s="129" t="s">
        <v>175</v>
      </c>
      <c r="J59" s="162">
        <v>1080</v>
      </c>
      <c r="K59" s="318">
        <f>+J59*0.025</f>
        <v>27</v>
      </c>
    </row>
    <row r="61" spans="2:11" x14ac:dyDescent="0.25">
      <c r="D61" s="93"/>
      <c r="H61" s="237" t="s">
        <v>205</v>
      </c>
      <c r="J61" s="162" t="s">
        <v>177</v>
      </c>
      <c r="K61" s="215" t="s">
        <v>92</v>
      </c>
    </row>
    <row r="62" spans="2:11" x14ac:dyDescent="0.25">
      <c r="D62" s="93"/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45949</v>
      </c>
      <c r="I65" s="129" t="s">
        <v>207</v>
      </c>
      <c r="J65" s="68">
        <v>383</v>
      </c>
      <c r="K65" s="318">
        <f>+J65*1.5</f>
        <v>574.5</v>
      </c>
    </row>
    <row r="66" spans="8:11" x14ac:dyDescent="0.25">
      <c r="H66" s="301">
        <v>45950</v>
      </c>
      <c r="I66" s="129" t="s">
        <v>175</v>
      </c>
      <c r="J66" s="68">
        <v>99</v>
      </c>
      <c r="K66" s="318">
        <f>+J66*1.5</f>
        <v>148.5</v>
      </c>
    </row>
    <row r="67" spans="8:11" x14ac:dyDescent="0.25">
      <c r="H67" s="215" t="s">
        <v>209</v>
      </c>
      <c r="I67" s="162" t="s">
        <v>208</v>
      </c>
      <c r="J67" s="162">
        <f>68-26</f>
        <v>42</v>
      </c>
      <c r="K67" s="318">
        <f>+J67*1.5</f>
        <v>63</v>
      </c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opLeftCell="A47" workbookViewId="0">
      <selection activeCell="A29" sqref="A29:K6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39"/>
      <c r="C4" s="339"/>
      <c r="D4" s="165">
        <f>D27</f>
        <v>3339.2809999999995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2325</v>
      </c>
      <c r="D5" s="172">
        <v>99.150999999999996</v>
      </c>
      <c r="E5" s="80">
        <f>+D5/$D$4</f>
        <v>2.9692319993435717E-2</v>
      </c>
      <c r="F5" s="58" t="s">
        <v>51</v>
      </c>
      <c r="G5" s="59">
        <v>45957</v>
      </c>
      <c r="H5" s="190">
        <v>6668</v>
      </c>
      <c r="I5" s="141">
        <v>6292.96</v>
      </c>
      <c r="J5" s="60">
        <f t="shared" ref="J5:J12" si="0">+I5/H5</f>
        <v>0.94375524895021001</v>
      </c>
    </row>
    <row r="6" spans="1:10" ht="15" customHeight="1" x14ac:dyDescent="0.25">
      <c r="A6" s="164"/>
      <c r="B6" s="169" t="s">
        <v>10</v>
      </c>
      <c r="C6" s="177">
        <v>6170</v>
      </c>
      <c r="D6" s="173">
        <v>263.14999999999998</v>
      </c>
      <c r="E6" s="80">
        <f t="shared" ref="E6:E27" si="1">+D6/$D$4</f>
        <v>7.8804389328121838E-2</v>
      </c>
      <c r="F6" s="58" t="s">
        <v>52</v>
      </c>
      <c r="G6" s="59">
        <v>45958</v>
      </c>
      <c r="H6" s="190">
        <v>9278</v>
      </c>
      <c r="I6" s="141">
        <v>10187.575999999997</v>
      </c>
      <c r="J6" s="60">
        <f t="shared" si="0"/>
        <v>1.0980357835740457</v>
      </c>
    </row>
    <row r="7" spans="1:10" ht="15" customHeight="1" x14ac:dyDescent="0.25">
      <c r="A7" s="164"/>
      <c r="B7" s="169" t="s">
        <v>35</v>
      </c>
      <c r="C7" s="177">
        <v>4695</v>
      </c>
      <c r="D7" s="173">
        <v>200.36199999999999</v>
      </c>
      <c r="E7" s="80">
        <f t="shared" si="1"/>
        <v>6.000153925350997E-2</v>
      </c>
      <c r="F7" s="58" t="s">
        <v>53</v>
      </c>
      <c r="G7" s="59">
        <v>45959</v>
      </c>
      <c r="H7" s="190">
        <v>9287</v>
      </c>
      <c r="I7" s="141">
        <v>9320.5849999999973</v>
      </c>
      <c r="J7" s="60">
        <f t="shared" si="0"/>
        <v>1.0036163454290941</v>
      </c>
    </row>
    <row r="8" spans="1:10" ht="15" customHeight="1" x14ac:dyDescent="0.25">
      <c r="A8" s="164"/>
      <c r="B8" s="169" t="s">
        <v>4</v>
      </c>
      <c r="C8" s="177">
        <v>3220</v>
      </c>
      <c r="D8" s="173">
        <v>137.41999999999999</v>
      </c>
      <c r="E8" s="80">
        <f t="shared" si="1"/>
        <v>4.1152571466731916E-2</v>
      </c>
      <c r="F8" s="58" t="s">
        <v>54</v>
      </c>
      <c r="G8" s="59">
        <v>45960</v>
      </c>
      <c r="H8" s="190">
        <v>9024</v>
      </c>
      <c r="I8" s="141">
        <v>8992.6599999999962</v>
      </c>
      <c r="J8" s="60">
        <f t="shared" si="0"/>
        <v>0.99652703900709183</v>
      </c>
    </row>
    <row r="9" spans="1:10" ht="15" customHeight="1" x14ac:dyDescent="0.25">
      <c r="A9" s="164"/>
      <c r="B9" s="169" t="s">
        <v>37</v>
      </c>
      <c r="C9" s="177">
        <v>12650</v>
      </c>
      <c r="D9" s="173">
        <v>539.58400000000006</v>
      </c>
      <c r="E9" s="245">
        <f t="shared" si="1"/>
        <v>0.16158688052907202</v>
      </c>
      <c r="F9" s="58" t="s">
        <v>55</v>
      </c>
      <c r="G9" s="59">
        <v>45961</v>
      </c>
      <c r="H9" s="190">
        <f>8857-(8857*0.08)</f>
        <v>8148.44</v>
      </c>
      <c r="I9" s="141">
        <v>8992.66</v>
      </c>
      <c r="J9" s="60">
        <f t="shared" si="0"/>
        <v>1.10360510723525</v>
      </c>
    </row>
    <row r="10" spans="1:10" ht="15" customHeight="1" x14ac:dyDescent="0.25">
      <c r="A10" s="164"/>
      <c r="B10" s="169" t="s">
        <v>38</v>
      </c>
      <c r="C10" s="177">
        <v>15837</v>
      </c>
      <c r="D10" s="173">
        <v>676.19200000000001</v>
      </c>
      <c r="E10" s="245">
        <f t="shared" si="1"/>
        <v>0.20249628587710949</v>
      </c>
      <c r="F10" s="58" t="s">
        <v>56</v>
      </c>
      <c r="G10" s="59">
        <v>45962</v>
      </c>
      <c r="H10" s="190">
        <f>7425-(7425*0.1)</f>
        <v>6682.5</v>
      </c>
      <c r="I10" s="141">
        <v>4369.13</v>
      </c>
      <c r="J10" s="60">
        <f t="shared" si="0"/>
        <v>0.65381668537224091</v>
      </c>
    </row>
    <row r="11" spans="1:10" ht="15" customHeight="1" x14ac:dyDescent="0.25">
      <c r="A11" s="164"/>
      <c r="B11" s="169" t="s">
        <v>42</v>
      </c>
      <c r="C11" s="177">
        <v>3165</v>
      </c>
      <c r="D11" s="173">
        <v>135.202</v>
      </c>
      <c r="E11" s="80">
        <f t="shared" si="1"/>
        <v>4.0488356625273531E-2</v>
      </c>
      <c r="F11" s="58" t="s">
        <v>57</v>
      </c>
      <c r="G11" s="59">
        <v>45963</v>
      </c>
      <c r="H11" s="190">
        <v>7221</v>
      </c>
      <c r="I11" s="141">
        <v>3339.2809999999995</v>
      </c>
      <c r="J11" s="60">
        <f t="shared" si="0"/>
        <v>0.46244024373355486</v>
      </c>
    </row>
    <row r="12" spans="1:10" ht="15" customHeight="1" x14ac:dyDescent="0.25">
      <c r="A12" s="164"/>
      <c r="B12" s="169" t="s">
        <v>196</v>
      </c>
      <c r="C12" s="177">
        <v>5400</v>
      </c>
      <c r="D12" s="173">
        <v>135.60999999999999</v>
      </c>
      <c r="E12" s="80">
        <f t="shared" si="1"/>
        <v>4.0610538615947565E-2</v>
      </c>
      <c r="H12" s="139">
        <f>+SUM(H5:H11)</f>
        <v>56308.94</v>
      </c>
      <c r="I12" s="142">
        <f>+SUM(I5:I11)</f>
        <v>51494.851999999992</v>
      </c>
      <c r="J12" s="140">
        <f t="shared" si="0"/>
        <v>0.91450579606009264</v>
      </c>
    </row>
    <row r="13" spans="1:10" ht="15" customHeight="1" x14ac:dyDescent="0.25">
      <c r="A13" s="164"/>
      <c r="B13" s="169" t="s">
        <v>39</v>
      </c>
      <c r="C13" s="177">
        <v>90</v>
      </c>
      <c r="D13" s="173">
        <v>135.68</v>
      </c>
      <c r="E13" s="80">
        <f t="shared" si="1"/>
        <v>4.0631501212386748E-2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66</v>
      </c>
      <c r="D14" s="173">
        <v>99.76</v>
      </c>
      <c r="E14" s="80">
        <f t="shared" si="1"/>
        <v>2.9874694582456528E-2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194</v>
      </c>
      <c r="C15" s="177">
        <v>107</v>
      </c>
      <c r="D15" s="173">
        <v>161.42000000000002</v>
      </c>
      <c r="E15" s="80">
        <f t="shared" si="1"/>
        <v>4.833974738873429E-2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20</v>
      </c>
      <c r="D16" s="173">
        <v>30.14</v>
      </c>
      <c r="E16" s="80">
        <f t="shared" si="1"/>
        <v>9.025895095381313E-3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85</v>
      </c>
      <c r="C17" s="177">
        <v>259</v>
      </c>
      <c r="D17" s="173">
        <v>390.57999999999993</v>
      </c>
      <c r="E17" s="80">
        <f t="shared" si="1"/>
        <v>0.11696529881732025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41</v>
      </c>
      <c r="C18" s="177">
        <v>22</v>
      </c>
      <c r="D18" s="173">
        <v>33.130000000000003</v>
      </c>
      <c r="E18" s="80">
        <f t="shared" si="1"/>
        <v>9.9212974289974425E-3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41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39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85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x14ac:dyDescent="0.25">
      <c r="A22" s="164"/>
      <c r="B22" s="169" t="s">
        <v>88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B23" s="169" t="s">
        <v>184</v>
      </c>
      <c r="C23" s="177"/>
      <c r="D23" s="173">
        <v>32.1</v>
      </c>
      <c r="E23" s="80">
        <f t="shared" si="1"/>
        <v>9.6128477956781734E-3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1" ht="15" customHeight="1" x14ac:dyDescent="0.25">
      <c r="B24" s="169" t="s">
        <v>46</v>
      </c>
      <c r="C24" s="177"/>
      <c r="D24" s="173">
        <v>30.12</v>
      </c>
      <c r="E24" s="80">
        <f t="shared" si="1"/>
        <v>9.0199057821129767E-3</v>
      </c>
      <c r="F24" s="163"/>
    </row>
    <row r="25" spans="1:11" ht="15" customHeight="1" x14ac:dyDescent="0.25">
      <c r="B25" s="169" t="s">
        <v>40</v>
      </c>
      <c r="C25" s="177"/>
      <c r="D25" s="173">
        <v>177.79</v>
      </c>
      <c r="E25" s="80">
        <f t="shared" si="1"/>
        <v>5.3242000298866735E-2</v>
      </c>
      <c r="G25" s="68">
        <f>+SUM(G14:G23)</f>
        <v>2122275.2460000003</v>
      </c>
      <c r="H25" s="68">
        <f>+SUM(H14:H23)</f>
        <v>2127036.7809999995</v>
      </c>
      <c r="I25" s="98">
        <f>+H25/G25</f>
        <v>1.0022435991792176</v>
      </c>
      <c r="J25" s="108">
        <f>+H25-G25</f>
        <v>4761.5349999992177</v>
      </c>
    </row>
    <row r="26" spans="1:11" ht="15" customHeight="1" thickBot="1" x14ac:dyDescent="0.3">
      <c r="B26" s="169" t="s">
        <v>9</v>
      </c>
      <c r="C26" s="177"/>
      <c r="D26" s="173">
        <v>61.89</v>
      </c>
      <c r="E26" s="80">
        <f t="shared" si="1"/>
        <v>1.8533929908863617E-2</v>
      </c>
    </row>
    <row r="27" spans="1:11" ht="15" customHeight="1" thickBot="1" x14ac:dyDescent="0.3">
      <c r="B27" s="178" t="s">
        <v>0</v>
      </c>
      <c r="C27" s="170"/>
      <c r="D27" s="171">
        <f>SUM(D5:D26)</f>
        <v>3339.2809999999995</v>
      </c>
      <c r="E27" s="80">
        <f t="shared" si="1"/>
        <v>1</v>
      </c>
      <c r="F27" s="179"/>
      <c r="G27" s="179"/>
      <c r="J27" s="179"/>
    </row>
    <row r="28" spans="1:11" ht="15" customHeight="1" thickBot="1" x14ac:dyDescent="0.3">
      <c r="B28" s="166" t="s">
        <v>1</v>
      </c>
      <c r="C28" s="167"/>
      <c r="D28" s="233">
        <v>7740.4260000000004</v>
      </c>
      <c r="E28" s="313">
        <f>+D28/F2</f>
        <v>3.3996122278075698E-2</v>
      </c>
      <c r="F28" s="179"/>
      <c r="G28" s="179"/>
      <c r="J28" s="179"/>
    </row>
    <row r="29" spans="1:11" x14ac:dyDescent="0.25">
      <c r="D29" s="108">
        <f>+(F2/30)*2</f>
        <v>15179.03706131772</v>
      </c>
      <c r="E29" s="314">
        <f>+D29/E2</f>
        <v>6.4198279062253685E-2</v>
      </c>
      <c r="K29" s="215"/>
    </row>
    <row r="30" spans="1:11" x14ac:dyDescent="0.25">
      <c r="D30" s="183">
        <f>+D28-D29</f>
        <v>-7438.6110613177198</v>
      </c>
      <c r="E30" s="99">
        <f>E28-E29</f>
        <v>-3.0202156784177987E-2</v>
      </c>
      <c r="K30" s="215"/>
    </row>
    <row r="31" spans="1:11" x14ac:dyDescent="0.25">
      <c r="K31" s="215"/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  <c r="K32" s="215"/>
    </row>
    <row r="33" spans="1:11" x14ac:dyDescent="0.25">
      <c r="B33" s="162" t="s">
        <v>61</v>
      </c>
      <c r="C33" s="162">
        <v>1742</v>
      </c>
      <c r="D33" s="108">
        <v>2142</v>
      </c>
      <c r="E33" s="57">
        <f>+C33/D33</f>
        <v>0.81325863678804855</v>
      </c>
      <c r="G33" s="86" t="s">
        <v>86</v>
      </c>
      <c r="H33" s="87">
        <v>15411</v>
      </c>
      <c r="I33" s="88">
        <f>+H33*0.025</f>
        <v>385.27500000000003</v>
      </c>
      <c r="J33" s="224">
        <f>15*72</f>
        <v>1080</v>
      </c>
      <c r="K33" s="215"/>
    </row>
    <row r="34" spans="1:11" x14ac:dyDescent="0.25">
      <c r="B34" s="162" t="s">
        <v>62</v>
      </c>
      <c r="C34" s="162">
        <v>1153</v>
      </c>
      <c r="D34" s="108">
        <v>1890</v>
      </c>
      <c r="E34" s="57">
        <f>+C34/D34</f>
        <v>0.61005291005291007</v>
      </c>
      <c r="G34" s="86" t="s">
        <v>171</v>
      </c>
      <c r="H34" s="87">
        <v>0</v>
      </c>
      <c r="I34" s="88">
        <v>0</v>
      </c>
      <c r="J34" s="297" t="s">
        <v>188</v>
      </c>
      <c r="K34" s="215"/>
    </row>
    <row r="35" spans="1:11" x14ac:dyDescent="0.25">
      <c r="B35" s="162" t="s">
        <v>63</v>
      </c>
      <c r="C35" s="67">
        <v>2752</v>
      </c>
      <c r="D35" s="108">
        <v>3006</v>
      </c>
      <c r="E35" s="57">
        <f>+C35/D35</f>
        <v>0.91550232867598136</v>
      </c>
      <c r="G35" s="89" t="s">
        <v>169</v>
      </c>
      <c r="H35" s="87">
        <v>269</v>
      </c>
      <c r="I35" s="88">
        <f>+H35*1.5</f>
        <v>403.5</v>
      </c>
      <c r="J35" s="298">
        <f>+I35+I33</f>
        <v>788.77500000000009</v>
      </c>
      <c r="K35" s="215" t="s">
        <v>191</v>
      </c>
    </row>
    <row r="36" spans="1:11" x14ac:dyDescent="0.25">
      <c r="C36" s="162">
        <f>+SUM(C33:C35)</f>
        <v>5647</v>
      </c>
      <c r="D36" s="110">
        <f>+SUM(D33:D35)</f>
        <v>7038</v>
      </c>
      <c r="E36" s="57">
        <f>+C36/D36</f>
        <v>0.80235862460926399</v>
      </c>
      <c r="G36" s="89" t="s">
        <v>168</v>
      </c>
      <c r="H36" s="87">
        <v>1</v>
      </c>
      <c r="I36" s="88">
        <f>+H36*1.5</f>
        <v>1.5</v>
      </c>
      <c r="J36" s="228" t="s">
        <v>193</v>
      </c>
      <c r="K36" s="215"/>
    </row>
    <row r="37" spans="1:11" x14ac:dyDescent="0.25">
      <c r="G37" s="231" t="s">
        <v>123</v>
      </c>
      <c r="H37" s="138">
        <v>231</v>
      </c>
      <c r="I37" s="232">
        <v>346.5</v>
      </c>
      <c r="J37" s="218" t="s">
        <v>146</v>
      </c>
      <c r="K37" s="215"/>
    </row>
    <row r="38" spans="1:1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  <c r="K38" s="215"/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219</v>
      </c>
      <c r="I39" s="88">
        <f>+H39*1.5</f>
        <v>328.5</v>
      </c>
      <c r="J39" s="224" t="s">
        <v>152</v>
      </c>
      <c r="K39" s="215"/>
    </row>
    <row r="40" spans="1:11" x14ac:dyDescent="0.25">
      <c r="B40" s="73">
        <v>9</v>
      </c>
      <c r="C40" s="74">
        <v>2</v>
      </c>
      <c r="D40" s="74">
        <v>5</v>
      </c>
      <c r="E40" s="75">
        <f>+SUM(B40:D40)</f>
        <v>16</v>
      </c>
      <c r="J40" s="218"/>
      <c r="K40" s="215"/>
    </row>
    <row r="41" spans="1:1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  <c r="K41" s="215"/>
    </row>
    <row r="42" spans="1:11" x14ac:dyDescent="0.25">
      <c r="D42" s="162"/>
      <c r="G42" s="71" t="s">
        <v>90</v>
      </c>
      <c r="H42" s="144" t="s">
        <v>120</v>
      </c>
      <c r="I42" s="145">
        <v>0</v>
      </c>
      <c r="J42" s="218"/>
      <c r="K42" s="215"/>
    </row>
    <row r="43" spans="1:11" x14ac:dyDescent="0.25">
      <c r="A43" s="207" t="s">
        <v>70</v>
      </c>
      <c r="B43" s="199">
        <v>0</v>
      </c>
      <c r="C43" s="199">
        <v>1894</v>
      </c>
      <c r="D43" s="200">
        <v>2400</v>
      </c>
      <c r="E43" s="201">
        <f t="shared" ref="E43:E48" si="3">+C43/D43</f>
        <v>0.78916666666666668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  <c r="K43" s="215"/>
    </row>
    <row r="44" spans="1:11" x14ac:dyDescent="0.25">
      <c r="A44" s="207" t="s">
        <v>71</v>
      </c>
      <c r="B44" s="199">
        <v>4.83</v>
      </c>
      <c r="C44" s="199">
        <v>1281</v>
      </c>
      <c r="D44" s="200">
        <v>3600</v>
      </c>
      <c r="E44" s="201">
        <f t="shared" si="3"/>
        <v>0.35583333333333333</v>
      </c>
      <c r="F44" s="201">
        <f t="shared" si="4"/>
        <v>0.20125000000000001</v>
      </c>
      <c r="G44" s="202">
        <v>12</v>
      </c>
      <c r="H44" s="71"/>
      <c r="K44" s="215"/>
    </row>
    <row r="45" spans="1:11" x14ac:dyDescent="0.25">
      <c r="A45" s="207" t="s">
        <v>72</v>
      </c>
      <c r="B45" s="199">
        <v>4.6500000000000004</v>
      </c>
      <c r="C45" s="199">
        <v>1058</v>
      </c>
      <c r="D45" s="200">
        <v>3900</v>
      </c>
      <c r="E45" s="201">
        <f t="shared" si="3"/>
        <v>0.2712820512820513</v>
      </c>
      <c r="F45" s="201">
        <f t="shared" si="4"/>
        <v>0.19375000000000001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2.5299999999999998</v>
      </c>
      <c r="C46" s="199">
        <v>1842</v>
      </c>
      <c r="D46" s="200">
        <v>3900</v>
      </c>
      <c r="E46" s="201">
        <f t="shared" si="3"/>
        <v>0.47230769230769232</v>
      </c>
      <c r="F46" s="201">
        <f t="shared" si="4"/>
        <v>0.10541666666666666</v>
      </c>
      <c r="G46" s="202">
        <v>12</v>
      </c>
      <c r="H46" s="301">
        <v>45925</v>
      </c>
      <c r="I46" s="129" t="s">
        <v>176</v>
      </c>
      <c r="J46" s="162">
        <v>143</v>
      </c>
      <c r="K46" s="318">
        <f t="shared" ref="K46:K53" si="5">+J46*1.5</f>
        <v>214.5</v>
      </c>
    </row>
    <row r="47" spans="1:11" x14ac:dyDescent="0.25">
      <c r="A47" s="207" t="s">
        <v>74</v>
      </c>
      <c r="B47" s="199">
        <v>1.5</v>
      </c>
      <c r="C47" s="199">
        <v>2243</v>
      </c>
      <c r="D47" s="200">
        <v>3900</v>
      </c>
      <c r="E47" s="201">
        <f t="shared" si="3"/>
        <v>0.57512820512820517</v>
      </c>
      <c r="F47" s="201">
        <f t="shared" si="4"/>
        <v>6.25E-2</v>
      </c>
      <c r="G47" s="202">
        <v>12</v>
      </c>
      <c r="H47" s="301">
        <v>45931</v>
      </c>
      <c r="I47" s="129" t="s">
        <v>176</v>
      </c>
      <c r="J47" s="162">
        <v>47</v>
      </c>
      <c r="K47" s="318">
        <f t="shared" si="5"/>
        <v>70.5</v>
      </c>
    </row>
    <row r="48" spans="1:11" x14ac:dyDescent="0.25">
      <c r="A48" s="259" t="s">
        <v>75</v>
      </c>
      <c r="B48" s="260">
        <v>1.55</v>
      </c>
      <c r="C48" s="261">
        <v>3441</v>
      </c>
      <c r="D48" s="262">
        <v>4300</v>
      </c>
      <c r="E48" s="263">
        <f t="shared" si="3"/>
        <v>0.80023255813953487</v>
      </c>
      <c r="F48" s="201">
        <f t="shared" si="4"/>
        <v>6.458333333333334E-2</v>
      </c>
      <c r="G48" s="202">
        <v>16</v>
      </c>
      <c r="H48" s="301">
        <v>45939</v>
      </c>
      <c r="I48" s="129" t="s">
        <v>176</v>
      </c>
      <c r="J48" s="162">
        <v>49</v>
      </c>
      <c r="K48" s="318">
        <f t="shared" si="5"/>
        <v>73.5</v>
      </c>
    </row>
    <row r="49" spans="2:11" x14ac:dyDescent="0.25">
      <c r="C49" s="71" t="s">
        <v>83</v>
      </c>
      <c r="D49" s="72" t="s">
        <v>79</v>
      </c>
      <c r="H49" s="301">
        <v>45952</v>
      </c>
      <c r="I49" s="129" t="s">
        <v>175</v>
      </c>
      <c r="J49" s="162">
        <v>45</v>
      </c>
      <c r="K49" s="318">
        <f t="shared" si="5"/>
        <v>67.5</v>
      </c>
    </row>
    <row r="50" spans="2:11" x14ac:dyDescent="0.25">
      <c r="B50" s="162" t="s">
        <v>78</v>
      </c>
      <c r="H50" s="301">
        <v>45952</v>
      </c>
      <c r="I50" s="129" t="s">
        <v>175</v>
      </c>
      <c r="J50" s="162">
        <v>16</v>
      </c>
      <c r="K50" s="318">
        <f t="shared" si="5"/>
        <v>24</v>
      </c>
    </row>
    <row r="51" spans="2:11" x14ac:dyDescent="0.25">
      <c r="C51" s="71">
        <v>1</v>
      </c>
      <c r="D51" s="225" t="s">
        <v>153</v>
      </c>
      <c r="H51" s="301">
        <v>45952</v>
      </c>
      <c r="I51" s="129" t="s">
        <v>176</v>
      </c>
      <c r="J51" s="162">
        <v>72</v>
      </c>
      <c r="K51" s="318">
        <f t="shared" si="5"/>
        <v>108</v>
      </c>
    </row>
    <row r="52" spans="2:11" x14ac:dyDescent="0.25">
      <c r="C52" s="71">
        <v>2</v>
      </c>
      <c r="D52" s="225" t="s">
        <v>153</v>
      </c>
      <c r="H52" s="331">
        <v>45959</v>
      </c>
      <c r="I52" s="332" t="s">
        <v>175</v>
      </c>
      <c r="J52" s="333">
        <v>191</v>
      </c>
      <c r="K52" s="334">
        <f t="shared" si="5"/>
        <v>286.5</v>
      </c>
    </row>
    <row r="53" spans="2:11" x14ac:dyDescent="0.25">
      <c r="C53" s="71">
        <v>3</v>
      </c>
      <c r="D53" s="225" t="s">
        <v>154</v>
      </c>
      <c r="H53" s="335">
        <v>45959</v>
      </c>
      <c r="I53" s="336" t="s">
        <v>176</v>
      </c>
      <c r="J53" s="164">
        <v>55</v>
      </c>
      <c r="K53" s="337">
        <f t="shared" si="5"/>
        <v>82.5</v>
      </c>
    </row>
    <row r="54" spans="2:11" x14ac:dyDescent="0.25">
      <c r="C54" s="71">
        <v>4</v>
      </c>
      <c r="D54" s="108">
        <v>0</v>
      </c>
      <c r="H54" s="213"/>
      <c r="I54" s="67"/>
      <c r="J54" s="67">
        <f>+J53+J52</f>
        <v>246</v>
      </c>
      <c r="K54" s="338">
        <f>+K53+K52</f>
        <v>369</v>
      </c>
    </row>
    <row r="55" spans="2:11" x14ac:dyDescent="0.25">
      <c r="C55" s="71">
        <v>5</v>
      </c>
      <c r="D55" s="108">
        <v>3</v>
      </c>
    </row>
    <row r="56" spans="2:11" x14ac:dyDescent="0.25">
      <c r="C56" s="71">
        <v>6</v>
      </c>
      <c r="D56" s="108">
        <v>1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45929</v>
      </c>
      <c r="I57" s="129" t="s">
        <v>176</v>
      </c>
      <c r="J57" s="162">
        <v>5120</v>
      </c>
      <c r="K57" s="318">
        <f>+J57*0.025</f>
        <v>128</v>
      </c>
    </row>
    <row r="58" spans="2:11" x14ac:dyDescent="0.25">
      <c r="C58" s="71">
        <v>8</v>
      </c>
      <c r="D58" s="225" t="s">
        <v>153</v>
      </c>
      <c r="H58" s="301">
        <v>45939</v>
      </c>
      <c r="I58" s="129" t="s">
        <v>176</v>
      </c>
      <c r="J58" s="162">
        <v>430</v>
      </c>
      <c r="K58" s="318">
        <f>+J58*0.025</f>
        <v>10.75</v>
      </c>
    </row>
    <row r="59" spans="2:11" x14ac:dyDescent="0.25">
      <c r="H59" s="301">
        <v>45940</v>
      </c>
      <c r="I59" s="129" t="s">
        <v>175</v>
      </c>
      <c r="J59" s="162">
        <v>1080</v>
      </c>
      <c r="K59" s="318">
        <f>+J59*0.025</f>
        <v>27</v>
      </c>
    </row>
    <row r="61" spans="2:11" x14ac:dyDescent="0.25">
      <c r="D61" s="93"/>
      <c r="H61" s="237" t="s">
        <v>205</v>
      </c>
      <c r="J61" s="162" t="s">
        <v>177</v>
      </c>
      <c r="K61" s="215" t="s">
        <v>92</v>
      </c>
    </row>
    <row r="62" spans="2:11" x14ac:dyDescent="0.25">
      <c r="D62" s="93"/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45961</v>
      </c>
      <c r="I65" s="129" t="s">
        <v>176</v>
      </c>
      <c r="J65" s="68">
        <v>39</v>
      </c>
      <c r="K65" s="318">
        <f>+J65*1.5</f>
        <v>58.5</v>
      </c>
    </row>
    <row r="66" spans="8:11" x14ac:dyDescent="0.25">
      <c r="H66" s="301">
        <v>45962</v>
      </c>
      <c r="I66" s="129" t="s">
        <v>175</v>
      </c>
      <c r="J66" s="68">
        <v>202</v>
      </c>
      <c r="K66" s="318">
        <f>+J66*1.5</f>
        <v>303</v>
      </c>
    </row>
    <row r="67" spans="8:11" x14ac:dyDescent="0.25">
      <c r="H67" s="301">
        <v>45962</v>
      </c>
      <c r="I67" s="129" t="s">
        <v>176</v>
      </c>
      <c r="J67" s="162">
        <v>209</v>
      </c>
      <c r="K67" s="318">
        <f>+J67*1.5</f>
        <v>313.5</v>
      </c>
    </row>
    <row r="68" spans="8:11" x14ac:dyDescent="0.25">
      <c r="H68" s="301">
        <v>45963</v>
      </c>
      <c r="I68" s="129" t="s">
        <v>175</v>
      </c>
      <c r="J68" s="68">
        <v>99</v>
      </c>
      <c r="K68" s="318">
        <f>+J68*1.5</f>
        <v>148.5</v>
      </c>
    </row>
    <row r="69" spans="8:11" x14ac:dyDescent="0.25">
      <c r="J69" s="68">
        <f>+SUM(J65:J68)</f>
        <v>549</v>
      </c>
      <c r="K69" s="68">
        <f>+SUM(K65:K68)</f>
        <v>823.5</v>
      </c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opLeftCell="A41" workbookViewId="0">
      <selection activeCell="H45" sqref="H45:K6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62"/>
    </row>
    <row r="4" spans="1:10" ht="19.5" customHeight="1" thickBot="1" x14ac:dyDescent="0.4">
      <c r="A4" s="164"/>
      <c r="B4" s="340"/>
      <c r="C4" s="340"/>
      <c r="D4" s="165">
        <f>D22</f>
        <v>6983.1379999999999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2197</v>
      </c>
      <c r="D5" s="172">
        <v>93.926000000000002</v>
      </c>
      <c r="E5" s="80">
        <f>+D5/$D$4</f>
        <v>1.3450400092336712E-2</v>
      </c>
      <c r="F5" s="58" t="s">
        <v>51</v>
      </c>
      <c r="G5" s="59">
        <v>45957</v>
      </c>
      <c r="H5" s="190">
        <v>6668</v>
      </c>
      <c r="I5" s="141">
        <v>6292.96</v>
      </c>
      <c r="J5" s="60">
        <f t="shared" ref="J5:J12" si="0">+I5/H5</f>
        <v>0.94375524895021001</v>
      </c>
    </row>
    <row r="6" spans="1:10" ht="15" customHeight="1" x14ac:dyDescent="0.25">
      <c r="A6" s="164"/>
      <c r="B6" s="169" t="s">
        <v>10</v>
      </c>
      <c r="C6" s="177">
        <v>11704</v>
      </c>
      <c r="D6" s="173">
        <v>499.47199999999998</v>
      </c>
      <c r="E6" s="80">
        <f t="shared" ref="E6:E22" si="1">+D6/$D$4</f>
        <v>7.1525437417963092E-2</v>
      </c>
      <c r="F6" s="58" t="s">
        <v>52</v>
      </c>
      <c r="G6" s="59">
        <v>45958</v>
      </c>
      <c r="H6" s="190">
        <v>9278</v>
      </c>
      <c r="I6" s="141">
        <v>10187.575999999997</v>
      </c>
      <c r="J6" s="60">
        <f t="shared" si="0"/>
        <v>1.0980357835740457</v>
      </c>
    </row>
    <row r="7" spans="1:10" ht="15" customHeight="1" x14ac:dyDescent="0.25">
      <c r="A7" s="164"/>
      <c r="B7" s="169" t="s">
        <v>35</v>
      </c>
      <c r="C7" s="177">
        <v>11540</v>
      </c>
      <c r="D7" s="173">
        <v>491.81999999999994</v>
      </c>
      <c r="E7" s="80">
        <f t="shared" si="1"/>
        <v>7.0429654977461412E-2</v>
      </c>
      <c r="F7" s="58" t="s">
        <v>53</v>
      </c>
      <c r="G7" s="59">
        <v>45959</v>
      </c>
      <c r="H7" s="190">
        <v>9287</v>
      </c>
      <c r="I7" s="141">
        <v>9320.5849999999973</v>
      </c>
      <c r="J7" s="60">
        <f t="shared" si="0"/>
        <v>1.0036163454290941</v>
      </c>
    </row>
    <row r="8" spans="1:10" ht="15" customHeight="1" x14ac:dyDescent="0.25">
      <c r="A8" s="164"/>
      <c r="B8" s="169" t="s">
        <v>4</v>
      </c>
      <c r="C8" s="177">
        <v>2394</v>
      </c>
      <c r="D8" s="173">
        <v>102.22</v>
      </c>
      <c r="E8" s="80">
        <f t="shared" si="1"/>
        <v>1.463811827863061E-2</v>
      </c>
      <c r="F8" s="58" t="s">
        <v>54</v>
      </c>
      <c r="G8" s="59">
        <v>45960</v>
      </c>
      <c r="H8" s="190">
        <v>9024</v>
      </c>
      <c r="I8" s="141">
        <v>8992.6599999999962</v>
      </c>
      <c r="J8" s="60">
        <f t="shared" si="0"/>
        <v>0.99652703900709183</v>
      </c>
    </row>
    <row r="9" spans="1:10" ht="15" customHeight="1" x14ac:dyDescent="0.25">
      <c r="A9" s="164"/>
      <c r="B9" s="169" t="s">
        <v>37</v>
      </c>
      <c r="C9" s="177">
        <v>37876</v>
      </c>
      <c r="D9" s="173">
        <v>1616.3400000000001</v>
      </c>
      <c r="E9" s="245">
        <f t="shared" si="1"/>
        <v>0.23146327625202312</v>
      </c>
      <c r="F9" s="58" t="s">
        <v>55</v>
      </c>
      <c r="G9" s="59">
        <v>45961</v>
      </c>
      <c r="H9" s="190">
        <f>8857-(8857*0.08)</f>
        <v>8148.44</v>
      </c>
      <c r="I9" s="141">
        <v>8992.66</v>
      </c>
      <c r="J9" s="60">
        <f t="shared" si="0"/>
        <v>1.10360510723525</v>
      </c>
    </row>
    <row r="10" spans="1:10" ht="15" customHeight="1" x14ac:dyDescent="0.25">
      <c r="A10" s="164"/>
      <c r="B10" s="169" t="s">
        <v>38</v>
      </c>
      <c r="C10" s="177">
        <v>40337</v>
      </c>
      <c r="D10" s="173">
        <v>1722.3300000000004</v>
      </c>
      <c r="E10" s="245">
        <f t="shared" si="1"/>
        <v>0.24664126643351461</v>
      </c>
      <c r="F10" s="58" t="s">
        <v>56</v>
      </c>
      <c r="G10" s="59">
        <v>45962</v>
      </c>
      <c r="H10" s="190">
        <f>7425-(7425*0.1)</f>
        <v>6682.5</v>
      </c>
      <c r="I10" s="141">
        <v>4369.13</v>
      </c>
      <c r="J10" s="60">
        <f t="shared" si="0"/>
        <v>0.65381668537224091</v>
      </c>
    </row>
    <row r="11" spans="1:10" ht="15" customHeight="1" x14ac:dyDescent="0.25">
      <c r="A11" s="164"/>
      <c r="B11" s="169" t="s">
        <v>42</v>
      </c>
      <c r="C11" s="177">
        <v>7860</v>
      </c>
      <c r="D11" s="173">
        <v>335.77</v>
      </c>
      <c r="E11" s="80">
        <f t="shared" si="1"/>
        <v>4.8082967857716687E-2</v>
      </c>
      <c r="F11" s="58" t="s">
        <v>57</v>
      </c>
      <c r="G11" s="59">
        <v>45963</v>
      </c>
      <c r="H11" s="190">
        <v>7221</v>
      </c>
      <c r="I11" s="141">
        <v>3339.2809999999995</v>
      </c>
      <c r="J11" s="60">
        <f t="shared" si="0"/>
        <v>0.46244024373355486</v>
      </c>
    </row>
    <row r="12" spans="1:10" ht="15" customHeight="1" x14ac:dyDescent="0.25">
      <c r="A12" s="164"/>
      <c r="B12" s="169" t="s">
        <v>44</v>
      </c>
      <c r="C12" s="177">
        <v>62</v>
      </c>
      <c r="D12" s="173">
        <v>93.66</v>
      </c>
      <c r="E12" s="80">
        <f t="shared" si="1"/>
        <v>1.3412308334734327E-2</v>
      </c>
      <c r="H12" s="139">
        <f>+SUM(H5:H11)</f>
        <v>56308.94</v>
      </c>
      <c r="I12" s="142">
        <f>+SUM(I5:I11)</f>
        <v>51494.851999999992</v>
      </c>
      <c r="J12" s="140">
        <f t="shared" si="0"/>
        <v>0.91450579606009264</v>
      </c>
    </row>
    <row r="13" spans="1:10" ht="15" customHeight="1" x14ac:dyDescent="0.25">
      <c r="A13" s="164"/>
      <c r="B13" s="169" t="s">
        <v>39</v>
      </c>
      <c r="C13" s="177">
        <v>354</v>
      </c>
      <c r="D13" s="173">
        <v>533.53</v>
      </c>
      <c r="E13" s="80">
        <f t="shared" si="1"/>
        <v>7.6402614412030806E-2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228</v>
      </c>
      <c r="D14" s="173">
        <v>343.96</v>
      </c>
      <c r="E14" s="80">
        <f t="shared" si="1"/>
        <v>4.9255793026000631E-2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45</v>
      </c>
      <c r="C15" s="177">
        <v>47</v>
      </c>
      <c r="D15" s="173">
        <v>70.680000000000007</v>
      </c>
      <c r="E15" s="80">
        <f t="shared" si="1"/>
        <v>1.0121524162919308E-2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194</v>
      </c>
      <c r="C16" s="177">
        <v>110</v>
      </c>
      <c r="D16" s="173">
        <v>165.91000000000003</v>
      </c>
      <c r="E16" s="80">
        <f t="shared" si="1"/>
        <v>2.3758659788765457E-2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87</v>
      </c>
      <c r="D17" s="173">
        <v>130.94999999999999</v>
      </c>
      <c r="E17" s="80">
        <f t="shared" si="1"/>
        <v>1.8752314503880631E-2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88</v>
      </c>
      <c r="C18" s="177">
        <v>20</v>
      </c>
      <c r="D18" s="173">
        <v>30.28</v>
      </c>
      <c r="E18" s="80">
        <f t="shared" si="1"/>
        <v>4.3361594744368509E-3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40</v>
      </c>
      <c r="C19" s="177"/>
      <c r="D19" s="173">
        <v>662.91000000000008</v>
      </c>
      <c r="E19" s="80">
        <f t="shared" si="1"/>
        <v>9.4930101624799632E-2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9</v>
      </c>
      <c r="C20" s="177"/>
      <c r="D20" s="173">
        <v>60.83</v>
      </c>
      <c r="E20" s="80">
        <f t="shared" si="1"/>
        <v>8.7109835148610846E-3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thickBot="1" x14ac:dyDescent="0.3">
      <c r="A21" s="164"/>
      <c r="B21" s="169" t="s">
        <v>46</v>
      </c>
      <c r="C21" s="177"/>
      <c r="D21" s="173">
        <v>28.55</v>
      </c>
      <c r="E21" s="80">
        <f t="shared" si="1"/>
        <v>4.0884198479251019E-3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B22" s="178" t="s">
        <v>0</v>
      </c>
      <c r="C22" s="170"/>
      <c r="D22" s="171">
        <f>SUM(D5:D21)</f>
        <v>6983.1379999999999</v>
      </c>
      <c r="E22" s="80">
        <f t="shared" si="1"/>
        <v>1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B23" s="166" t="s">
        <v>1</v>
      </c>
      <c r="C23" s="167"/>
      <c r="D23" s="233">
        <v>14886.343999999999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1" x14ac:dyDescent="0.25">
      <c r="E24" s="80"/>
      <c r="F24" s="163"/>
    </row>
    <row r="25" spans="1:11" x14ac:dyDescent="0.25">
      <c r="E25" s="80"/>
      <c r="G25" s="68">
        <f>+SUM(G14:G23)</f>
        <v>2122275.2460000003</v>
      </c>
      <c r="H25" s="68">
        <f>+SUM(H14:H23)</f>
        <v>2127036.7809999995</v>
      </c>
      <c r="I25" s="98">
        <f>+H25/G25</f>
        <v>1.0022435991792176</v>
      </c>
      <c r="J25" s="108">
        <f>+H25-G25</f>
        <v>4761.5349999992177</v>
      </c>
    </row>
    <row r="26" spans="1:11" x14ac:dyDescent="0.25">
      <c r="E26" s="80"/>
    </row>
    <row r="27" spans="1:11" ht="16.5" thickBot="1" x14ac:dyDescent="0.3">
      <c r="E27" s="80"/>
      <c r="F27" s="179"/>
      <c r="G27" s="179"/>
      <c r="J27" s="179"/>
    </row>
    <row r="28" spans="1:11" ht="19.5" thickBot="1" x14ac:dyDescent="0.3">
      <c r="E28" s="313">
        <f>+D23/F2</f>
        <v>6.5381152264422968E-2</v>
      </c>
      <c r="F28" s="179"/>
      <c r="G28" s="179"/>
      <c r="J28" s="179"/>
    </row>
    <row r="29" spans="1:11" x14ac:dyDescent="0.25">
      <c r="D29" s="108">
        <f>+(F2/30)*3</f>
        <v>22768.555591976579</v>
      </c>
      <c r="E29" s="314">
        <f>+D29/F2</f>
        <v>9.9999999999999992E-2</v>
      </c>
      <c r="K29" s="215"/>
    </row>
    <row r="30" spans="1:11" x14ac:dyDescent="0.25">
      <c r="D30" s="183">
        <f>+D23-D29</f>
        <v>-7882.2115919765802</v>
      </c>
      <c r="E30" s="99">
        <f>E28-E29</f>
        <v>-3.4618847735577024E-2</v>
      </c>
      <c r="K30" s="215"/>
    </row>
    <row r="31" spans="1:11" x14ac:dyDescent="0.25">
      <c r="K31" s="215"/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  <c r="K32" s="215"/>
    </row>
    <row r="33" spans="1:11" ht="15" customHeight="1" x14ac:dyDescent="0.25">
      <c r="B33" s="162" t="s">
        <v>61</v>
      </c>
      <c r="C33" s="162">
        <v>1328</v>
      </c>
      <c r="D33" s="108">
        <v>2142</v>
      </c>
      <c r="E33" s="57">
        <f>+C33/D33</f>
        <v>0.61998132586367882</v>
      </c>
      <c r="G33" s="86" t="s">
        <v>86</v>
      </c>
      <c r="H33" s="87">
        <v>12565</v>
      </c>
      <c r="I33" s="88">
        <f>+H33*0.025</f>
        <v>314.125</v>
      </c>
      <c r="J33" s="224">
        <f>15*72</f>
        <v>1080</v>
      </c>
      <c r="K33" s="215"/>
    </row>
    <row r="34" spans="1:11" x14ac:dyDescent="0.25">
      <c r="B34" s="162" t="s">
        <v>62</v>
      </c>
      <c r="C34" s="162">
        <v>1350</v>
      </c>
      <c r="D34" s="108">
        <v>1890</v>
      </c>
      <c r="E34" s="57">
        <f>+C34/D34</f>
        <v>0.7142857142857143</v>
      </c>
      <c r="G34" s="86" t="s">
        <v>171</v>
      </c>
      <c r="H34" s="87">
        <v>0</v>
      </c>
      <c r="I34" s="88">
        <v>0</v>
      </c>
      <c r="J34" s="297" t="s">
        <v>188</v>
      </c>
      <c r="K34" s="215"/>
    </row>
    <row r="35" spans="1:11" x14ac:dyDescent="0.25">
      <c r="B35" s="162" t="s">
        <v>63</v>
      </c>
      <c r="C35" s="67">
        <v>1368</v>
      </c>
      <c r="D35" s="108">
        <v>3006</v>
      </c>
      <c r="E35" s="57">
        <f>+C35/D35</f>
        <v>0.45508982035928142</v>
      </c>
      <c r="G35" s="89" t="s">
        <v>169</v>
      </c>
      <c r="H35" s="87">
        <v>269</v>
      </c>
      <c r="I35" s="88">
        <f>+H35*1.5</f>
        <v>403.5</v>
      </c>
      <c r="J35" s="298">
        <f>+I35+I33</f>
        <v>717.625</v>
      </c>
      <c r="K35" s="215" t="s">
        <v>191</v>
      </c>
    </row>
    <row r="36" spans="1:11" x14ac:dyDescent="0.25">
      <c r="C36" s="162">
        <f>+SUM(C33:C35)</f>
        <v>4046</v>
      </c>
      <c r="D36" s="110">
        <f>+SUM(D33:D35)</f>
        <v>7038</v>
      </c>
      <c r="E36" s="57">
        <f>+C36/D36</f>
        <v>0.5748792270531401</v>
      </c>
      <c r="G36" s="89" t="s">
        <v>168</v>
      </c>
      <c r="H36" s="87">
        <v>1</v>
      </c>
      <c r="I36" s="88">
        <f>+H36*1.5</f>
        <v>1.5</v>
      </c>
      <c r="J36" s="228" t="s">
        <v>193</v>
      </c>
      <c r="K36" s="215"/>
    </row>
    <row r="37" spans="1:11" x14ac:dyDescent="0.25">
      <c r="G37" s="231" t="s">
        <v>123</v>
      </c>
      <c r="H37" s="138">
        <v>231</v>
      </c>
      <c r="I37" s="232">
        <v>346.5</v>
      </c>
      <c r="J37" s="218" t="s">
        <v>146</v>
      </c>
      <c r="K37" s="215"/>
    </row>
    <row r="38" spans="1:1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  <c r="K38" s="215"/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219</v>
      </c>
      <c r="I39" s="88">
        <f>+H39*1.5</f>
        <v>328.5</v>
      </c>
      <c r="J39" s="224" t="s">
        <v>152</v>
      </c>
      <c r="K39" s="215"/>
    </row>
    <row r="40" spans="1:11" x14ac:dyDescent="0.25">
      <c r="B40" s="73">
        <v>16</v>
      </c>
      <c r="C40" s="74">
        <v>5</v>
      </c>
      <c r="D40" s="74">
        <v>27</v>
      </c>
      <c r="E40" s="75">
        <f>+SUM(B40:D40)</f>
        <v>48</v>
      </c>
      <c r="J40" s="218"/>
      <c r="K40" s="215"/>
    </row>
    <row r="41" spans="1:1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  <c r="K41" s="215"/>
    </row>
    <row r="42" spans="1:11" x14ac:dyDescent="0.25">
      <c r="D42" s="162"/>
      <c r="G42" s="71" t="s">
        <v>90</v>
      </c>
      <c r="H42" s="144" t="s">
        <v>120</v>
      </c>
      <c r="I42" s="145">
        <v>0</v>
      </c>
      <c r="J42" s="218"/>
      <c r="K42" s="215"/>
    </row>
    <row r="43" spans="1:11" x14ac:dyDescent="0.25">
      <c r="A43" s="207" t="s">
        <v>70</v>
      </c>
      <c r="B43" s="199">
        <v>0</v>
      </c>
      <c r="C43" s="199">
        <v>1894</v>
      </c>
      <c r="D43" s="200">
        <v>2400</v>
      </c>
      <c r="E43" s="201">
        <f t="shared" ref="E43:E48" si="3">+C43/D43</f>
        <v>0.78916666666666668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  <c r="K43" s="215"/>
    </row>
    <row r="44" spans="1:11" x14ac:dyDescent="0.25">
      <c r="A44" s="207" t="s">
        <v>71</v>
      </c>
      <c r="B44" s="199">
        <v>8.33</v>
      </c>
      <c r="C44" s="199">
        <v>1313</v>
      </c>
      <c r="D44" s="200">
        <v>3600</v>
      </c>
      <c r="E44" s="201">
        <f t="shared" si="3"/>
        <v>0.36472222222222223</v>
      </c>
      <c r="F44" s="201">
        <f t="shared" si="4"/>
        <v>0.34708333333333335</v>
      </c>
      <c r="G44" s="202">
        <v>12</v>
      </c>
      <c r="H44" s="71"/>
      <c r="K44" s="215"/>
    </row>
    <row r="45" spans="1:11" x14ac:dyDescent="0.25">
      <c r="A45" s="207" t="s">
        <v>72</v>
      </c>
      <c r="B45" s="199">
        <v>7.62</v>
      </c>
      <c r="C45" s="199">
        <v>1735</v>
      </c>
      <c r="D45" s="200">
        <v>3900</v>
      </c>
      <c r="E45" s="201">
        <f t="shared" si="3"/>
        <v>0.44487179487179485</v>
      </c>
      <c r="F45" s="201">
        <f t="shared" si="4"/>
        <v>0.3175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5.17</v>
      </c>
      <c r="C46" s="199">
        <v>2432</v>
      </c>
      <c r="D46" s="200">
        <v>3900</v>
      </c>
      <c r="E46" s="201">
        <f t="shared" si="3"/>
        <v>0.62358974358974362</v>
      </c>
      <c r="F46" s="201">
        <f t="shared" si="4"/>
        <v>0.21541666666666667</v>
      </c>
      <c r="G46" s="202">
        <v>12</v>
      </c>
      <c r="H46" s="301">
        <v>45925</v>
      </c>
      <c r="I46" s="129" t="s">
        <v>176</v>
      </c>
      <c r="J46" s="162">
        <v>143</v>
      </c>
      <c r="K46" s="318">
        <f t="shared" ref="K46:K53" si="5">+J46*1.5</f>
        <v>214.5</v>
      </c>
    </row>
    <row r="47" spans="1:11" x14ac:dyDescent="0.25">
      <c r="A47" s="207" t="s">
        <v>74</v>
      </c>
      <c r="B47" s="199">
        <v>8.6</v>
      </c>
      <c r="C47" s="199">
        <v>2659</v>
      </c>
      <c r="D47" s="200">
        <v>3900</v>
      </c>
      <c r="E47" s="201">
        <f t="shared" si="3"/>
        <v>0.68179487179487175</v>
      </c>
      <c r="F47" s="201">
        <f t="shared" si="4"/>
        <v>0.35833333333333334</v>
      </c>
      <c r="G47" s="202">
        <v>12</v>
      </c>
      <c r="H47" s="301">
        <v>45931</v>
      </c>
      <c r="I47" s="129" t="s">
        <v>176</v>
      </c>
      <c r="J47" s="162">
        <v>47</v>
      </c>
      <c r="K47" s="318">
        <f t="shared" si="5"/>
        <v>70.5</v>
      </c>
    </row>
    <row r="48" spans="1:11" x14ac:dyDescent="0.25">
      <c r="A48" s="259" t="s">
        <v>75</v>
      </c>
      <c r="B48" s="260">
        <v>3.61</v>
      </c>
      <c r="C48" s="261">
        <v>3227</v>
      </c>
      <c r="D48" s="262">
        <v>4300</v>
      </c>
      <c r="E48" s="263">
        <f t="shared" si="3"/>
        <v>0.75046511627906975</v>
      </c>
      <c r="F48" s="201">
        <f t="shared" si="4"/>
        <v>0.15041666666666667</v>
      </c>
      <c r="G48" s="202">
        <v>16</v>
      </c>
      <c r="H48" s="301">
        <v>45939</v>
      </c>
      <c r="I48" s="129" t="s">
        <v>176</v>
      </c>
      <c r="J48" s="162">
        <v>49</v>
      </c>
      <c r="K48" s="318">
        <f t="shared" si="5"/>
        <v>73.5</v>
      </c>
    </row>
    <row r="49" spans="2:11" x14ac:dyDescent="0.25">
      <c r="C49" s="71" t="s">
        <v>83</v>
      </c>
      <c r="D49" s="72" t="s">
        <v>79</v>
      </c>
      <c r="H49" s="301">
        <v>45952</v>
      </c>
      <c r="I49" s="129" t="s">
        <v>175</v>
      </c>
      <c r="J49" s="162">
        <v>45</v>
      </c>
      <c r="K49" s="318">
        <f t="shared" si="5"/>
        <v>67.5</v>
      </c>
    </row>
    <row r="50" spans="2:11" x14ac:dyDescent="0.25">
      <c r="B50" s="162" t="s">
        <v>78</v>
      </c>
      <c r="H50" s="301">
        <v>45952</v>
      </c>
      <c r="I50" s="129" t="s">
        <v>175</v>
      </c>
      <c r="J50" s="162">
        <v>16</v>
      </c>
      <c r="K50" s="318">
        <f t="shared" si="5"/>
        <v>24</v>
      </c>
    </row>
    <row r="51" spans="2:11" x14ac:dyDescent="0.25">
      <c r="C51" s="71">
        <v>1</v>
      </c>
      <c r="D51" s="225" t="s">
        <v>153</v>
      </c>
      <c r="H51" s="301">
        <v>45952</v>
      </c>
      <c r="I51" s="129" t="s">
        <v>176</v>
      </c>
      <c r="J51" s="162">
        <v>72</v>
      </c>
      <c r="K51" s="318">
        <f t="shared" si="5"/>
        <v>108</v>
      </c>
    </row>
    <row r="52" spans="2:11" x14ac:dyDescent="0.25">
      <c r="C52" s="71">
        <v>2</v>
      </c>
      <c r="D52" s="225" t="s">
        <v>153</v>
      </c>
      <c r="H52" s="331">
        <v>45959</v>
      </c>
      <c r="I52" s="332" t="s">
        <v>175</v>
      </c>
      <c r="J52" s="333">
        <v>191</v>
      </c>
      <c r="K52" s="334">
        <f t="shared" si="5"/>
        <v>286.5</v>
      </c>
    </row>
    <row r="53" spans="2:11" x14ac:dyDescent="0.25">
      <c r="C53" s="71">
        <v>3</v>
      </c>
      <c r="D53" s="225" t="s">
        <v>154</v>
      </c>
      <c r="H53" s="335">
        <v>45959</v>
      </c>
      <c r="I53" s="336" t="s">
        <v>176</v>
      </c>
      <c r="J53" s="164">
        <v>55</v>
      </c>
      <c r="K53" s="337">
        <f t="shared" si="5"/>
        <v>82.5</v>
      </c>
    </row>
    <row r="54" spans="2:11" x14ac:dyDescent="0.25">
      <c r="C54" s="71">
        <v>4</v>
      </c>
      <c r="D54" s="108">
        <v>0</v>
      </c>
      <c r="H54" s="213"/>
      <c r="I54" s="67"/>
      <c r="J54" s="67">
        <f>+J53+J52</f>
        <v>246</v>
      </c>
      <c r="K54" s="338">
        <f>+K53+K52</f>
        <v>369</v>
      </c>
    </row>
    <row r="55" spans="2:11" x14ac:dyDescent="0.25">
      <c r="C55" s="71">
        <v>5</v>
      </c>
      <c r="D55" s="108">
        <v>8</v>
      </c>
    </row>
    <row r="56" spans="2:11" x14ac:dyDescent="0.25">
      <c r="C56" s="71">
        <v>6</v>
      </c>
      <c r="D56" s="108">
        <v>1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45929</v>
      </c>
      <c r="I57" s="129" t="s">
        <v>176</v>
      </c>
      <c r="J57" s="162">
        <v>5120</v>
      </c>
      <c r="K57" s="318">
        <f>+J57*0.025</f>
        <v>128</v>
      </c>
    </row>
    <row r="58" spans="2:11" x14ac:dyDescent="0.25">
      <c r="C58" s="71">
        <v>8</v>
      </c>
      <c r="D58" s="225" t="s">
        <v>153</v>
      </c>
      <c r="H58" s="301">
        <v>45939</v>
      </c>
      <c r="I58" s="129" t="s">
        <v>176</v>
      </c>
      <c r="J58" s="162">
        <v>430</v>
      </c>
      <c r="K58" s="318">
        <f>+J58*0.025</f>
        <v>10.75</v>
      </c>
    </row>
    <row r="59" spans="2:11" x14ac:dyDescent="0.25">
      <c r="H59" s="301">
        <v>45940</v>
      </c>
      <c r="I59" s="129" t="s">
        <v>175</v>
      </c>
      <c r="J59" s="162">
        <v>1080</v>
      </c>
      <c r="K59" s="318">
        <f>+J59*0.025</f>
        <v>27</v>
      </c>
    </row>
    <row r="61" spans="2:11" x14ac:dyDescent="0.25">
      <c r="D61" s="93"/>
      <c r="H61" s="237" t="s">
        <v>205</v>
      </c>
      <c r="J61" s="162" t="s">
        <v>177</v>
      </c>
      <c r="K61" s="215" t="s">
        <v>92</v>
      </c>
    </row>
    <row r="62" spans="2:11" x14ac:dyDescent="0.25">
      <c r="D62" s="93"/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45961</v>
      </c>
      <c r="I65" s="129" t="s">
        <v>176</v>
      </c>
      <c r="J65" s="68">
        <v>39</v>
      </c>
      <c r="K65" s="318">
        <f>+J65*1.5</f>
        <v>58.5</v>
      </c>
    </row>
    <row r="66" spans="8:11" x14ac:dyDescent="0.25">
      <c r="H66" s="301">
        <v>45962</v>
      </c>
      <c r="I66" s="129" t="s">
        <v>175</v>
      </c>
      <c r="J66" s="68">
        <v>202</v>
      </c>
      <c r="K66" s="318">
        <f>+J66*1.5</f>
        <v>303</v>
      </c>
    </row>
    <row r="67" spans="8:11" x14ac:dyDescent="0.25">
      <c r="H67" s="301">
        <v>45962</v>
      </c>
      <c r="I67" s="129" t="s">
        <v>176</v>
      </c>
      <c r="J67" s="162">
        <v>209</v>
      </c>
      <c r="K67" s="318">
        <f>+J67*1.5</f>
        <v>313.5</v>
      </c>
    </row>
    <row r="68" spans="8:11" x14ac:dyDescent="0.25">
      <c r="H68" s="301">
        <v>45963</v>
      </c>
      <c r="I68" s="129" t="s">
        <v>175</v>
      </c>
      <c r="J68" s="68">
        <v>99</v>
      </c>
      <c r="K68" s="318">
        <f>+J68*1.5</f>
        <v>148.5</v>
      </c>
    </row>
    <row r="69" spans="8:11" x14ac:dyDescent="0.25">
      <c r="J69" s="68">
        <f>+SUM(J65:J68)</f>
        <v>549</v>
      </c>
      <c r="K69" s="68">
        <f>+SUM(K65:K68)</f>
        <v>823.5</v>
      </c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opLeftCell="A40" workbookViewId="0">
      <selection activeCell="A29" sqref="A29:J61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v>45965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41"/>
      <c r="C4" s="341"/>
      <c r="D4" s="165">
        <f>D23</f>
        <v>9219.4919999999984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4670</v>
      </c>
      <c r="D5" s="172">
        <v>199.43600000000001</v>
      </c>
      <c r="E5" s="80">
        <f>+D5/$D$4</f>
        <v>2.1631994474315942E-2</v>
      </c>
      <c r="F5" s="58" t="s">
        <v>51</v>
      </c>
      <c r="G5" s="59">
        <v>45964</v>
      </c>
      <c r="H5" s="190">
        <v>6405</v>
      </c>
      <c r="I5" s="141">
        <v>6983.1379999999999</v>
      </c>
      <c r="J5" s="60">
        <f t="shared" ref="J5:J12" si="0">+I5/H5</f>
        <v>1.090263544106167</v>
      </c>
    </row>
    <row r="6" spans="1:10" ht="15" customHeight="1" x14ac:dyDescent="0.25">
      <c r="A6" s="164"/>
      <c r="B6" s="169" t="s">
        <v>10</v>
      </c>
      <c r="C6" s="177">
        <v>9460</v>
      </c>
      <c r="D6" s="173">
        <v>403.76199999999994</v>
      </c>
      <c r="E6" s="80">
        <f t="shared" ref="E6:E22" si="1">+D6/$D$4</f>
        <v>4.3794386935852865E-2</v>
      </c>
      <c r="F6" s="58" t="s">
        <v>52</v>
      </c>
      <c r="G6" s="59">
        <v>45965</v>
      </c>
      <c r="H6" s="190">
        <v>9579</v>
      </c>
      <c r="I6" s="141">
        <v>9219.4919999999984</v>
      </c>
      <c r="J6" s="60">
        <f t="shared" si="0"/>
        <v>0.96246915126839949</v>
      </c>
    </row>
    <row r="7" spans="1:10" ht="15" customHeight="1" x14ac:dyDescent="0.25">
      <c r="A7" s="164"/>
      <c r="B7" s="169" t="s">
        <v>35</v>
      </c>
      <c r="C7" s="177">
        <v>21958</v>
      </c>
      <c r="D7" s="173">
        <v>936.50400000000002</v>
      </c>
      <c r="E7" s="80">
        <f t="shared" si="1"/>
        <v>0.10157869869619716</v>
      </c>
      <c r="F7" s="58" t="s">
        <v>53</v>
      </c>
      <c r="G7" s="59">
        <v>45966</v>
      </c>
      <c r="H7" s="190">
        <v>9360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7850</v>
      </c>
      <c r="D8" s="173">
        <v>335.19199999999995</v>
      </c>
      <c r="E8" s="80">
        <f t="shared" si="1"/>
        <v>3.6356883871692718E-2</v>
      </c>
      <c r="F8" s="58" t="s">
        <v>54</v>
      </c>
      <c r="G8" s="59">
        <v>45967</v>
      </c>
      <c r="H8" s="190">
        <v>8953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46386</v>
      </c>
      <c r="D9" s="173">
        <v>1979.39</v>
      </c>
      <c r="E9" s="245">
        <f t="shared" si="1"/>
        <v>0.21469621102767922</v>
      </c>
      <c r="F9" s="58" t="s">
        <v>55</v>
      </c>
      <c r="G9" s="59">
        <v>45968</v>
      </c>
      <c r="H9" s="190">
        <v>7259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46989</v>
      </c>
      <c r="D10" s="173">
        <v>2005.1399999999994</v>
      </c>
      <c r="E10" s="245">
        <f t="shared" si="1"/>
        <v>0.2174892065636588</v>
      </c>
      <c r="F10" s="58" t="s">
        <v>56</v>
      </c>
      <c r="G10" s="59">
        <v>45969</v>
      </c>
      <c r="H10" s="190">
        <v>5267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12346</v>
      </c>
      <c r="D11" s="173">
        <v>527.05999999999995</v>
      </c>
      <c r="E11" s="80">
        <f t="shared" si="1"/>
        <v>5.7168008823045784E-2</v>
      </c>
      <c r="F11" s="58" t="s">
        <v>57</v>
      </c>
      <c r="G11" s="59">
        <v>45970</v>
      </c>
      <c r="H11" s="190">
        <v>4787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>
        <v>1200</v>
      </c>
      <c r="D12" s="173">
        <v>30.027999999999999</v>
      </c>
      <c r="E12" s="80">
        <f t="shared" si="1"/>
        <v>3.2570124254134615E-3</v>
      </c>
      <c r="H12" s="139">
        <f>+SUM(H5:H11)</f>
        <v>51610</v>
      </c>
      <c r="I12" s="142">
        <f>+SUM(I5:I11)</f>
        <v>16202.629999999997</v>
      </c>
      <c r="J12" s="140">
        <f t="shared" si="0"/>
        <v>0.31394361557837624</v>
      </c>
    </row>
    <row r="13" spans="1:10" ht="15" customHeight="1" x14ac:dyDescent="0.25">
      <c r="A13" s="164"/>
      <c r="B13" s="169" t="s">
        <v>44</v>
      </c>
      <c r="C13" s="177">
        <v>42</v>
      </c>
      <c r="D13" s="173">
        <v>63.28</v>
      </c>
      <c r="E13" s="80">
        <f t="shared" si="1"/>
        <v>6.8637187385161801E-3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550</v>
      </c>
      <c r="D14" s="173">
        <v>830.06000000000017</v>
      </c>
      <c r="E14" s="80">
        <f t="shared" si="1"/>
        <v>9.0033160178456723E-2</v>
      </c>
      <c r="F14" s="112" t="s">
        <v>108</v>
      </c>
      <c r="G14" s="190">
        <v>204007.80300000001</v>
      </c>
      <c r="H14" s="190">
        <v>190629.128</v>
      </c>
      <c r="I14" s="57">
        <f t="shared" ref="I14:I23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323</v>
      </c>
      <c r="D15" s="173">
        <v>487.31000000000006</v>
      </c>
      <c r="E15" s="80">
        <f t="shared" si="1"/>
        <v>5.2856491442261691E-2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194</v>
      </c>
      <c r="C16" s="177">
        <v>65</v>
      </c>
      <c r="D16" s="173">
        <v>98.12</v>
      </c>
      <c r="E16" s="80">
        <f t="shared" si="1"/>
        <v>1.0642668815158149E-2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49</v>
      </c>
      <c r="C17" s="177">
        <v>65</v>
      </c>
      <c r="D17" s="173">
        <v>97.72999999999999</v>
      </c>
      <c r="E17" s="80">
        <f t="shared" si="1"/>
        <v>1.0600367135195736E-2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41</v>
      </c>
      <c r="C18" s="177">
        <v>255</v>
      </c>
      <c r="D18" s="173">
        <v>384.00999999999993</v>
      </c>
      <c r="E18" s="80">
        <f t="shared" si="1"/>
        <v>4.165196954452588E-2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88</v>
      </c>
      <c r="C19" s="177">
        <v>20</v>
      </c>
      <c r="D19" s="173">
        <v>30.16</v>
      </c>
      <c r="E19" s="80">
        <f t="shared" si="1"/>
        <v>3.2713299170930464E-3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40</v>
      </c>
      <c r="C20" s="177"/>
      <c r="D20" s="173">
        <v>507.15999999999997</v>
      </c>
      <c r="E20" s="80">
        <f t="shared" si="1"/>
        <v>5.50095384865023E-2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9</v>
      </c>
      <c r="C21" s="177"/>
      <c r="D21" s="173">
        <v>151.94</v>
      </c>
      <c r="E21" s="80">
        <f t="shared" si="1"/>
        <v>1.648030064997074E-2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" customHeight="1" thickBot="1" x14ac:dyDescent="0.3">
      <c r="A22" s="164"/>
      <c r="B22" s="169" t="s">
        <v>46</v>
      </c>
      <c r="C22" s="177"/>
      <c r="D22" s="173">
        <v>153.21</v>
      </c>
      <c r="E22" s="80">
        <f t="shared" si="1"/>
        <v>1.6618052274463717E-2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thickBot="1" x14ac:dyDescent="0.3">
      <c r="B23" s="178" t="s">
        <v>0</v>
      </c>
      <c r="C23" s="170"/>
      <c r="D23" s="171">
        <f>SUM(D5:D22)</f>
        <v>9219.4919999999984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1" ht="15" customHeight="1" x14ac:dyDescent="0.25">
      <c r="B24" s="166" t="s">
        <v>1</v>
      </c>
      <c r="C24" s="167"/>
      <c r="D24" s="233">
        <v>24105.836000000003</v>
      </c>
      <c r="E24" s="80"/>
      <c r="F24" s="112" t="s">
        <v>198</v>
      </c>
      <c r="G24" s="190"/>
      <c r="H24" s="272"/>
      <c r="I24" s="98" t="e">
        <f>+H24/G24</f>
        <v>#DIV/0!</v>
      </c>
      <c r="J24" s="108"/>
    </row>
    <row r="25" spans="1:11" x14ac:dyDescent="0.25">
      <c r="E25" s="80"/>
      <c r="F25" s="112" t="s">
        <v>199</v>
      </c>
      <c r="G25" s="190"/>
      <c r="H25" s="272"/>
      <c r="I25" s="98" t="e">
        <f>+H25/G25</f>
        <v>#DIV/0!</v>
      </c>
      <c r="J25" s="108"/>
    </row>
    <row r="26" spans="1:11" x14ac:dyDescent="0.25">
      <c r="E26" s="80"/>
      <c r="G26" s="68">
        <f>+SUM(G14:G25)</f>
        <v>2122275.2460000003</v>
      </c>
      <c r="H26" s="68">
        <f>+SUM(H14:H25)</f>
        <v>2127036.7809999995</v>
      </c>
      <c r="I26" s="98">
        <f>+H26/G26</f>
        <v>1.0022435991792176</v>
      </c>
      <c r="J26" s="108">
        <f>+H26-G26</f>
        <v>4761.5349999992177</v>
      </c>
    </row>
    <row r="27" spans="1:11" ht="15" customHeight="1" thickBot="1" x14ac:dyDescent="0.3">
      <c r="E27" s="80"/>
      <c r="F27" s="179"/>
      <c r="G27" s="179"/>
      <c r="J27" s="179"/>
    </row>
    <row r="28" spans="1:11" ht="19.5" thickBot="1" x14ac:dyDescent="0.3">
      <c r="E28" s="313">
        <f>+D24/F2</f>
        <v>0.1058733651444041</v>
      </c>
      <c r="F28" s="179"/>
      <c r="G28" s="179"/>
      <c r="J28" s="179"/>
    </row>
    <row r="29" spans="1:11" x14ac:dyDescent="0.25">
      <c r="D29" s="108">
        <f>+(F2/30)*4</f>
        <v>30358.07412263544</v>
      </c>
      <c r="E29" s="314">
        <f>+D29/F2</f>
        <v>0.13333333333333333</v>
      </c>
      <c r="K29" s="215"/>
    </row>
    <row r="30" spans="1:11" x14ac:dyDescent="0.25">
      <c r="D30" s="183">
        <f>+D24-D29</f>
        <v>-6252.2381226354373</v>
      </c>
      <c r="E30" s="99">
        <f>E28-E29</f>
        <v>-2.7459968188929235E-2</v>
      </c>
      <c r="K30" s="215"/>
    </row>
    <row r="31" spans="1:11" x14ac:dyDescent="0.25">
      <c r="K31" s="215"/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  <c r="K32" s="215"/>
    </row>
    <row r="33" spans="1:11" x14ac:dyDescent="0.25">
      <c r="B33" s="162" t="s">
        <v>61</v>
      </c>
      <c r="C33" s="162">
        <v>1153</v>
      </c>
      <c r="D33" s="108">
        <v>2142</v>
      </c>
      <c r="E33" s="57">
        <f>+C33/D33</f>
        <v>0.53828197945845002</v>
      </c>
      <c r="G33" s="86" t="s">
        <v>86</v>
      </c>
      <c r="H33" s="87">
        <v>13837</v>
      </c>
      <c r="I33" s="88">
        <f>+H33*0.025</f>
        <v>345.92500000000001</v>
      </c>
      <c r="J33" s="224">
        <f>15*72</f>
        <v>1080</v>
      </c>
      <c r="K33" s="215"/>
    </row>
    <row r="34" spans="1:11" ht="15" customHeight="1" x14ac:dyDescent="0.25">
      <c r="B34" s="162" t="s">
        <v>62</v>
      </c>
      <c r="C34" s="162">
        <v>1238</v>
      </c>
      <c r="D34" s="108">
        <v>1890</v>
      </c>
      <c r="E34" s="57">
        <f>+C34/D34</f>
        <v>0.65502645502645507</v>
      </c>
      <c r="G34" s="86" t="s">
        <v>171</v>
      </c>
      <c r="H34" s="87">
        <v>0</v>
      </c>
      <c r="I34" s="88">
        <v>0</v>
      </c>
      <c r="J34" s="297" t="s">
        <v>188</v>
      </c>
      <c r="K34" s="215"/>
    </row>
    <row r="35" spans="1:11" ht="15" customHeight="1" x14ac:dyDescent="0.25">
      <c r="B35" s="162" t="s">
        <v>63</v>
      </c>
      <c r="C35" s="67">
        <v>1310</v>
      </c>
      <c r="D35" s="108">
        <v>3006</v>
      </c>
      <c r="E35" s="57">
        <f>+C35/D35</f>
        <v>0.43579507651363941</v>
      </c>
      <c r="G35" s="89" t="s">
        <v>169</v>
      </c>
      <c r="H35" s="87">
        <v>249</v>
      </c>
      <c r="I35" s="88">
        <f>+H35*1.5</f>
        <v>373.5</v>
      </c>
      <c r="J35" s="298">
        <f>+I35+I33</f>
        <v>719.42499999999995</v>
      </c>
      <c r="K35" s="215" t="s">
        <v>191</v>
      </c>
    </row>
    <row r="36" spans="1:11" x14ac:dyDescent="0.25">
      <c r="C36" s="162">
        <f>+SUM(C33:C35)</f>
        <v>3701</v>
      </c>
      <c r="D36" s="110">
        <f>+SUM(D33:D35)</f>
        <v>7038</v>
      </c>
      <c r="E36" s="57">
        <f>+C36/D36</f>
        <v>0.52585961921000279</v>
      </c>
      <c r="G36" s="89" t="s">
        <v>168</v>
      </c>
      <c r="H36" s="87">
        <v>1</v>
      </c>
      <c r="I36" s="88">
        <f>+H36*1.5</f>
        <v>1.5</v>
      </c>
      <c r="J36" s="228" t="s">
        <v>193</v>
      </c>
      <c r="K36" s="215"/>
    </row>
    <row r="37" spans="1:11" x14ac:dyDescent="0.25">
      <c r="G37" s="231" t="s">
        <v>123</v>
      </c>
      <c r="H37" s="138">
        <v>231</v>
      </c>
      <c r="I37" s="232">
        <v>346.5</v>
      </c>
      <c r="J37" s="218" t="s">
        <v>146</v>
      </c>
      <c r="K37" s="215"/>
    </row>
    <row r="38" spans="1:1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  <c r="K38" s="215"/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219</v>
      </c>
      <c r="I39" s="88">
        <f>+H39*1.5</f>
        <v>328.5</v>
      </c>
      <c r="J39" s="224" t="s">
        <v>152</v>
      </c>
      <c r="K39" s="215"/>
    </row>
    <row r="40" spans="1:11" x14ac:dyDescent="0.25">
      <c r="B40" s="73">
        <v>18</v>
      </c>
      <c r="C40" s="74">
        <v>5</v>
      </c>
      <c r="D40" s="74">
        <v>17</v>
      </c>
      <c r="E40" s="75">
        <f>+SUM(B40:D40)</f>
        <v>40</v>
      </c>
      <c r="J40" s="218"/>
      <c r="K40" s="215"/>
    </row>
    <row r="41" spans="1:1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  <c r="K41" s="215"/>
    </row>
    <row r="42" spans="1:11" x14ac:dyDescent="0.25">
      <c r="D42" s="162"/>
      <c r="G42" s="71" t="s">
        <v>90</v>
      </c>
      <c r="H42" s="144" t="s">
        <v>120</v>
      </c>
      <c r="I42" s="145">
        <v>0</v>
      </c>
      <c r="J42" s="218"/>
      <c r="K42" s="215"/>
    </row>
    <row r="43" spans="1:11" x14ac:dyDescent="0.25">
      <c r="A43" s="207" t="s">
        <v>70</v>
      </c>
      <c r="B43" s="199">
        <v>0</v>
      </c>
      <c r="C43" s="199">
        <v>1894</v>
      </c>
      <c r="D43" s="200">
        <v>2400</v>
      </c>
      <c r="E43" s="201">
        <f t="shared" ref="E43:E48" si="3">+C43/D43</f>
        <v>0.78916666666666668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  <c r="K43" s="215"/>
    </row>
    <row r="44" spans="1:11" x14ac:dyDescent="0.25">
      <c r="A44" s="207" t="s">
        <v>71</v>
      </c>
      <c r="B44" s="199">
        <v>10.66</v>
      </c>
      <c r="C44" s="199">
        <v>1832</v>
      </c>
      <c r="D44" s="200">
        <v>3600</v>
      </c>
      <c r="E44" s="201">
        <f t="shared" si="3"/>
        <v>0.50888888888888884</v>
      </c>
      <c r="F44" s="201">
        <f t="shared" si="4"/>
        <v>0.44416666666666665</v>
      </c>
      <c r="G44" s="202">
        <v>12</v>
      </c>
      <c r="H44" s="71"/>
      <c r="K44" s="215"/>
    </row>
    <row r="45" spans="1:11" x14ac:dyDescent="0.25">
      <c r="A45" s="207" t="s">
        <v>72</v>
      </c>
      <c r="B45" s="199">
        <v>10.97</v>
      </c>
      <c r="C45" s="199">
        <v>1714</v>
      </c>
      <c r="D45" s="200">
        <v>3900</v>
      </c>
      <c r="E45" s="201">
        <f t="shared" si="3"/>
        <v>0.43948717948717947</v>
      </c>
      <c r="F45" s="201">
        <f t="shared" si="4"/>
        <v>0.45708333333333334</v>
      </c>
      <c r="G45" s="202">
        <v>12</v>
      </c>
      <c r="H45" s="237"/>
      <c r="K45" s="215"/>
    </row>
    <row r="46" spans="1:11" x14ac:dyDescent="0.25">
      <c r="A46" s="207" t="s">
        <v>73</v>
      </c>
      <c r="B46" s="199">
        <v>10.44</v>
      </c>
      <c r="C46" s="199">
        <v>2753</v>
      </c>
      <c r="D46" s="200">
        <v>3900</v>
      </c>
      <c r="E46" s="201">
        <f t="shared" si="3"/>
        <v>0.70589743589743592</v>
      </c>
      <c r="F46" s="201">
        <f t="shared" si="4"/>
        <v>0.435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13.15</v>
      </c>
      <c r="C47" s="199">
        <v>2597</v>
      </c>
      <c r="D47" s="200">
        <v>3900</v>
      </c>
      <c r="E47" s="201">
        <f t="shared" si="3"/>
        <v>0.66589743589743589</v>
      </c>
      <c r="F47" s="201">
        <f t="shared" si="4"/>
        <v>0.54791666666666672</v>
      </c>
      <c r="G47" s="202">
        <v>12</v>
      </c>
      <c r="H47" s="301"/>
      <c r="I47" s="129"/>
      <c r="K47" s="318"/>
    </row>
    <row r="48" spans="1:11" x14ac:dyDescent="0.25">
      <c r="A48" s="259" t="s">
        <v>75</v>
      </c>
      <c r="B48" s="260">
        <v>15.05</v>
      </c>
      <c r="C48" s="261">
        <v>2711</v>
      </c>
      <c r="D48" s="262">
        <v>4300</v>
      </c>
      <c r="E48" s="263">
        <f t="shared" si="3"/>
        <v>0.63046511627906976</v>
      </c>
      <c r="F48" s="201">
        <f t="shared" si="4"/>
        <v>0.62708333333333333</v>
      </c>
      <c r="G48" s="202">
        <v>16</v>
      </c>
      <c r="H48" s="301"/>
      <c r="I48" s="129"/>
      <c r="K48" s="318"/>
    </row>
    <row r="49" spans="2:11" x14ac:dyDescent="0.25">
      <c r="C49" s="71" t="s">
        <v>83</v>
      </c>
      <c r="D49" s="72" t="s">
        <v>79</v>
      </c>
      <c r="H49" s="301"/>
      <c r="I49" s="129"/>
      <c r="K49" s="318"/>
    </row>
    <row r="50" spans="2:11" x14ac:dyDescent="0.25">
      <c r="B50" s="162" t="s">
        <v>78</v>
      </c>
      <c r="H50" s="301"/>
      <c r="I50" s="129"/>
      <c r="K50" s="318"/>
    </row>
    <row r="51" spans="2:11" x14ac:dyDescent="0.25">
      <c r="C51" s="71">
        <v>1</v>
      </c>
      <c r="D51" s="225" t="s">
        <v>153</v>
      </c>
      <c r="H51" s="301"/>
      <c r="I51" s="129"/>
      <c r="K51" s="318"/>
    </row>
    <row r="52" spans="2:11" x14ac:dyDescent="0.25">
      <c r="C52" s="71">
        <v>2</v>
      </c>
      <c r="D52" s="225" t="s">
        <v>153</v>
      </c>
      <c r="H52" s="301"/>
      <c r="I52" s="129"/>
      <c r="K52" s="318"/>
    </row>
    <row r="53" spans="2:11" x14ac:dyDescent="0.25">
      <c r="C53" s="71">
        <v>3</v>
      </c>
      <c r="D53" s="225" t="s">
        <v>154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10</v>
      </c>
      <c r="H55" s="301"/>
      <c r="I55" s="129"/>
      <c r="K55" s="318"/>
    </row>
    <row r="56" spans="2:11" x14ac:dyDescent="0.25">
      <c r="C56" s="71">
        <v>6</v>
      </c>
      <c r="D56" s="108">
        <v>1</v>
      </c>
      <c r="H56" s="301"/>
      <c r="I56" s="129"/>
      <c r="K56" s="318"/>
    </row>
    <row r="57" spans="2:11" x14ac:dyDescent="0.25">
      <c r="C57" s="71">
        <v>7</v>
      </c>
      <c r="D57" s="225" t="s">
        <v>153</v>
      </c>
      <c r="H57" s="301"/>
      <c r="I57" s="129"/>
      <c r="K57" s="318"/>
    </row>
    <row r="58" spans="2:11" x14ac:dyDescent="0.25">
      <c r="C58" s="71">
        <v>8</v>
      </c>
      <c r="D58" s="225" t="s">
        <v>153</v>
      </c>
      <c r="H58" s="301"/>
      <c r="I58" s="129"/>
      <c r="K58" s="318"/>
    </row>
    <row r="59" spans="2:11" x14ac:dyDescent="0.25">
      <c r="H59" s="301"/>
      <c r="I59" s="129"/>
      <c r="K59" s="318"/>
    </row>
    <row r="61" spans="2:11" x14ac:dyDescent="0.25">
      <c r="D61" s="93"/>
      <c r="H61" s="237"/>
      <c r="K61" s="215"/>
    </row>
    <row r="62" spans="2:11" x14ac:dyDescent="0.25">
      <c r="D62" s="93"/>
      <c r="H62" s="301"/>
      <c r="I62" s="129"/>
      <c r="K62" s="318"/>
    </row>
    <row r="63" spans="2:11" x14ac:dyDescent="0.25">
      <c r="I63" s="129"/>
      <c r="K63" s="215"/>
    </row>
    <row r="64" spans="2:11" x14ac:dyDescent="0.25">
      <c r="H64" s="237"/>
      <c r="K64" s="215"/>
    </row>
    <row r="65" spans="8:11" x14ac:dyDescent="0.25">
      <c r="H65" s="301"/>
      <c r="I65" s="129"/>
      <c r="J65" s="68"/>
      <c r="K65" s="318"/>
    </row>
    <row r="66" spans="8:11" x14ac:dyDescent="0.25">
      <c r="H66" s="301"/>
      <c r="I66" s="129"/>
      <c r="J66" s="68"/>
      <c r="K66" s="318"/>
    </row>
    <row r="67" spans="8:11" x14ac:dyDescent="0.25">
      <c r="H67" s="301"/>
      <c r="I67" s="129"/>
      <c r="K67" s="318"/>
    </row>
    <row r="68" spans="8:11" x14ac:dyDescent="0.25">
      <c r="H68" s="301"/>
      <c r="I68" s="129"/>
      <c r="J68" s="68"/>
      <c r="K68" s="318"/>
    </row>
    <row r="69" spans="8:11" x14ac:dyDescent="0.25">
      <c r="J69" s="68"/>
      <c r="K69" s="68"/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A36" workbookViewId="0">
      <selection activeCell="A29" sqref="A29:K58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v>45966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42"/>
      <c r="C4" s="342"/>
      <c r="D4" s="165">
        <f>D23</f>
        <v>9277.2200000000012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5360</v>
      </c>
      <c r="D5" s="172">
        <v>228.82000000000002</v>
      </c>
      <c r="E5" s="80">
        <f>+D5/$D$4</f>
        <v>2.4664716369774565E-2</v>
      </c>
      <c r="F5" s="58" t="s">
        <v>51</v>
      </c>
      <c r="G5" s="59">
        <v>45964</v>
      </c>
      <c r="H5" s="190">
        <v>6405</v>
      </c>
      <c r="I5" s="141">
        <v>6983.1379999999999</v>
      </c>
      <c r="J5" s="60">
        <f t="shared" ref="J5:J12" si="0">+I5/H5</f>
        <v>1.090263544106167</v>
      </c>
    </row>
    <row r="6" spans="1:10" ht="15" customHeight="1" x14ac:dyDescent="0.25">
      <c r="A6" s="164"/>
      <c r="B6" s="169" t="s">
        <v>10</v>
      </c>
      <c r="C6" s="177">
        <v>27859</v>
      </c>
      <c r="D6" s="173">
        <v>1189.2199999999998</v>
      </c>
      <c r="E6" s="80">
        <f t="shared" ref="E6:E22" si="1">+D6/$D$4</f>
        <v>0.12818710777582074</v>
      </c>
      <c r="F6" s="58" t="s">
        <v>52</v>
      </c>
      <c r="G6" s="59">
        <v>45965</v>
      </c>
      <c r="H6" s="190">
        <v>9579</v>
      </c>
      <c r="I6" s="141">
        <v>9219.4919999999984</v>
      </c>
      <c r="J6" s="60">
        <f t="shared" si="0"/>
        <v>0.96246915126839949</v>
      </c>
    </row>
    <row r="7" spans="1:10" ht="15" customHeight="1" x14ac:dyDescent="0.25">
      <c r="A7" s="164"/>
      <c r="B7" s="169" t="s">
        <v>35</v>
      </c>
      <c r="C7" s="177">
        <v>22585</v>
      </c>
      <c r="D7" s="173">
        <v>963.45999999999981</v>
      </c>
      <c r="E7" s="80">
        <f t="shared" si="1"/>
        <v>0.10385223159524078</v>
      </c>
      <c r="F7" s="58" t="s">
        <v>53</v>
      </c>
      <c r="G7" s="59">
        <v>45966</v>
      </c>
      <c r="H7" s="190">
        <v>9360</v>
      </c>
      <c r="I7" s="141">
        <v>9277.2200000000012</v>
      </c>
      <c r="J7" s="60">
        <f t="shared" si="0"/>
        <v>0.99115598290598306</v>
      </c>
    </row>
    <row r="8" spans="1:10" ht="15" customHeight="1" x14ac:dyDescent="0.25">
      <c r="A8" s="164"/>
      <c r="B8" s="169" t="s">
        <v>4</v>
      </c>
      <c r="C8" s="177">
        <v>3785</v>
      </c>
      <c r="D8" s="173">
        <v>161.45999999999998</v>
      </c>
      <c r="E8" s="80">
        <f t="shared" si="1"/>
        <v>1.7403920571033127E-2</v>
      </c>
      <c r="F8" s="58" t="s">
        <v>54</v>
      </c>
      <c r="G8" s="59">
        <v>45967</v>
      </c>
      <c r="H8" s="190">
        <v>8953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44797</v>
      </c>
      <c r="D9" s="173">
        <v>1911.0539999999999</v>
      </c>
      <c r="E9" s="245">
        <f t="shared" si="1"/>
        <v>0.20599425258859869</v>
      </c>
      <c r="F9" s="58" t="s">
        <v>55</v>
      </c>
      <c r="G9" s="59">
        <v>45968</v>
      </c>
      <c r="H9" s="190">
        <v>7259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40377</v>
      </c>
      <c r="D10" s="173">
        <v>1722.5700000000004</v>
      </c>
      <c r="E10" s="245">
        <f t="shared" si="1"/>
        <v>0.18567739042514894</v>
      </c>
      <c r="F10" s="58" t="s">
        <v>56</v>
      </c>
      <c r="G10" s="59">
        <v>45969</v>
      </c>
      <c r="H10" s="190">
        <v>5267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10260</v>
      </c>
      <c r="D11" s="173">
        <v>438.13800000000003</v>
      </c>
      <c r="E11" s="80">
        <f t="shared" si="1"/>
        <v>4.7227294383446763E-2</v>
      </c>
      <c r="F11" s="58" t="s">
        <v>57</v>
      </c>
      <c r="G11" s="59">
        <v>45970</v>
      </c>
      <c r="H11" s="190">
        <v>4787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>
        <v>1200</v>
      </c>
      <c r="D12" s="173">
        <v>30.42</v>
      </c>
      <c r="E12" s="80">
        <f t="shared" si="1"/>
        <v>3.2789995278758072E-3</v>
      </c>
      <c r="H12" s="139">
        <f>+SUM(H5:H11)</f>
        <v>51610</v>
      </c>
      <c r="I12" s="142">
        <f>+SUM(I5:I11)</f>
        <v>25479.85</v>
      </c>
      <c r="J12" s="140">
        <f t="shared" si="0"/>
        <v>0.49369986436737062</v>
      </c>
    </row>
    <row r="13" spans="1:10" ht="15" customHeight="1" x14ac:dyDescent="0.25">
      <c r="A13" s="164"/>
      <c r="B13" s="169" t="s">
        <v>44</v>
      </c>
      <c r="C13" s="177">
        <v>42</v>
      </c>
      <c r="D13" s="173">
        <v>63.370000000000005</v>
      </c>
      <c r="E13" s="80">
        <f t="shared" si="1"/>
        <v>6.8307100618504243E-3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571</v>
      </c>
      <c r="D14" s="173">
        <v>862.15000000000009</v>
      </c>
      <c r="E14" s="80">
        <f t="shared" si="1"/>
        <v>9.293193435102326E-2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225</v>
      </c>
      <c r="D15" s="173">
        <v>339.75000000000006</v>
      </c>
      <c r="E15" s="80">
        <f t="shared" si="1"/>
        <v>3.6621962182636608E-2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194</v>
      </c>
      <c r="C16" s="177">
        <v>20</v>
      </c>
      <c r="D16" s="173">
        <v>30.27</v>
      </c>
      <c r="E16" s="80">
        <f t="shared" si="1"/>
        <v>3.2628308911505813E-3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53</v>
      </c>
      <c r="D17" s="173">
        <v>79.728000000000009</v>
      </c>
      <c r="E17" s="80">
        <f t="shared" si="1"/>
        <v>8.5939537921920581E-3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41</v>
      </c>
      <c r="C18" s="177">
        <v>293</v>
      </c>
      <c r="D18" s="173">
        <v>440.49</v>
      </c>
      <c r="E18" s="80">
        <f t="shared" si="1"/>
        <v>4.7480818607298303E-2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88</v>
      </c>
      <c r="C19" s="177">
        <v>20</v>
      </c>
      <c r="D19" s="173">
        <v>30.19</v>
      </c>
      <c r="E19" s="80">
        <f t="shared" si="1"/>
        <v>3.254207618230461E-3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40</v>
      </c>
      <c r="C20" s="177"/>
      <c r="D20" s="173">
        <v>664.94</v>
      </c>
      <c r="E20" s="80">
        <f t="shared" si="1"/>
        <v>7.1674488693811295E-2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9</v>
      </c>
      <c r="C21" s="177"/>
      <c r="D21" s="173">
        <v>60.05</v>
      </c>
      <c r="E21" s="80">
        <f t="shared" si="1"/>
        <v>6.4728442356654248E-3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thickBot="1" x14ac:dyDescent="0.3">
      <c r="A22" s="164"/>
      <c r="B22" s="169" t="s">
        <v>46</v>
      </c>
      <c r="C22" s="177"/>
      <c r="D22" s="173">
        <v>61.14</v>
      </c>
      <c r="E22" s="80">
        <f t="shared" si="1"/>
        <v>6.5903363292020662E-3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thickBot="1" x14ac:dyDescent="0.3">
      <c r="B23" s="178" t="s">
        <v>0</v>
      </c>
      <c r="C23" s="170"/>
      <c r="D23" s="171">
        <f>SUM(D5:D22)</f>
        <v>9277.2200000000012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x14ac:dyDescent="0.25">
      <c r="B24" s="166" t="s">
        <v>1</v>
      </c>
      <c r="C24" s="167"/>
      <c r="D24" s="233">
        <v>33423.445999999996</v>
      </c>
      <c r="E24" s="80"/>
      <c r="F24" s="112" t="s">
        <v>198</v>
      </c>
      <c r="G24" s="190"/>
      <c r="H24" s="272"/>
      <c r="I24" s="98" t="e">
        <f t="shared" si="2"/>
        <v>#DIV/0!</v>
      </c>
      <c r="J24" s="108"/>
    </row>
    <row r="25" spans="1:10" x14ac:dyDescent="0.25">
      <c r="E25" s="80"/>
      <c r="F25" s="112" t="s">
        <v>199</v>
      </c>
      <c r="G25" s="190"/>
      <c r="H25" s="272"/>
      <c r="I25" s="98" t="e">
        <f t="shared" si="2"/>
        <v>#DIV/0!</v>
      </c>
      <c r="J25" s="108"/>
    </row>
    <row r="26" spans="1:10" ht="15" customHeight="1" x14ac:dyDescent="0.25">
      <c r="E26" s="80"/>
      <c r="G26" s="68">
        <f>+SUM(G14:G25)</f>
        <v>2122275.2460000003</v>
      </c>
      <c r="H26" s="68">
        <f>+SUM(H14:H25)</f>
        <v>2127036.7809999995</v>
      </c>
      <c r="I26" s="98">
        <f>+H26/G26</f>
        <v>1.0022435991792176</v>
      </c>
      <c r="J26" s="108">
        <f>+H26-G26</f>
        <v>4761.5349999992177</v>
      </c>
    </row>
    <row r="27" spans="1:10" ht="15" customHeight="1" thickBot="1" x14ac:dyDescent="0.3">
      <c r="E27" s="80"/>
      <c r="F27" s="179"/>
      <c r="G27" s="179"/>
      <c r="J27" s="179"/>
    </row>
    <row r="28" spans="1:10" ht="19.5" thickBot="1" x14ac:dyDescent="0.3">
      <c r="E28" s="313">
        <f>+D24/F2</f>
        <v>0.14679651445161543</v>
      </c>
      <c r="F28" s="179"/>
      <c r="G28" s="179"/>
      <c r="J28" s="179"/>
    </row>
    <row r="29" spans="1:10" x14ac:dyDescent="0.25">
      <c r="D29" s="108">
        <f>+(F2/30)*5</f>
        <v>37947.592653294298</v>
      </c>
      <c r="E29" s="314">
        <f>+D29/F2</f>
        <v>0.16666666666666666</v>
      </c>
    </row>
    <row r="30" spans="1:10" x14ac:dyDescent="0.25">
      <c r="D30" s="183">
        <f>+D24-D29</f>
        <v>-4524.1466532943014</v>
      </c>
      <c r="E30" s="99">
        <f>E28-E29</f>
        <v>-1.9870152215051229E-2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1064</v>
      </c>
      <c r="D33" s="108">
        <v>2142</v>
      </c>
      <c r="E33" s="57">
        <f>+C33/D33</f>
        <v>0.49673202614379086</v>
      </c>
      <c r="G33" s="86" t="s">
        <v>86</v>
      </c>
      <c r="H33" s="87">
        <v>12183</v>
      </c>
      <c r="I33" s="88">
        <f>+H33*0.025</f>
        <v>304.57499999999999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1335</v>
      </c>
      <c r="D34" s="108">
        <v>1890</v>
      </c>
      <c r="E34" s="57">
        <f>+C34/D34</f>
        <v>0.70634920634920639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ht="15" customHeight="1" x14ac:dyDescent="0.25">
      <c r="B35" s="162" t="s">
        <v>63</v>
      </c>
      <c r="C35" s="67">
        <v>873</v>
      </c>
      <c r="D35" s="108">
        <v>3006</v>
      </c>
      <c r="E35" s="57">
        <f>+C35/D35</f>
        <v>0.29041916167664672</v>
      </c>
      <c r="G35" s="89" t="s">
        <v>169</v>
      </c>
      <c r="H35" s="87">
        <v>242</v>
      </c>
      <c r="I35" s="88">
        <f>+H35*1.5</f>
        <v>363</v>
      </c>
      <c r="J35" s="298">
        <f>+I35+I33</f>
        <v>667.57500000000005</v>
      </c>
    </row>
    <row r="36" spans="1:11" x14ac:dyDescent="0.25">
      <c r="C36" s="162">
        <f>+SUM(C33:C35)</f>
        <v>3272</v>
      </c>
      <c r="D36" s="110">
        <f>+SUM(D33:D35)</f>
        <v>7038</v>
      </c>
      <c r="E36" s="57">
        <f>+C36/D36</f>
        <v>0.46490480250071042</v>
      </c>
      <c r="G36" s="89" t="s">
        <v>168</v>
      </c>
      <c r="H36" s="87">
        <v>1</v>
      </c>
      <c r="I36" s="88">
        <f>+H36*1.5</f>
        <v>1.5</v>
      </c>
      <c r="J36" s="228" t="s">
        <v>193</v>
      </c>
    </row>
    <row r="37" spans="1:11" x14ac:dyDescent="0.25">
      <c r="G37" s="231" t="s">
        <v>123</v>
      </c>
      <c r="H37" s="138">
        <v>231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219</v>
      </c>
      <c r="I39" s="88">
        <f>+H39*1.5</f>
        <v>328.5</v>
      </c>
      <c r="J39" s="224" t="s">
        <v>152</v>
      </c>
    </row>
    <row r="40" spans="1:11" x14ac:dyDescent="0.25">
      <c r="B40" s="73">
        <v>21</v>
      </c>
      <c r="C40" s="74">
        <v>5</v>
      </c>
      <c r="D40" s="74">
        <v>30</v>
      </c>
      <c r="E40" s="75">
        <f>+SUM(B40:D40)</f>
        <v>56</v>
      </c>
      <c r="J40" s="218"/>
    </row>
    <row r="41" spans="1:1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</row>
    <row r="42" spans="1:11" x14ac:dyDescent="0.25">
      <c r="D42" s="162"/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1894</v>
      </c>
      <c r="D43" s="200">
        <v>2400</v>
      </c>
      <c r="E43" s="201">
        <f t="shared" ref="E43:E48" si="3">+C43/D43</f>
        <v>0.78916666666666668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10.8</v>
      </c>
      <c r="C44" s="199">
        <v>2157</v>
      </c>
      <c r="D44" s="200">
        <v>3600</v>
      </c>
      <c r="E44" s="201">
        <f t="shared" si="3"/>
        <v>0.59916666666666663</v>
      </c>
      <c r="F44" s="201">
        <f t="shared" si="4"/>
        <v>0.45</v>
      </c>
      <c r="G44" s="202">
        <v>12</v>
      </c>
      <c r="H44" s="71"/>
    </row>
    <row r="45" spans="1:11" x14ac:dyDescent="0.25">
      <c r="A45" s="207" t="s">
        <v>72</v>
      </c>
      <c r="B45" s="199">
        <v>12.17</v>
      </c>
      <c r="C45" s="199">
        <v>1439</v>
      </c>
      <c r="D45" s="200">
        <v>3900</v>
      </c>
      <c r="E45" s="201">
        <f t="shared" si="3"/>
        <v>0.36897435897435898</v>
      </c>
      <c r="F45" s="201">
        <f t="shared" si="4"/>
        <v>0.50708333333333333</v>
      </c>
      <c r="G45" s="202">
        <v>12</v>
      </c>
      <c r="H45" s="237"/>
    </row>
    <row r="46" spans="1:11" x14ac:dyDescent="0.25">
      <c r="A46" s="207" t="s">
        <v>73</v>
      </c>
      <c r="B46" s="199">
        <v>11.49</v>
      </c>
      <c r="C46" s="199">
        <v>2917</v>
      </c>
      <c r="D46" s="200">
        <v>3900</v>
      </c>
      <c r="E46" s="201">
        <f t="shared" si="3"/>
        <v>0.74794871794871798</v>
      </c>
      <c r="F46" s="201">
        <f t="shared" si="4"/>
        <v>0.47875000000000001</v>
      </c>
      <c r="G46" s="202">
        <v>12</v>
      </c>
      <c r="H46" s="301"/>
      <c r="I46" s="129"/>
    </row>
    <row r="47" spans="1:11" x14ac:dyDescent="0.25">
      <c r="A47" s="207" t="s">
        <v>74</v>
      </c>
      <c r="B47" s="199">
        <v>11.05</v>
      </c>
      <c r="C47" s="199">
        <v>2462</v>
      </c>
      <c r="D47" s="200">
        <v>3900</v>
      </c>
      <c r="E47" s="201">
        <f t="shared" si="3"/>
        <v>0.63128205128205128</v>
      </c>
      <c r="F47" s="201">
        <f t="shared" si="4"/>
        <v>0.4604166666666667</v>
      </c>
      <c r="G47" s="202">
        <v>12</v>
      </c>
      <c r="H47" s="301"/>
      <c r="I47" s="129"/>
    </row>
    <row r="48" spans="1:11" x14ac:dyDescent="0.25">
      <c r="A48" s="259" t="s">
        <v>75</v>
      </c>
      <c r="B48" s="260">
        <v>10.29</v>
      </c>
      <c r="C48" s="261">
        <v>1780</v>
      </c>
      <c r="D48" s="262">
        <v>4300</v>
      </c>
      <c r="E48" s="263">
        <f t="shared" si="3"/>
        <v>0.413953488372093</v>
      </c>
      <c r="F48" s="201">
        <f t="shared" si="4"/>
        <v>0.42874999999999996</v>
      </c>
      <c r="G48" s="202">
        <v>16</v>
      </c>
      <c r="H48" s="301"/>
      <c r="I48" s="129"/>
    </row>
    <row r="49" spans="2:9" x14ac:dyDescent="0.25">
      <c r="C49" s="71" t="s">
        <v>83</v>
      </c>
      <c r="D49" s="72" t="s">
        <v>79</v>
      </c>
      <c r="H49" s="301"/>
      <c r="I49" s="129"/>
    </row>
    <row r="50" spans="2:9" x14ac:dyDescent="0.25">
      <c r="B50" s="162" t="s">
        <v>78</v>
      </c>
      <c r="H50" s="301"/>
      <c r="I50" s="129"/>
    </row>
    <row r="51" spans="2:9" x14ac:dyDescent="0.25">
      <c r="C51" s="71">
        <v>1</v>
      </c>
      <c r="D51" s="225" t="s">
        <v>153</v>
      </c>
      <c r="H51" s="301"/>
      <c r="I51" s="129"/>
    </row>
    <row r="52" spans="2:9" x14ac:dyDescent="0.25">
      <c r="C52" s="71">
        <v>2</v>
      </c>
      <c r="D52" s="225" t="s">
        <v>153</v>
      </c>
      <c r="H52" s="301"/>
      <c r="I52" s="129"/>
    </row>
    <row r="53" spans="2:9" x14ac:dyDescent="0.25">
      <c r="C53" s="71">
        <v>3</v>
      </c>
      <c r="D53" s="225" t="s">
        <v>154</v>
      </c>
      <c r="H53" s="301"/>
      <c r="I53" s="129"/>
    </row>
    <row r="54" spans="2:9" x14ac:dyDescent="0.25">
      <c r="C54" s="71">
        <v>4</v>
      </c>
      <c r="D54" s="108">
        <v>0</v>
      </c>
      <c r="H54" s="301"/>
      <c r="I54" s="129"/>
    </row>
    <row r="55" spans="2:9" x14ac:dyDescent="0.25">
      <c r="C55" s="71">
        <v>5</v>
      </c>
      <c r="D55" s="108">
        <v>7</v>
      </c>
      <c r="H55" s="301"/>
      <c r="I55" s="129"/>
    </row>
    <row r="56" spans="2:9" x14ac:dyDescent="0.25">
      <c r="C56" s="71">
        <v>6</v>
      </c>
      <c r="D56" s="108">
        <v>1</v>
      </c>
      <c r="H56" s="301"/>
      <c r="I56" s="129"/>
    </row>
    <row r="57" spans="2:9" x14ac:dyDescent="0.25">
      <c r="C57" s="71">
        <v>7</v>
      </c>
      <c r="D57" s="225" t="s">
        <v>153</v>
      </c>
      <c r="H57" s="301"/>
      <c r="I57" s="129"/>
    </row>
    <row r="58" spans="2:9" x14ac:dyDescent="0.25">
      <c r="C58" s="71">
        <v>8</v>
      </c>
      <c r="D58" s="225" t="s">
        <v>153</v>
      </c>
      <c r="H58" s="301"/>
      <c r="I58" s="129"/>
    </row>
    <row r="59" spans="2:9" x14ac:dyDescent="0.25">
      <c r="H59" s="301"/>
      <c r="I59" s="129"/>
    </row>
    <row r="61" spans="2:9" x14ac:dyDescent="0.25">
      <c r="D61" s="93"/>
      <c r="H61" s="237"/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opLeftCell="A35" workbookViewId="0">
      <selection activeCell="A29" sqref="A29:K58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42"/>
      <c r="C4" s="342"/>
      <c r="D4" s="165">
        <f>D24</f>
        <v>9890.6690000000017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5355</v>
      </c>
      <c r="D5" s="172">
        <v>228.34199999999998</v>
      </c>
      <c r="E5" s="80">
        <f>+D5/$D$4</f>
        <v>2.308660819606843E-2</v>
      </c>
      <c r="F5" s="58" t="s">
        <v>51</v>
      </c>
      <c r="G5" s="59">
        <v>45964</v>
      </c>
      <c r="H5" s="190">
        <v>6405</v>
      </c>
      <c r="I5" s="141">
        <v>6983.1379999999999</v>
      </c>
      <c r="J5" s="60">
        <f t="shared" ref="J5:J12" si="0">+I5/H5</f>
        <v>1.090263544106167</v>
      </c>
    </row>
    <row r="6" spans="1:10" ht="15" customHeight="1" x14ac:dyDescent="0.25">
      <c r="A6" s="164"/>
      <c r="B6" s="169" t="s">
        <v>212</v>
      </c>
      <c r="C6" s="177">
        <v>750</v>
      </c>
      <c r="D6" s="173">
        <v>32.01</v>
      </c>
      <c r="E6" s="80">
        <f t="shared" ref="E6:E22" si="1">+D6/$D$4</f>
        <v>3.2363837067037621E-3</v>
      </c>
      <c r="F6" s="58" t="s">
        <v>52</v>
      </c>
      <c r="G6" s="59">
        <v>45965</v>
      </c>
      <c r="H6" s="190">
        <v>9579</v>
      </c>
      <c r="I6" s="141">
        <v>9219.4919999999984</v>
      </c>
      <c r="J6" s="60">
        <f t="shared" si="0"/>
        <v>0.96246915126839949</v>
      </c>
    </row>
    <row r="7" spans="1:10" ht="15" customHeight="1" x14ac:dyDescent="0.25">
      <c r="A7" s="164"/>
      <c r="B7" s="169" t="s">
        <v>10</v>
      </c>
      <c r="C7" s="177">
        <v>22357</v>
      </c>
      <c r="D7" s="173">
        <v>954.39000000000021</v>
      </c>
      <c r="E7" s="80">
        <f t="shared" si="1"/>
        <v>9.6493978314308171E-2</v>
      </c>
      <c r="F7" s="58" t="s">
        <v>53</v>
      </c>
      <c r="G7" s="59">
        <v>45966</v>
      </c>
      <c r="H7" s="190">
        <v>9360</v>
      </c>
      <c r="I7" s="141">
        <v>9277.2200000000012</v>
      </c>
      <c r="J7" s="60">
        <f t="shared" si="0"/>
        <v>0.99115598290598306</v>
      </c>
    </row>
    <row r="8" spans="1:10" ht="15" customHeight="1" x14ac:dyDescent="0.25">
      <c r="A8" s="164"/>
      <c r="B8" s="169" t="s">
        <v>35</v>
      </c>
      <c r="C8" s="177">
        <v>20360</v>
      </c>
      <c r="D8" s="173">
        <v>868.97299999999996</v>
      </c>
      <c r="E8" s="80">
        <f t="shared" si="1"/>
        <v>8.7857858755560403E-2</v>
      </c>
      <c r="F8" s="58" t="s">
        <v>54</v>
      </c>
      <c r="G8" s="59">
        <v>45967</v>
      </c>
      <c r="H8" s="190">
        <v>8953</v>
      </c>
      <c r="I8" s="141">
        <v>9890.6690000000017</v>
      </c>
      <c r="J8" s="60">
        <f t="shared" si="0"/>
        <v>1.1047323802077518</v>
      </c>
    </row>
    <row r="9" spans="1:10" ht="15" customHeight="1" x14ac:dyDescent="0.25">
      <c r="A9" s="164"/>
      <c r="B9" s="169" t="s">
        <v>4</v>
      </c>
      <c r="C9" s="177">
        <v>2272</v>
      </c>
      <c r="D9" s="173">
        <v>96.97</v>
      </c>
      <c r="E9" s="245">
        <f t="shared" si="1"/>
        <v>9.804190191785812E-3</v>
      </c>
      <c r="F9" s="58" t="s">
        <v>55</v>
      </c>
      <c r="G9" s="59">
        <v>45968</v>
      </c>
      <c r="H9" s="190">
        <v>7259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37</v>
      </c>
      <c r="C10" s="177">
        <v>48022</v>
      </c>
      <c r="D10" s="173">
        <v>2047.6219999999996</v>
      </c>
      <c r="E10" s="245">
        <f t="shared" si="1"/>
        <v>0.20702563193652515</v>
      </c>
      <c r="F10" s="58" t="s">
        <v>56</v>
      </c>
      <c r="G10" s="59">
        <v>45969</v>
      </c>
      <c r="H10" s="190">
        <v>5267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38</v>
      </c>
      <c r="C11" s="177">
        <v>58699</v>
      </c>
      <c r="D11" s="173">
        <v>2503.4930000000004</v>
      </c>
      <c r="E11" s="80">
        <f t="shared" si="1"/>
        <v>0.25311664964220315</v>
      </c>
      <c r="F11" s="58" t="s">
        <v>57</v>
      </c>
      <c r="G11" s="59">
        <v>45970</v>
      </c>
      <c r="H11" s="190">
        <v>4787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42</v>
      </c>
      <c r="C12" s="177">
        <v>8078</v>
      </c>
      <c r="D12" s="173">
        <v>345.09799999999996</v>
      </c>
      <c r="E12" s="80">
        <f t="shared" si="1"/>
        <v>3.4891269741207584E-2</v>
      </c>
      <c r="H12" s="139">
        <f>+SUM(H5:H11)</f>
        <v>51610</v>
      </c>
      <c r="I12" s="142">
        <f>+SUM(I5:I11)</f>
        <v>35370.519</v>
      </c>
      <c r="J12" s="140">
        <f t="shared" si="0"/>
        <v>0.68534235613253247</v>
      </c>
    </row>
    <row r="13" spans="1:10" ht="15" customHeight="1" x14ac:dyDescent="0.25">
      <c r="A13" s="164"/>
      <c r="B13" s="169" t="s">
        <v>44</v>
      </c>
      <c r="C13" s="177">
        <v>21</v>
      </c>
      <c r="D13" s="173">
        <v>31.8</v>
      </c>
      <c r="E13" s="80">
        <f t="shared" si="1"/>
        <v>3.2151515736700922E-3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534</v>
      </c>
      <c r="D14" s="173">
        <v>805.9</v>
      </c>
      <c r="E14" s="80">
        <f t="shared" si="1"/>
        <v>8.1480838151595195E-2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346</v>
      </c>
      <c r="D15" s="173">
        <v>521.85</v>
      </c>
      <c r="E15" s="80">
        <f t="shared" si="1"/>
        <v>5.2761850588670993E-2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194</v>
      </c>
      <c r="C16" s="177">
        <v>45</v>
      </c>
      <c r="D16" s="173">
        <v>67.81</v>
      </c>
      <c r="E16" s="80">
        <f t="shared" si="1"/>
        <v>6.855956861967577E-3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86</v>
      </c>
      <c r="D17" s="173">
        <v>129.42000000000002</v>
      </c>
      <c r="E17" s="80">
        <f t="shared" si="1"/>
        <v>1.3085060272464885E-2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45</v>
      </c>
      <c r="C18" s="177">
        <v>23</v>
      </c>
      <c r="D18" s="173">
        <v>34.619999999999997</v>
      </c>
      <c r="E18" s="80">
        <f t="shared" si="1"/>
        <v>3.5002687886936659E-3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41</v>
      </c>
      <c r="C19" s="177">
        <v>250</v>
      </c>
      <c r="D19" s="173">
        <v>375.94099999999997</v>
      </c>
      <c r="E19" s="80">
        <f t="shared" si="1"/>
        <v>3.8009663451481379E-2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88</v>
      </c>
      <c r="C20" s="177">
        <v>42</v>
      </c>
      <c r="D20" s="173">
        <v>63.730000000000004</v>
      </c>
      <c r="E20" s="80">
        <f t="shared" si="1"/>
        <v>6.4434468487419806E-3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40</v>
      </c>
      <c r="C21" s="177"/>
      <c r="D21" s="173">
        <v>721.28000000000009</v>
      </c>
      <c r="E21" s="80">
        <f t="shared" si="1"/>
        <v>7.2925299592980011E-2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x14ac:dyDescent="0.25">
      <c r="A22" s="164"/>
      <c r="B22" s="169" t="s">
        <v>184</v>
      </c>
      <c r="C22" s="177"/>
      <c r="D22" s="173">
        <v>32.700000000000003</v>
      </c>
      <c r="E22" s="80">
        <f t="shared" si="1"/>
        <v>3.3061464295286798E-3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thickBot="1" x14ac:dyDescent="0.3">
      <c r="A23" s="164"/>
      <c r="B23" s="169" t="s">
        <v>46</v>
      </c>
      <c r="C23" s="177"/>
      <c r="D23" s="173">
        <v>28.72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78" t="s">
        <v>0</v>
      </c>
      <c r="C24" s="170"/>
      <c r="D24" s="171">
        <f>SUM(D5:D23)</f>
        <v>9890.6690000000017</v>
      </c>
      <c r="E24" s="80"/>
      <c r="F24" s="112" t="s">
        <v>198</v>
      </c>
      <c r="G24" s="190"/>
      <c r="H24" s="272"/>
      <c r="I24" s="98" t="e">
        <f t="shared" si="2"/>
        <v>#DIV/0!</v>
      </c>
      <c r="J24" s="108"/>
    </row>
    <row r="25" spans="1:10" ht="15" customHeight="1" x14ac:dyDescent="0.25">
      <c r="B25" s="166" t="s">
        <v>1</v>
      </c>
      <c r="C25" s="167"/>
      <c r="D25" s="233">
        <v>43736.170999999995</v>
      </c>
      <c r="E25" s="80"/>
      <c r="F25" s="112" t="s">
        <v>199</v>
      </c>
      <c r="G25" s="190"/>
      <c r="H25" s="272"/>
      <c r="I25" s="98" t="e">
        <f t="shared" si="2"/>
        <v>#DIV/0!</v>
      </c>
      <c r="J25" s="108"/>
    </row>
    <row r="26" spans="1:10" ht="15" customHeight="1" x14ac:dyDescent="0.25">
      <c r="E26" s="80"/>
      <c r="G26" s="68">
        <f>+SUM(G14:G25)</f>
        <v>2122275.2460000003</v>
      </c>
      <c r="H26" s="68">
        <f>+SUM(H14:H25)</f>
        <v>2127036.7809999995</v>
      </c>
      <c r="I26" s="98">
        <f>+H26/G26</f>
        <v>1.0022435991792176</v>
      </c>
      <c r="J26" s="108">
        <f>+H26-G26</f>
        <v>4761.5349999992177</v>
      </c>
    </row>
    <row r="27" spans="1:10" ht="15" customHeight="1" thickBot="1" x14ac:dyDescent="0.3">
      <c r="E27" s="80"/>
      <c r="F27" s="179"/>
      <c r="G27" s="179"/>
      <c r="J27" s="179"/>
    </row>
    <row r="28" spans="1:10" ht="19.5" thickBot="1" x14ac:dyDescent="0.3">
      <c r="E28" s="313">
        <f>+D25/F2</f>
        <v>0.19209023085949378</v>
      </c>
      <c r="F28" s="179"/>
      <c r="G28" s="179"/>
      <c r="J28" s="179"/>
    </row>
    <row r="29" spans="1:10" x14ac:dyDescent="0.25">
      <c r="D29" s="108">
        <f>+(F2/30)*6</f>
        <v>45537.111183953159</v>
      </c>
      <c r="E29" s="314">
        <f>+D29/F2</f>
        <v>0.19999999999999998</v>
      </c>
    </row>
    <row r="30" spans="1:10" x14ac:dyDescent="0.25">
      <c r="D30" s="183">
        <f>+D25-D29</f>
        <v>-1800.9401839531638</v>
      </c>
      <c r="E30" s="99">
        <f>E28-E29</f>
        <v>-7.9097691405062009E-3</v>
      </c>
    </row>
    <row r="32" spans="1:10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1568</v>
      </c>
      <c r="D33" s="108">
        <v>2142</v>
      </c>
      <c r="E33" s="57">
        <f>+C33/D33</f>
        <v>0.73202614379084963</v>
      </c>
      <c r="G33" s="86" t="s">
        <v>86</v>
      </c>
      <c r="H33" s="87">
        <v>9864</v>
      </c>
      <c r="I33" s="88">
        <f>+H33*0.025</f>
        <v>246.60000000000002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1070</v>
      </c>
      <c r="D34" s="108">
        <v>1890</v>
      </c>
      <c r="E34" s="57">
        <f>+C34/D34</f>
        <v>0.56613756613756616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ht="15" customHeight="1" x14ac:dyDescent="0.25">
      <c r="B35" s="162" t="s">
        <v>63</v>
      </c>
      <c r="C35" s="67">
        <v>585</v>
      </c>
      <c r="D35" s="108">
        <v>3006</v>
      </c>
      <c r="E35" s="57">
        <f>+C35/D35</f>
        <v>0.19461077844311378</v>
      </c>
      <c r="G35" s="89" t="s">
        <v>169</v>
      </c>
      <c r="H35" s="87">
        <v>200</v>
      </c>
      <c r="I35" s="88">
        <f>+H35*1.5</f>
        <v>300</v>
      </c>
      <c r="J35" s="298">
        <f>+I35+I33</f>
        <v>546.6</v>
      </c>
    </row>
    <row r="36" spans="1:11" x14ac:dyDescent="0.25">
      <c r="C36" s="162">
        <f>+SUM(C33:C35)</f>
        <v>3223</v>
      </c>
      <c r="D36" s="110">
        <f>+SUM(D33:D35)</f>
        <v>7038</v>
      </c>
      <c r="E36" s="57">
        <f>+C36/D36</f>
        <v>0.45794259732878656</v>
      </c>
      <c r="G36" s="89" t="s">
        <v>168</v>
      </c>
      <c r="H36" s="87">
        <v>1</v>
      </c>
      <c r="I36" s="88">
        <f>+H36*1.5</f>
        <v>1.5</v>
      </c>
      <c r="J36" s="228" t="s">
        <v>193</v>
      </c>
    </row>
    <row r="37" spans="1:11" x14ac:dyDescent="0.25">
      <c r="G37" s="231" t="s">
        <v>123</v>
      </c>
      <c r="H37" s="138">
        <v>231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219</v>
      </c>
      <c r="I39" s="88">
        <f>+H39*1.5</f>
        <v>328.5</v>
      </c>
      <c r="J39" s="224" t="s">
        <v>152</v>
      </c>
    </row>
    <row r="40" spans="1:11" x14ac:dyDescent="0.25">
      <c r="B40" s="73">
        <v>12</v>
      </c>
      <c r="C40" s="74">
        <v>5</v>
      </c>
      <c r="D40" s="74">
        <v>9</v>
      </c>
      <c r="E40" s="75">
        <f>+SUM(B40:D40)</f>
        <v>26</v>
      </c>
      <c r="J40" s="218"/>
    </row>
    <row r="41" spans="1:1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</row>
    <row r="42" spans="1:11" x14ac:dyDescent="0.25">
      <c r="D42" s="162"/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1894</v>
      </c>
      <c r="D43" s="200">
        <v>2400</v>
      </c>
      <c r="E43" s="201">
        <f t="shared" ref="E43:E48" si="3">+C43/D43</f>
        <v>0.78916666666666668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10.68</v>
      </c>
      <c r="C44" s="199">
        <v>1400</v>
      </c>
      <c r="D44" s="200">
        <v>3600</v>
      </c>
      <c r="E44" s="201">
        <f t="shared" si="3"/>
        <v>0.3888888888888889</v>
      </c>
      <c r="F44" s="201">
        <f t="shared" si="4"/>
        <v>0.44500000000000001</v>
      </c>
      <c r="G44" s="202">
        <v>12</v>
      </c>
      <c r="H44" s="71"/>
    </row>
    <row r="45" spans="1:11" x14ac:dyDescent="0.25">
      <c r="A45" s="207" t="s">
        <v>72</v>
      </c>
      <c r="B45" s="199">
        <v>13.68</v>
      </c>
      <c r="C45" s="199">
        <v>1647</v>
      </c>
      <c r="D45" s="200">
        <v>3900</v>
      </c>
      <c r="E45" s="201">
        <f t="shared" si="3"/>
        <v>0.42230769230769233</v>
      </c>
      <c r="F45" s="201">
        <f t="shared" si="4"/>
        <v>0.56999999999999995</v>
      </c>
      <c r="G45" s="202">
        <v>12</v>
      </c>
      <c r="H45" s="237"/>
    </row>
    <row r="46" spans="1:11" x14ac:dyDescent="0.25">
      <c r="A46" s="207" t="s">
        <v>73</v>
      </c>
      <c r="B46" s="199">
        <v>14.27</v>
      </c>
      <c r="C46" s="199">
        <v>2953</v>
      </c>
      <c r="D46" s="200">
        <v>3900</v>
      </c>
      <c r="E46" s="201">
        <f t="shared" si="3"/>
        <v>0.75717948717948713</v>
      </c>
      <c r="F46" s="201">
        <f t="shared" si="4"/>
        <v>0.59458333333333335</v>
      </c>
      <c r="G46" s="202">
        <v>12</v>
      </c>
      <c r="H46" s="301"/>
      <c r="I46" s="129"/>
    </row>
    <row r="47" spans="1:11" x14ac:dyDescent="0.25">
      <c r="A47" s="207" t="s">
        <v>74</v>
      </c>
      <c r="B47" s="199">
        <v>16.03</v>
      </c>
      <c r="C47" s="199">
        <v>2664</v>
      </c>
      <c r="D47" s="200">
        <v>3900</v>
      </c>
      <c r="E47" s="201">
        <f t="shared" si="3"/>
        <v>0.68307692307692303</v>
      </c>
      <c r="F47" s="201">
        <f t="shared" si="4"/>
        <v>0.66791666666666671</v>
      </c>
      <c r="G47" s="202">
        <v>12</v>
      </c>
      <c r="H47" s="301"/>
      <c r="I47" s="129"/>
    </row>
    <row r="48" spans="1:11" x14ac:dyDescent="0.25">
      <c r="A48" s="259" t="s">
        <v>75</v>
      </c>
      <c r="B48" s="260">
        <v>6.67</v>
      </c>
      <c r="C48" s="261">
        <v>2847</v>
      </c>
      <c r="D48" s="262">
        <v>4300</v>
      </c>
      <c r="E48" s="263">
        <f t="shared" si="3"/>
        <v>0.66209302325581398</v>
      </c>
      <c r="F48" s="201">
        <f t="shared" si="4"/>
        <v>0.27791666666666665</v>
      </c>
      <c r="G48" s="202">
        <v>16</v>
      </c>
      <c r="H48" s="301"/>
      <c r="I48" s="129"/>
    </row>
    <row r="49" spans="2:9" x14ac:dyDescent="0.25">
      <c r="C49" s="71" t="s">
        <v>83</v>
      </c>
      <c r="D49" s="72" t="s">
        <v>79</v>
      </c>
      <c r="H49" s="301"/>
      <c r="I49" s="129"/>
    </row>
    <row r="50" spans="2:9" x14ac:dyDescent="0.25">
      <c r="B50" s="162" t="s">
        <v>78</v>
      </c>
      <c r="H50" s="301"/>
      <c r="I50" s="129"/>
    </row>
    <row r="51" spans="2:9" x14ac:dyDescent="0.25">
      <c r="C51" s="71">
        <v>1</v>
      </c>
      <c r="D51" s="225" t="s">
        <v>153</v>
      </c>
      <c r="H51" s="301"/>
      <c r="I51" s="129"/>
    </row>
    <row r="52" spans="2:9" x14ac:dyDescent="0.25">
      <c r="C52" s="71">
        <v>2</v>
      </c>
      <c r="D52" s="225" t="s">
        <v>153</v>
      </c>
      <c r="H52" s="301"/>
      <c r="I52" s="129"/>
    </row>
    <row r="53" spans="2:9" x14ac:dyDescent="0.25">
      <c r="C53" s="71">
        <v>3</v>
      </c>
      <c r="D53" s="225" t="s">
        <v>154</v>
      </c>
      <c r="H53" s="301"/>
      <c r="I53" s="129"/>
    </row>
    <row r="54" spans="2:9" x14ac:dyDescent="0.25">
      <c r="C54" s="71">
        <v>4</v>
      </c>
      <c r="D54" s="108">
        <v>0</v>
      </c>
      <c r="H54" s="301"/>
      <c r="I54" s="129"/>
    </row>
    <row r="55" spans="2:9" x14ac:dyDescent="0.25">
      <c r="C55" s="71">
        <v>5</v>
      </c>
      <c r="D55" s="108">
        <v>15</v>
      </c>
      <c r="H55" s="301"/>
      <c r="I55" s="129"/>
    </row>
    <row r="56" spans="2:9" x14ac:dyDescent="0.25">
      <c r="C56" s="71">
        <v>6</v>
      </c>
      <c r="D56" s="108">
        <v>1</v>
      </c>
      <c r="H56" s="301"/>
      <c r="I56" s="129"/>
    </row>
    <row r="57" spans="2:9" x14ac:dyDescent="0.25">
      <c r="C57" s="71">
        <v>7</v>
      </c>
      <c r="D57" s="225" t="s">
        <v>153</v>
      </c>
      <c r="H57" s="301"/>
      <c r="I57" s="129"/>
    </row>
    <row r="58" spans="2:9" x14ac:dyDescent="0.25">
      <c r="C58" s="71">
        <v>8</v>
      </c>
      <c r="D58" s="225" t="s">
        <v>153</v>
      </c>
      <c r="H58" s="301"/>
      <c r="I58" s="129"/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opLeftCell="A46" workbookViewId="0">
      <selection activeCell="A29" sqref="A29:K6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v>45970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42"/>
      <c r="C4" s="342"/>
      <c r="D4" s="165">
        <f>D25</f>
        <v>5586.7640000000001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2450</v>
      </c>
      <c r="D5" s="172">
        <v>104.68</v>
      </c>
      <c r="E5" s="80">
        <f>+D5/$D$4</f>
        <v>1.8737143720407735E-2</v>
      </c>
      <c r="F5" s="58" t="s">
        <v>51</v>
      </c>
      <c r="G5" s="59">
        <v>45964</v>
      </c>
      <c r="H5" s="190">
        <v>6405</v>
      </c>
      <c r="I5" s="141">
        <v>6983.1379999999999</v>
      </c>
      <c r="J5" s="60">
        <f t="shared" ref="J5:J12" si="0">+I5/H5</f>
        <v>1.090263544106167</v>
      </c>
    </row>
    <row r="6" spans="1:10" ht="15" customHeight="1" x14ac:dyDescent="0.25">
      <c r="A6" s="164"/>
      <c r="B6" s="169" t="s">
        <v>10</v>
      </c>
      <c r="C6" s="177">
        <v>12765</v>
      </c>
      <c r="D6" s="173">
        <v>544.65199999999993</v>
      </c>
      <c r="E6" s="80">
        <f t="shared" ref="E6:E22" si="1">+D6/$D$4</f>
        <v>9.7489709606491323E-2</v>
      </c>
      <c r="F6" s="58" t="s">
        <v>52</v>
      </c>
      <c r="G6" s="59">
        <v>45965</v>
      </c>
      <c r="H6" s="190">
        <v>9579</v>
      </c>
      <c r="I6" s="141">
        <v>9219.4919999999984</v>
      </c>
      <c r="J6" s="60">
        <f t="shared" si="0"/>
        <v>0.96246915126839949</v>
      </c>
    </row>
    <row r="7" spans="1:10" ht="15" customHeight="1" x14ac:dyDescent="0.25">
      <c r="A7" s="164"/>
      <c r="B7" s="169" t="s">
        <v>35</v>
      </c>
      <c r="C7" s="177">
        <v>19456</v>
      </c>
      <c r="D7" s="173">
        <v>830.49600000000009</v>
      </c>
      <c r="E7" s="80">
        <f t="shared" si="1"/>
        <v>0.14865421199105602</v>
      </c>
      <c r="F7" s="58" t="s">
        <v>53</v>
      </c>
      <c r="G7" s="59">
        <v>45966</v>
      </c>
      <c r="H7" s="190">
        <v>9360</v>
      </c>
      <c r="I7" s="141">
        <v>9277.2200000000012</v>
      </c>
      <c r="J7" s="60">
        <f t="shared" si="0"/>
        <v>0.99115598290598306</v>
      </c>
    </row>
    <row r="8" spans="1:10" ht="15" customHeight="1" x14ac:dyDescent="0.25">
      <c r="A8" s="164"/>
      <c r="B8" s="169" t="s">
        <v>4</v>
      </c>
      <c r="C8" s="177">
        <v>10092</v>
      </c>
      <c r="D8" s="173">
        <v>431.19200000000006</v>
      </c>
      <c r="E8" s="80">
        <f t="shared" si="1"/>
        <v>7.7180994221341739E-2</v>
      </c>
      <c r="F8" s="58" t="s">
        <v>54</v>
      </c>
      <c r="G8" s="59">
        <v>45967</v>
      </c>
      <c r="H8" s="190">
        <v>8953</v>
      </c>
      <c r="I8" s="141">
        <v>9890.6690000000017</v>
      </c>
      <c r="J8" s="60">
        <f t="shared" si="0"/>
        <v>1.1047323802077518</v>
      </c>
    </row>
    <row r="9" spans="1:10" ht="15" customHeight="1" x14ac:dyDescent="0.25">
      <c r="A9" s="164"/>
      <c r="B9" s="169" t="s">
        <v>37</v>
      </c>
      <c r="C9" s="177">
        <v>13912</v>
      </c>
      <c r="D9" s="173">
        <v>593.99400000000003</v>
      </c>
      <c r="E9" s="245">
        <f t="shared" si="1"/>
        <v>0.10632165597114895</v>
      </c>
      <c r="F9" s="58" t="s">
        <v>55</v>
      </c>
      <c r="G9" s="59">
        <v>45968</v>
      </c>
      <c r="H9" s="190">
        <v>7259</v>
      </c>
      <c r="I9" s="141">
        <v>7475.5</v>
      </c>
      <c r="J9" s="60">
        <f t="shared" si="0"/>
        <v>1.0298250447720072</v>
      </c>
    </row>
    <row r="10" spans="1:10" ht="15" customHeight="1" x14ac:dyDescent="0.25">
      <c r="A10" s="164"/>
      <c r="B10" s="169" t="s">
        <v>38</v>
      </c>
      <c r="C10" s="177">
        <v>28822</v>
      </c>
      <c r="D10" s="173">
        <v>1229.4259999999999</v>
      </c>
      <c r="E10" s="245">
        <f t="shared" si="1"/>
        <v>0.22006048581969812</v>
      </c>
      <c r="F10" s="58" t="s">
        <v>56</v>
      </c>
      <c r="G10" s="59">
        <v>45969</v>
      </c>
      <c r="H10" s="190">
        <v>5267</v>
      </c>
      <c r="I10" s="141">
        <v>8472.33</v>
      </c>
      <c r="J10" s="60">
        <f t="shared" si="0"/>
        <v>1.6085684450351243</v>
      </c>
    </row>
    <row r="11" spans="1:10" ht="15" customHeight="1" x14ac:dyDescent="0.25">
      <c r="A11" s="164"/>
      <c r="B11" s="169" t="s">
        <v>42</v>
      </c>
      <c r="C11" s="177">
        <v>6640</v>
      </c>
      <c r="D11" s="173">
        <v>283.78399999999993</v>
      </c>
      <c r="E11" s="80">
        <f t="shared" si="1"/>
        <v>5.0795773725183298E-2</v>
      </c>
      <c r="F11" s="58" t="s">
        <v>57</v>
      </c>
      <c r="G11" s="59">
        <v>45970</v>
      </c>
      <c r="H11" s="190">
        <v>4787</v>
      </c>
      <c r="I11" s="141">
        <v>5586.7640000000001</v>
      </c>
      <c r="J11" s="60">
        <f t="shared" si="0"/>
        <v>1.1670699811990808</v>
      </c>
    </row>
    <row r="12" spans="1:10" ht="15" customHeight="1" x14ac:dyDescent="0.25">
      <c r="A12" s="164"/>
      <c r="B12" s="169" t="s">
        <v>34</v>
      </c>
      <c r="C12" s="177"/>
      <c r="D12" s="173"/>
      <c r="E12" s="80">
        <f t="shared" si="1"/>
        <v>0</v>
      </c>
      <c r="H12" s="139">
        <f>+SUM(H5:H11)</f>
        <v>51610</v>
      </c>
      <c r="I12" s="142">
        <f>+SUM(I5:I11)</f>
        <v>56905.113000000005</v>
      </c>
      <c r="J12" s="140">
        <f t="shared" si="0"/>
        <v>1.102598585545437</v>
      </c>
    </row>
    <row r="13" spans="1:10" ht="15" customHeight="1" x14ac:dyDescent="0.25">
      <c r="A13" s="164"/>
      <c r="B13" s="169" t="s">
        <v>196</v>
      </c>
      <c r="C13" s="177">
        <v>1296</v>
      </c>
      <c r="D13" s="173">
        <v>32.54</v>
      </c>
      <c r="E13" s="80">
        <f t="shared" si="1"/>
        <v>5.8244808622666001E-3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117</v>
      </c>
      <c r="D14" s="173">
        <v>176.68</v>
      </c>
      <c r="E14" s="80">
        <f t="shared" si="1"/>
        <v>3.1624747349270524E-2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262</v>
      </c>
      <c r="D15" s="173">
        <v>395.56999999999994</v>
      </c>
      <c r="E15" s="80">
        <f t="shared" si="1"/>
        <v>7.0804852325961856E-2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90</v>
      </c>
      <c r="D16" s="173">
        <v>135.79</v>
      </c>
      <c r="E16" s="80">
        <f t="shared" si="1"/>
        <v>2.4305662455045531E-2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194</v>
      </c>
      <c r="C17" s="177"/>
      <c r="D17" s="173"/>
      <c r="E17" s="80">
        <f t="shared" si="1"/>
        <v>0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49</v>
      </c>
      <c r="C18" s="177">
        <v>20</v>
      </c>
      <c r="D18" s="173">
        <v>30.21</v>
      </c>
      <c r="E18" s="80">
        <f t="shared" si="1"/>
        <v>5.4074236892770128E-3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148</v>
      </c>
      <c r="D20" s="173">
        <v>222.88</v>
      </c>
      <c r="E20" s="80">
        <f t="shared" si="1"/>
        <v>3.9894293011124148E-2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85</v>
      </c>
      <c r="C21" s="177">
        <v>23</v>
      </c>
      <c r="D21" s="173">
        <v>34.590000000000003</v>
      </c>
      <c r="E21" s="80">
        <f t="shared" si="1"/>
        <v>6.1914195766994999E-3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40</v>
      </c>
      <c r="C22" s="177"/>
      <c r="D22" s="173">
        <v>330.78999999999996</v>
      </c>
      <c r="E22" s="80">
        <f t="shared" si="1"/>
        <v>5.920958894988225E-2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119.51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46</v>
      </c>
      <c r="C24" s="177"/>
      <c r="D24" s="173">
        <v>89.98</v>
      </c>
      <c r="E24" s="80"/>
      <c r="F24" s="112" t="s">
        <v>198</v>
      </c>
      <c r="G24" s="190"/>
      <c r="H24" s="272"/>
      <c r="I24" s="98" t="e">
        <f t="shared" si="2"/>
        <v>#DIV/0!</v>
      </c>
      <c r="J24" s="108"/>
    </row>
    <row r="25" spans="1:10" ht="15" customHeight="1" thickBot="1" x14ac:dyDescent="0.3">
      <c r="B25" s="178" t="s">
        <v>0</v>
      </c>
      <c r="C25" s="170"/>
      <c r="D25" s="171">
        <f>SUM(D5:D24)</f>
        <v>5586.7640000000001</v>
      </c>
      <c r="E25" s="80"/>
      <c r="F25" s="112" t="s">
        <v>199</v>
      </c>
      <c r="G25" s="190"/>
      <c r="H25" s="272"/>
      <c r="I25" s="98" t="e">
        <f t="shared" si="2"/>
        <v>#DIV/0!</v>
      </c>
      <c r="J25" s="108"/>
    </row>
    <row r="26" spans="1:10" ht="15" customHeight="1" x14ac:dyDescent="0.25">
      <c r="B26" s="166" t="s">
        <v>1</v>
      </c>
      <c r="C26" s="167"/>
      <c r="D26" s="233">
        <v>65071.955000000002</v>
      </c>
      <c r="E26" s="80"/>
      <c r="G26" s="68">
        <f>+SUM(G14:G25)</f>
        <v>2122275.2460000003</v>
      </c>
      <c r="H26" s="68">
        <f>+SUM(H14:H25)</f>
        <v>2127036.7809999995</v>
      </c>
      <c r="I26" s="98">
        <f>+H26/G26</f>
        <v>1.0022435991792176</v>
      </c>
      <c r="J26" s="108">
        <f>+H26-G26</f>
        <v>4761.5349999992177</v>
      </c>
    </row>
    <row r="27" spans="1:10" ht="16.5" thickBot="1" x14ac:dyDescent="0.3">
      <c r="E27" s="80"/>
      <c r="F27" s="179"/>
      <c r="G27" s="179"/>
      <c r="J27" s="179"/>
    </row>
    <row r="28" spans="1:10" ht="19.5" thickBot="1" x14ac:dyDescent="0.3">
      <c r="E28" s="313">
        <f>+D26/F2</f>
        <v>0.28579746632206537</v>
      </c>
      <c r="F28" s="179"/>
      <c r="G28" s="179"/>
      <c r="J28" s="179"/>
    </row>
    <row r="29" spans="1:10" x14ac:dyDescent="0.25">
      <c r="D29" s="108">
        <f>+(F2/30)*9</f>
        <v>68305.666775929742</v>
      </c>
      <c r="E29" s="314">
        <f>+D29/F2</f>
        <v>0.3</v>
      </c>
    </row>
    <row r="30" spans="1:10" x14ac:dyDescent="0.25">
      <c r="D30" s="183">
        <f>+D26-D29</f>
        <v>-3233.7117759297398</v>
      </c>
      <c r="E30" s="99">
        <f>E28-E29</f>
        <v>-1.4202533677934615E-2</v>
      </c>
    </row>
    <row r="32" spans="1:10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1478</v>
      </c>
      <c r="D33" s="108">
        <v>2142</v>
      </c>
      <c r="E33" s="57">
        <f>+C33/D33</f>
        <v>0.69000933706816059</v>
      </c>
      <c r="G33" s="86" t="s">
        <v>86</v>
      </c>
      <c r="H33" s="87">
        <v>12199</v>
      </c>
      <c r="I33" s="88">
        <f>+H33*0.025</f>
        <v>304.97500000000002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1845</v>
      </c>
      <c r="D34" s="108">
        <v>1890</v>
      </c>
      <c r="E34" s="57">
        <f>+C34/D34</f>
        <v>0.97619047619047616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3290</v>
      </c>
      <c r="D35" s="108">
        <v>3006</v>
      </c>
      <c r="E35" s="57">
        <f>+C35/D35</f>
        <v>1.0944777112441784</v>
      </c>
      <c r="G35" s="89" t="s">
        <v>169</v>
      </c>
      <c r="H35" s="87">
        <v>328</v>
      </c>
      <c r="I35" s="88">
        <f>+H35*1.5</f>
        <v>492</v>
      </c>
      <c r="J35" s="298">
        <f>+I35+I33</f>
        <v>796.97500000000002</v>
      </c>
    </row>
    <row r="36" spans="1:11" x14ac:dyDescent="0.25">
      <c r="C36" s="162">
        <f>+SUM(C33:C35)</f>
        <v>6613</v>
      </c>
      <c r="D36" s="110">
        <f>+SUM(D33:D35)</f>
        <v>7038</v>
      </c>
      <c r="E36" s="57">
        <f>+C36/D36</f>
        <v>0.93961352657004826</v>
      </c>
      <c r="G36" s="89" t="s">
        <v>168</v>
      </c>
      <c r="H36" s="87">
        <v>1</v>
      </c>
      <c r="I36" s="88">
        <f>+H36*1.5</f>
        <v>1.5</v>
      </c>
      <c r="J36" s="228" t="s">
        <v>193</v>
      </c>
    </row>
    <row r="37" spans="1:11" x14ac:dyDescent="0.25">
      <c r="G37" s="231" t="s">
        <v>123</v>
      </c>
      <c r="H37" s="138">
        <v>231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219</v>
      </c>
      <c r="I39" s="88">
        <f>+H39*1.5</f>
        <v>328.5</v>
      </c>
      <c r="J39" s="224" t="s">
        <v>152</v>
      </c>
    </row>
    <row r="40" spans="1:11" x14ac:dyDescent="0.25">
      <c r="B40" s="73">
        <v>6</v>
      </c>
      <c r="C40" s="74">
        <v>0</v>
      </c>
      <c r="D40" s="74">
        <v>6</v>
      </c>
      <c r="E40" s="75">
        <f>+SUM(B40:D40)</f>
        <v>12</v>
      </c>
      <c r="J40" s="218"/>
    </row>
    <row r="41" spans="1:1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</row>
    <row r="42" spans="1:11" x14ac:dyDescent="0.25">
      <c r="D42" s="162"/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1.7</v>
      </c>
      <c r="C43" s="199">
        <v>1980</v>
      </c>
      <c r="D43" s="200">
        <v>2400</v>
      </c>
      <c r="E43" s="201">
        <f t="shared" ref="E43:E48" si="3">+C43/D43</f>
        <v>0.82499999999999996</v>
      </c>
      <c r="F43" s="201">
        <f t="shared" ref="F43:F48" si="4">+B43/24</f>
        <v>7.0833333333333331E-2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9.92</v>
      </c>
      <c r="C44" s="199">
        <v>1657</v>
      </c>
      <c r="D44" s="200">
        <v>3600</v>
      </c>
      <c r="E44" s="201">
        <f t="shared" si="3"/>
        <v>0.46027777777777779</v>
      </c>
      <c r="F44" s="201">
        <f t="shared" si="4"/>
        <v>0.41333333333333333</v>
      </c>
      <c r="G44" s="202">
        <v>12</v>
      </c>
      <c r="H44" s="71"/>
    </row>
    <row r="45" spans="1:11" x14ac:dyDescent="0.25">
      <c r="A45" s="207" t="s">
        <v>72</v>
      </c>
      <c r="B45" s="199">
        <v>5.7</v>
      </c>
      <c r="C45" s="199">
        <v>1010</v>
      </c>
      <c r="D45" s="200">
        <v>3900</v>
      </c>
      <c r="E45" s="201">
        <f t="shared" si="3"/>
        <v>0.258974358974359</v>
      </c>
      <c r="F45" s="201">
        <f t="shared" si="4"/>
        <v>0.23750000000000002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11.42</v>
      </c>
      <c r="C46" s="199">
        <v>2770</v>
      </c>
      <c r="D46" s="200">
        <v>3900</v>
      </c>
      <c r="E46" s="201">
        <f t="shared" si="3"/>
        <v>0.71025641025641029</v>
      </c>
      <c r="F46" s="201">
        <f t="shared" si="4"/>
        <v>0.47583333333333333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14.57</v>
      </c>
      <c r="C47" s="199">
        <v>2872</v>
      </c>
      <c r="D47" s="200">
        <v>3900</v>
      </c>
      <c r="E47" s="201">
        <f t="shared" si="3"/>
        <v>0.73641025641025637</v>
      </c>
      <c r="F47" s="201">
        <f t="shared" si="4"/>
        <v>0.60708333333333331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2.88</v>
      </c>
      <c r="C48" s="261">
        <v>3178</v>
      </c>
      <c r="D48" s="262">
        <v>4300</v>
      </c>
      <c r="E48" s="263">
        <f t="shared" si="3"/>
        <v>0.73906976744186048</v>
      </c>
      <c r="F48" s="201">
        <f t="shared" si="4"/>
        <v>0.12</v>
      </c>
      <c r="G48" s="202">
        <v>16</v>
      </c>
      <c r="H48" s="301"/>
      <c r="I48" s="129"/>
      <c r="K48" s="318">
        <f t="shared" si="5"/>
        <v>0</v>
      </c>
    </row>
    <row r="49" spans="2:11" x14ac:dyDescent="0.25">
      <c r="C49" s="71" t="s">
        <v>83</v>
      </c>
      <c r="D49" s="72" t="s">
        <v>79</v>
      </c>
      <c r="H49" s="301"/>
      <c r="I49" s="129"/>
      <c r="K49" s="318">
        <f t="shared" si="5"/>
        <v>0</v>
      </c>
    </row>
    <row r="50" spans="2:11" x14ac:dyDescent="0.25">
      <c r="B50" s="162" t="s">
        <v>78</v>
      </c>
      <c r="H50" s="301"/>
      <c r="I50" s="129"/>
      <c r="K50" s="318">
        <f t="shared" si="5"/>
        <v>0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+J47+J46</f>
        <v>168</v>
      </c>
      <c r="K52" s="346">
        <f t="shared" si="5"/>
        <v>252</v>
      </c>
    </row>
    <row r="53" spans="2:11" x14ac:dyDescent="0.25">
      <c r="C53" s="71">
        <v>3</v>
      </c>
      <c r="D53" s="225" t="s">
        <v>154</v>
      </c>
    </row>
    <row r="54" spans="2:11" x14ac:dyDescent="0.25">
      <c r="C54" s="71">
        <v>4</v>
      </c>
      <c r="D54" s="108">
        <v>0</v>
      </c>
    </row>
    <row r="55" spans="2:11" x14ac:dyDescent="0.25">
      <c r="C55" s="71">
        <v>5</v>
      </c>
      <c r="D55" s="108">
        <v>7</v>
      </c>
    </row>
    <row r="56" spans="2:11" x14ac:dyDescent="0.25">
      <c r="C56" s="71">
        <v>6</v>
      </c>
      <c r="D56" s="108">
        <v>8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2354</v>
      </c>
      <c r="K57" s="318">
        <f>+J57*0.025</f>
        <v>58.85</v>
      </c>
    </row>
    <row r="58" spans="2:11" x14ac:dyDescent="0.25">
      <c r="C58" s="71">
        <v>8</v>
      </c>
      <c r="D58" s="225" t="s">
        <v>153</v>
      </c>
      <c r="H58" s="301"/>
      <c r="I58" s="129"/>
      <c r="K58" s="318"/>
    </row>
    <row r="59" spans="2:11" x14ac:dyDescent="0.25">
      <c r="H59" s="344"/>
      <c r="I59" s="345"/>
      <c r="J59" s="200">
        <f>+SUM(J56:J58)</f>
        <v>2354</v>
      </c>
      <c r="K59" s="346">
        <f>+J59*0.025</f>
        <v>58.85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45970</v>
      </c>
      <c r="I65" s="129" t="s">
        <v>176</v>
      </c>
      <c r="J65" s="68">
        <v>148</v>
      </c>
      <c r="K65" s="318">
        <f>+J65*1.5</f>
        <v>222</v>
      </c>
    </row>
    <row r="66" spans="8:11" x14ac:dyDescent="0.25">
      <c r="H66" s="301">
        <v>45971</v>
      </c>
      <c r="I66" s="129" t="s">
        <v>175</v>
      </c>
      <c r="J66" s="68"/>
      <c r="K66" s="318">
        <f>+J66*1.5</f>
        <v>0</v>
      </c>
    </row>
    <row r="67" spans="8:11" x14ac:dyDescent="0.25">
      <c r="H67" s="301"/>
      <c r="I67" s="129"/>
      <c r="K67" s="318"/>
    </row>
    <row r="68" spans="8:11" x14ac:dyDescent="0.25">
      <c r="H68" s="344"/>
      <c r="I68" s="345"/>
      <c r="J68" s="200">
        <f>+SUM(J65:J67)</f>
        <v>148</v>
      </c>
      <c r="K68" s="346">
        <f>+J68*1.5</f>
        <v>222</v>
      </c>
    </row>
    <row r="69" spans="8:11" x14ac:dyDescent="0.25">
      <c r="J69" s="68"/>
      <c r="K69" s="68"/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opLeftCell="A45" workbookViewId="0">
      <selection activeCell="A29" sqref="A29:K68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3.28515625" style="162" customWidth="1"/>
    <col min="6" max="6" width="14" style="162" customWidth="1"/>
    <col min="7" max="7" width="14.42578125" style="162" customWidth="1"/>
    <col min="8" max="10" width="11.42578125" style="162"/>
    <col min="11" max="11" width="6" style="162" bestFit="1" customWidth="1"/>
    <col min="12" max="16384" width="11.42578125" style="162"/>
  </cols>
  <sheetData>
    <row r="1" spans="1:10" ht="15" customHeight="1" x14ac:dyDescent="0.25">
      <c r="A1" s="161"/>
      <c r="B1" s="518">
        <v>45972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43"/>
      <c r="C4" s="343"/>
      <c r="D4" s="165">
        <f>D25</f>
        <v>7002.4360000000006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7130</v>
      </c>
      <c r="D5" s="172">
        <v>304.62200000000001</v>
      </c>
      <c r="E5" s="80">
        <f>+D5/$D$4</f>
        <v>4.3502289774587012E-2</v>
      </c>
      <c r="F5" s="58" t="s">
        <v>51</v>
      </c>
      <c r="G5" s="59">
        <v>45971</v>
      </c>
      <c r="H5" s="190">
        <v>6442.0000000000009</v>
      </c>
      <c r="I5" s="141">
        <v>7002.4360000000006</v>
      </c>
      <c r="J5" s="60">
        <f t="shared" ref="J5:J12" si="0">+I5/H5</f>
        <v>1.0869972058366966</v>
      </c>
    </row>
    <row r="6" spans="1:10" ht="15" customHeight="1" x14ac:dyDescent="0.25">
      <c r="A6" s="164"/>
      <c r="B6" s="169" t="s">
        <v>10</v>
      </c>
      <c r="C6" s="177">
        <v>8824</v>
      </c>
      <c r="D6" s="173">
        <v>376.82400000000001</v>
      </c>
      <c r="E6" s="80">
        <f t="shared" ref="E6:E22" si="1">+D6/$D$4</f>
        <v>5.3813272981002608E-2</v>
      </c>
      <c r="F6" s="58" t="s">
        <v>52</v>
      </c>
      <c r="G6" s="59">
        <v>45972</v>
      </c>
      <c r="H6" s="190">
        <v>9579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13743</v>
      </c>
      <c r="D7" s="173">
        <v>586.54600000000005</v>
      </c>
      <c r="E7" s="80">
        <f t="shared" si="1"/>
        <v>8.3763136142907979E-2</v>
      </c>
      <c r="F7" s="58" t="s">
        <v>53</v>
      </c>
      <c r="G7" s="59">
        <v>45973</v>
      </c>
      <c r="H7" s="190">
        <v>9208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4875</v>
      </c>
      <c r="D8" s="173">
        <v>207.95</v>
      </c>
      <c r="E8" s="80">
        <f t="shared" si="1"/>
        <v>2.9696808367830847E-2</v>
      </c>
      <c r="F8" s="58" t="s">
        <v>54</v>
      </c>
      <c r="G8" s="59">
        <v>45974</v>
      </c>
      <c r="H8" s="190">
        <v>9788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31493</v>
      </c>
      <c r="D9" s="173">
        <v>1344.136</v>
      </c>
      <c r="E9" s="245">
        <f t="shared" si="1"/>
        <v>0.19195262905651689</v>
      </c>
      <c r="F9" s="58" t="s">
        <v>55</v>
      </c>
      <c r="G9" s="59">
        <v>45975</v>
      </c>
      <c r="H9" s="190">
        <v>6750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37714</v>
      </c>
      <c r="D10" s="173">
        <v>1608.758</v>
      </c>
      <c r="E10" s="245">
        <f t="shared" si="1"/>
        <v>0.22974262099646464</v>
      </c>
      <c r="F10" s="58" t="s">
        <v>56</v>
      </c>
      <c r="G10" s="59">
        <v>45976</v>
      </c>
      <c r="H10" s="190">
        <v>6949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6275</v>
      </c>
      <c r="D11" s="173">
        <v>267.88</v>
      </c>
      <c r="E11" s="80">
        <f t="shared" si="1"/>
        <v>3.8255258598579117E-2</v>
      </c>
      <c r="F11" s="58" t="s">
        <v>57</v>
      </c>
      <c r="G11" s="59">
        <v>45977</v>
      </c>
      <c r="H11" s="190">
        <v>6147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34</v>
      </c>
      <c r="C12" s="177"/>
      <c r="D12" s="173"/>
      <c r="E12" s="80">
        <f t="shared" si="1"/>
        <v>0</v>
      </c>
      <c r="H12" s="139">
        <f>+SUM(H5:H11)</f>
        <v>54863</v>
      </c>
      <c r="I12" s="142">
        <f>+SUM(I5:I11)</f>
        <v>7002.4360000000006</v>
      </c>
      <c r="J12" s="140">
        <f t="shared" si="0"/>
        <v>0.12763494522720231</v>
      </c>
    </row>
    <row r="13" spans="1:10" ht="15" customHeight="1" x14ac:dyDescent="0.25">
      <c r="A13" s="164"/>
      <c r="B13" s="169" t="s">
        <v>196</v>
      </c>
      <c r="C13" s="177">
        <v>3888</v>
      </c>
      <c r="D13" s="173">
        <v>97.69</v>
      </c>
      <c r="E13" s="80">
        <f t="shared" si="1"/>
        <v>1.3950859386647731E-2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24</v>
      </c>
      <c r="D14" s="173">
        <v>36.14</v>
      </c>
      <c r="E14" s="80">
        <f t="shared" si="1"/>
        <v>5.1610610935965712E-3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334</v>
      </c>
      <c r="D15" s="173">
        <v>504.8</v>
      </c>
      <c r="E15" s="80">
        <f t="shared" si="1"/>
        <v>7.2089198673147448E-2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251</v>
      </c>
      <c r="D16" s="173">
        <v>378.89</v>
      </c>
      <c r="E16" s="80">
        <f t="shared" si="1"/>
        <v>5.4108313164161724E-2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88</v>
      </c>
      <c r="C17" s="177">
        <v>40</v>
      </c>
      <c r="D17" s="173">
        <v>60.11</v>
      </c>
      <c r="E17" s="80">
        <f t="shared" si="1"/>
        <v>8.5841555710041463E-3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49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213</v>
      </c>
      <c r="D20" s="173">
        <v>320.67</v>
      </c>
      <c r="E20" s="80">
        <f t="shared" si="1"/>
        <v>4.5794063665844285E-2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85</v>
      </c>
      <c r="C21" s="177">
        <v>160</v>
      </c>
      <c r="D21" s="173">
        <v>240.8</v>
      </c>
      <c r="E21" s="80">
        <f t="shared" si="1"/>
        <v>3.4388032964528345E-2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40</v>
      </c>
      <c r="C22" s="177"/>
      <c r="D22" s="173">
        <v>486.79</v>
      </c>
      <c r="E22" s="80">
        <f t="shared" si="1"/>
        <v>6.9517236573101132E-2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60.12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46</v>
      </c>
      <c r="C24" s="177"/>
      <c r="D24" s="173">
        <v>119.71</v>
      </c>
      <c r="E24" s="80"/>
      <c r="F24" s="112" t="s">
        <v>198</v>
      </c>
      <c r="G24" s="190"/>
      <c r="H24" s="272"/>
      <c r="I24" s="98" t="e">
        <f t="shared" si="2"/>
        <v>#DIV/0!</v>
      </c>
      <c r="J24" s="108"/>
    </row>
    <row r="25" spans="1:10" ht="15" customHeight="1" thickBot="1" x14ac:dyDescent="0.3">
      <c r="B25" s="178" t="s">
        <v>0</v>
      </c>
      <c r="C25" s="170"/>
      <c r="D25" s="171">
        <f>SUM(D5:D24)</f>
        <v>7002.4360000000006</v>
      </c>
      <c r="E25" s="80"/>
      <c r="F25" s="112" t="s">
        <v>199</v>
      </c>
      <c r="G25" s="190"/>
      <c r="H25" s="272"/>
      <c r="I25" s="98" t="e">
        <f t="shared" si="2"/>
        <v>#DIV/0!</v>
      </c>
      <c r="J25" s="108"/>
    </row>
    <row r="26" spans="1:10" ht="15" customHeight="1" x14ac:dyDescent="0.25">
      <c r="B26" s="166" t="s">
        <v>1</v>
      </c>
      <c r="C26" s="167"/>
      <c r="D26" s="233">
        <v>72138.911999999997</v>
      </c>
      <c r="E26" s="80"/>
      <c r="G26" s="68">
        <f>+SUM(G14:G25)</f>
        <v>2122275.2460000003</v>
      </c>
      <c r="H26" s="68">
        <f>+SUM(H14:H25)</f>
        <v>2127036.7809999995</v>
      </c>
      <c r="I26" s="98">
        <f>+H26/G26</f>
        <v>1.0022435991792176</v>
      </c>
      <c r="J26" s="108">
        <f>+H26-G26</f>
        <v>4761.5349999992177</v>
      </c>
    </row>
    <row r="27" spans="1:10" ht="15" customHeight="1" thickBot="1" x14ac:dyDescent="0.3">
      <c r="E27" s="80"/>
      <c r="F27" s="179"/>
      <c r="G27" s="179"/>
      <c r="J27" s="179"/>
    </row>
    <row r="28" spans="1:10" ht="15" customHeight="1" thickBot="1" x14ac:dyDescent="0.3">
      <c r="E28" s="313">
        <f>+D26/F2</f>
        <v>0.31683569784910315</v>
      </c>
      <c r="F28" s="179"/>
      <c r="G28" s="179"/>
      <c r="J28" s="179"/>
    </row>
    <row r="29" spans="1:10" ht="15" customHeight="1" x14ac:dyDescent="0.25">
      <c r="D29" s="108">
        <f>+(F2/30)*10</f>
        <v>75895.185306588595</v>
      </c>
      <c r="E29" s="314">
        <f>+D29/F2</f>
        <v>0.33333333333333331</v>
      </c>
    </row>
    <row r="30" spans="1:10" ht="15" customHeight="1" x14ac:dyDescent="0.25">
      <c r="D30" s="183">
        <f>+D26-D29</f>
        <v>-3756.2733065885986</v>
      </c>
      <c r="E30" s="99">
        <f>E28-E29</f>
        <v>-1.6497635484230166E-2</v>
      </c>
    </row>
    <row r="31" spans="1:10" ht="15" customHeight="1" x14ac:dyDescent="0.25"/>
    <row r="32" spans="1:10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727</v>
      </c>
      <c r="D33" s="108">
        <v>2142</v>
      </c>
      <c r="E33" s="57">
        <f>+C33/D33</f>
        <v>0.33940242763772177</v>
      </c>
      <c r="G33" s="86" t="s">
        <v>86</v>
      </c>
      <c r="H33" s="87">
        <v>12199</v>
      </c>
      <c r="I33" s="88">
        <f>+H33*0.025</f>
        <v>304.97500000000002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1711</v>
      </c>
      <c r="D34" s="108">
        <v>1890</v>
      </c>
      <c r="E34" s="57">
        <f>+C34/D34</f>
        <v>0.90529100529100526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ht="15" customHeight="1" x14ac:dyDescent="0.25">
      <c r="B35" s="162" t="s">
        <v>63</v>
      </c>
      <c r="C35" s="67">
        <v>1069</v>
      </c>
      <c r="D35" s="108">
        <v>3006</v>
      </c>
      <c r="E35" s="57">
        <f>+C35/D35</f>
        <v>0.3556220891550233</v>
      </c>
      <c r="G35" s="89" t="s">
        <v>169</v>
      </c>
      <c r="H35" s="87">
        <v>283</v>
      </c>
      <c r="I35" s="88">
        <f>+H35*1.5</f>
        <v>424.5</v>
      </c>
      <c r="J35" s="298">
        <f>+I35+I33</f>
        <v>729.47500000000002</v>
      </c>
    </row>
    <row r="36" spans="1:11" ht="15" customHeight="1" x14ac:dyDescent="0.25">
      <c r="C36" s="162">
        <f>+SUM(C33:C35)</f>
        <v>3507</v>
      </c>
      <c r="D36" s="110">
        <f>+SUM(D33:D35)</f>
        <v>7038</v>
      </c>
      <c r="E36" s="57">
        <f>+C36/D36</f>
        <v>0.49829497016197782</v>
      </c>
      <c r="G36" s="89" t="s">
        <v>168</v>
      </c>
      <c r="H36" s="87">
        <v>24</v>
      </c>
      <c r="I36" s="88">
        <f>+H36*1.5</f>
        <v>36</v>
      </c>
      <c r="J36" s="228" t="s">
        <v>193</v>
      </c>
    </row>
    <row r="37" spans="1:11" ht="15" customHeight="1" x14ac:dyDescent="0.25">
      <c r="G37" s="231" t="s">
        <v>123</v>
      </c>
      <c r="H37" s="138">
        <v>231</v>
      </c>
      <c r="I37" s="232">
        <v>346.5</v>
      </c>
      <c r="J37" s="218" t="s">
        <v>146</v>
      </c>
    </row>
    <row r="38" spans="1:11" ht="15" customHeight="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</row>
    <row r="39" spans="1:11" ht="15" customHeight="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219</v>
      </c>
      <c r="I39" s="88">
        <f>+H39*1.5</f>
        <v>328.5</v>
      </c>
      <c r="J39" s="224" t="s">
        <v>152</v>
      </c>
    </row>
    <row r="40" spans="1:11" ht="15" customHeight="1" x14ac:dyDescent="0.25">
      <c r="B40" s="73">
        <v>12</v>
      </c>
      <c r="C40" s="74">
        <v>3</v>
      </c>
      <c r="D40" s="74">
        <v>16</v>
      </c>
      <c r="E40" s="75">
        <f>+SUM(B40:D40)</f>
        <v>31</v>
      </c>
      <c r="J40" s="218"/>
    </row>
    <row r="41" spans="1:11" ht="15" customHeight="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</row>
    <row r="42" spans="1:11" ht="15" customHeight="1" x14ac:dyDescent="0.25">
      <c r="D42" s="162"/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7.04</v>
      </c>
      <c r="C44" s="199">
        <v>1885</v>
      </c>
      <c r="D44" s="200">
        <v>3600</v>
      </c>
      <c r="E44" s="201">
        <f t="shared" si="3"/>
        <v>0.52361111111111114</v>
      </c>
      <c r="F44" s="201">
        <f t="shared" si="4"/>
        <v>0.29333333333333333</v>
      </c>
      <c r="G44" s="202">
        <v>12</v>
      </c>
      <c r="H44" s="71"/>
    </row>
    <row r="45" spans="1:11" x14ac:dyDescent="0.25">
      <c r="A45" s="207" t="s">
        <v>72</v>
      </c>
      <c r="B45" s="199">
        <v>6.29</v>
      </c>
      <c r="C45" s="199">
        <v>1323</v>
      </c>
      <c r="D45" s="200">
        <v>3900</v>
      </c>
      <c r="E45" s="201">
        <f t="shared" si="3"/>
        <v>0.33923076923076922</v>
      </c>
      <c r="F45" s="201">
        <f t="shared" si="4"/>
        <v>0.26208333333333333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4.8</v>
      </c>
      <c r="C46" s="199">
        <v>3162</v>
      </c>
      <c r="D46" s="200">
        <v>3900</v>
      </c>
      <c r="E46" s="201">
        <f t="shared" si="3"/>
        <v>0.8107692307692308</v>
      </c>
      <c r="F46" s="201">
        <f t="shared" si="4"/>
        <v>0.19999999999999998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5.97</v>
      </c>
      <c r="C47" s="199">
        <v>2241</v>
      </c>
      <c r="D47" s="200">
        <v>3900</v>
      </c>
      <c r="E47" s="201">
        <f t="shared" si="3"/>
        <v>0.57461538461538464</v>
      </c>
      <c r="F47" s="201">
        <f t="shared" si="4"/>
        <v>0.24875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5.21</v>
      </c>
      <c r="C48" s="261">
        <v>3097</v>
      </c>
      <c r="D48" s="262">
        <v>4300</v>
      </c>
      <c r="E48" s="263">
        <f t="shared" si="3"/>
        <v>0.72023255813953491</v>
      </c>
      <c r="F48" s="201">
        <f t="shared" si="4"/>
        <v>0.21708333333333332</v>
      </c>
      <c r="G48" s="202">
        <v>16</v>
      </c>
      <c r="H48" s="301"/>
      <c r="I48" s="129"/>
      <c r="K48" s="318">
        <f t="shared" si="5"/>
        <v>0</v>
      </c>
    </row>
    <row r="49" spans="2:11" x14ac:dyDescent="0.25">
      <c r="C49" s="71" t="s">
        <v>83</v>
      </c>
      <c r="D49" s="72" t="s">
        <v>79</v>
      </c>
      <c r="H49" s="301"/>
      <c r="I49" s="129"/>
      <c r="K49" s="318">
        <f t="shared" si="5"/>
        <v>0</v>
      </c>
    </row>
    <row r="50" spans="2:11" x14ac:dyDescent="0.25">
      <c r="B50" s="162" t="s">
        <v>78</v>
      </c>
      <c r="H50" s="301"/>
      <c r="I50" s="129"/>
      <c r="K50" s="318">
        <f t="shared" si="5"/>
        <v>0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+J47+J46</f>
        <v>168</v>
      </c>
      <c r="K52" s="346">
        <f t="shared" si="5"/>
        <v>252</v>
      </c>
    </row>
    <row r="53" spans="2:11" x14ac:dyDescent="0.25">
      <c r="C53" s="71">
        <v>3</v>
      </c>
      <c r="D53" s="225" t="s">
        <v>154</v>
      </c>
      <c r="J53" s="68">
        <f>+J68-338</f>
        <v>-112</v>
      </c>
    </row>
    <row r="54" spans="2:11" x14ac:dyDescent="0.25">
      <c r="C54" s="71">
        <v>4</v>
      </c>
      <c r="D54" s="108">
        <v>0</v>
      </c>
    </row>
    <row r="55" spans="2:11" x14ac:dyDescent="0.25">
      <c r="C55" s="71">
        <v>5</v>
      </c>
      <c r="D55" s="108">
        <v>4</v>
      </c>
    </row>
    <row r="56" spans="2:11" x14ac:dyDescent="0.25">
      <c r="C56" s="71">
        <v>6</v>
      </c>
      <c r="D56" s="108">
        <v>4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2354</v>
      </c>
      <c r="K57" s="318">
        <f>+J57*0.025</f>
        <v>58.85</v>
      </c>
    </row>
    <row r="58" spans="2:11" x14ac:dyDescent="0.25">
      <c r="C58" s="71">
        <v>8</v>
      </c>
      <c r="D58" s="225" t="s">
        <v>153</v>
      </c>
      <c r="H58" s="301"/>
      <c r="I58" s="129"/>
      <c r="K58" s="318"/>
    </row>
    <row r="59" spans="2:11" x14ac:dyDescent="0.25">
      <c r="H59" s="344"/>
      <c r="I59" s="345"/>
      <c r="J59" s="200">
        <f>+SUM(J56:J58)</f>
        <v>2354</v>
      </c>
      <c r="K59" s="346">
        <f>+J59*0.025</f>
        <v>58.85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45970</v>
      </c>
      <c r="I65" s="129" t="s">
        <v>176</v>
      </c>
      <c r="J65" s="68">
        <v>148</v>
      </c>
      <c r="K65" s="318">
        <f>+J65*1.5</f>
        <v>222</v>
      </c>
    </row>
    <row r="66" spans="8:11" x14ac:dyDescent="0.25">
      <c r="H66" s="301">
        <v>45971</v>
      </c>
      <c r="I66" s="129" t="s">
        <v>175</v>
      </c>
      <c r="J66" s="68">
        <v>78</v>
      </c>
      <c r="K66" s="318">
        <f>+J66*1.5</f>
        <v>117</v>
      </c>
    </row>
    <row r="67" spans="8:11" x14ac:dyDescent="0.25">
      <c r="H67" s="301"/>
      <c r="I67" s="129"/>
      <c r="K67" s="318"/>
    </row>
    <row r="68" spans="8:11" x14ac:dyDescent="0.25">
      <c r="H68" s="344"/>
      <c r="I68" s="345"/>
      <c r="J68" s="200">
        <f>+SUM(J65:J67)</f>
        <v>226</v>
      </c>
      <c r="K68" s="346">
        <f>+J68*1.5</f>
        <v>339</v>
      </c>
    </row>
    <row r="69" spans="8:11" x14ac:dyDescent="0.25">
      <c r="J69" s="68"/>
      <c r="K69" s="68"/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46" workbookViewId="0">
      <selection activeCell="A29" sqref="A29:K68"/>
    </sheetView>
  </sheetViews>
  <sheetFormatPr baseColWidth="10" defaultColWidth="11.42578125" defaultRowHeight="15.75" x14ac:dyDescent="0.25"/>
  <cols>
    <col min="1" max="1" width="2.42578125" style="162" customWidth="1"/>
    <col min="2" max="2" width="46" style="162" customWidth="1"/>
    <col min="3" max="3" width="13.28515625" style="162" customWidth="1"/>
    <col min="4" max="4" width="14.5703125" style="163" customWidth="1"/>
    <col min="5" max="5" width="13.28515625" style="162" customWidth="1"/>
    <col min="6" max="6" width="14" style="162" customWidth="1"/>
    <col min="7" max="7" width="14.42578125" style="162" customWidth="1"/>
    <col min="8" max="8" width="15.42578125" style="162" customWidth="1"/>
    <col min="9" max="10" width="11.42578125" style="162"/>
    <col min="11" max="11" width="6" style="162" bestFit="1" customWidth="1"/>
    <col min="12" max="16384" width="11.42578125" style="162"/>
  </cols>
  <sheetData>
    <row r="1" spans="1:10" ht="15" customHeight="1" x14ac:dyDescent="0.25">
      <c r="A1" s="161"/>
      <c r="B1" s="518">
        <v>45973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43"/>
      <c r="C4" s="343"/>
      <c r="D4" s="165">
        <f>D25</f>
        <v>9008.8180000000011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4675</v>
      </c>
      <c r="D5" s="172">
        <v>199.316</v>
      </c>
      <c r="E5" s="80">
        <f>+D5/$D$4</f>
        <v>2.2124545084604881E-2</v>
      </c>
      <c r="F5" s="58" t="s">
        <v>51</v>
      </c>
      <c r="G5" s="59">
        <v>45971</v>
      </c>
      <c r="H5" s="190">
        <v>6442.0000000000009</v>
      </c>
      <c r="I5" s="141">
        <v>7002.4360000000006</v>
      </c>
      <c r="J5" s="60">
        <f t="shared" ref="J5:J12" si="0">+I5/H5</f>
        <v>1.0869972058366966</v>
      </c>
    </row>
    <row r="6" spans="1:10" ht="15" customHeight="1" x14ac:dyDescent="0.25">
      <c r="A6" s="164"/>
      <c r="B6" s="169" t="s">
        <v>10</v>
      </c>
      <c r="C6" s="177">
        <v>11059</v>
      </c>
      <c r="D6" s="173">
        <v>472.07400000000001</v>
      </c>
      <c r="E6" s="80">
        <f t="shared" ref="E6:E22" si="1">+D6/$D$4</f>
        <v>5.2401325012892921E-2</v>
      </c>
      <c r="F6" s="58" t="s">
        <v>52</v>
      </c>
      <c r="G6" s="59">
        <v>45972</v>
      </c>
      <c r="H6" s="190">
        <v>9579</v>
      </c>
      <c r="I6" s="141">
        <v>8873.2800000000007</v>
      </c>
      <c r="J6" s="60">
        <f t="shared" si="0"/>
        <v>0.92632633886627003</v>
      </c>
    </row>
    <row r="7" spans="1:10" ht="15" customHeight="1" x14ac:dyDescent="0.25">
      <c r="A7" s="164"/>
      <c r="B7" s="169" t="s">
        <v>35</v>
      </c>
      <c r="C7" s="177">
        <v>20666</v>
      </c>
      <c r="D7" s="173">
        <v>881.75400000000002</v>
      </c>
      <c r="E7" s="80">
        <f t="shared" si="1"/>
        <v>9.7876769183260215E-2</v>
      </c>
      <c r="F7" s="58" t="s">
        <v>53</v>
      </c>
      <c r="G7" s="59">
        <v>45973</v>
      </c>
      <c r="H7" s="190">
        <v>9208</v>
      </c>
      <c r="I7" s="141">
        <v>9008.8180000000011</v>
      </c>
      <c r="J7" s="60">
        <f t="shared" si="0"/>
        <v>0.97836859252823649</v>
      </c>
    </row>
    <row r="8" spans="1:10" ht="15" customHeight="1" x14ac:dyDescent="0.25">
      <c r="A8" s="164"/>
      <c r="B8" s="169" t="s">
        <v>4</v>
      </c>
      <c r="C8" s="177">
        <v>2385</v>
      </c>
      <c r="D8" s="173">
        <v>101.66</v>
      </c>
      <c r="E8" s="80">
        <f t="shared" si="1"/>
        <v>1.1284499253953181E-2</v>
      </c>
      <c r="F8" s="58" t="s">
        <v>54</v>
      </c>
      <c r="G8" s="59">
        <v>45974</v>
      </c>
      <c r="H8" s="190">
        <v>9788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34765</v>
      </c>
      <c r="D9" s="173">
        <v>1482.5219999999999</v>
      </c>
      <c r="E9" s="245">
        <f t="shared" si="1"/>
        <v>0.16456343107386559</v>
      </c>
      <c r="F9" s="58" t="s">
        <v>55</v>
      </c>
      <c r="G9" s="59">
        <v>45975</v>
      </c>
      <c r="H9" s="190">
        <v>6750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60487</v>
      </c>
      <c r="D10" s="173">
        <v>2577.9720000000002</v>
      </c>
      <c r="E10" s="245">
        <f t="shared" si="1"/>
        <v>0.28616095918465662</v>
      </c>
      <c r="F10" s="58" t="s">
        <v>56</v>
      </c>
      <c r="G10" s="59">
        <v>45976</v>
      </c>
      <c r="H10" s="190">
        <v>6949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14445</v>
      </c>
      <c r="D11" s="173">
        <v>616.25</v>
      </c>
      <c r="E11" s="80">
        <f t="shared" si="1"/>
        <v>6.8405200327057325E-2</v>
      </c>
      <c r="F11" s="58" t="s">
        <v>57</v>
      </c>
      <c r="G11" s="59">
        <v>45977</v>
      </c>
      <c r="H11" s="190">
        <v>6147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34</v>
      </c>
      <c r="C12" s="177"/>
      <c r="D12" s="173"/>
      <c r="E12" s="80">
        <f t="shared" si="1"/>
        <v>0</v>
      </c>
      <c r="H12" s="139">
        <f>+SUM(H5:H11)</f>
        <v>54863</v>
      </c>
      <c r="I12" s="142">
        <f>+SUM(I5:I11)</f>
        <v>24884.534</v>
      </c>
      <c r="J12" s="140">
        <f t="shared" si="0"/>
        <v>0.45357588903268142</v>
      </c>
    </row>
    <row r="13" spans="1:10" ht="15" customHeight="1" x14ac:dyDescent="0.25">
      <c r="A13" s="164"/>
      <c r="B13" s="169" t="s">
        <v>196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88</v>
      </c>
      <c r="D14" s="173">
        <v>132.97</v>
      </c>
      <c r="E14" s="80">
        <f t="shared" si="1"/>
        <v>1.4759982941158316E-2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452</v>
      </c>
      <c r="D15" s="173">
        <v>682.19</v>
      </c>
      <c r="E15" s="80">
        <f t="shared" si="1"/>
        <v>7.5724695514994306E-2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408</v>
      </c>
      <c r="D16" s="173">
        <v>616.26</v>
      </c>
      <c r="E16" s="80">
        <f t="shared" si="1"/>
        <v>6.8406310350592039E-2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88</v>
      </c>
      <c r="C17" s="177"/>
      <c r="D17" s="173"/>
      <c r="E17" s="80">
        <f t="shared" si="1"/>
        <v>0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49</v>
      </c>
      <c r="C18" s="177">
        <v>40</v>
      </c>
      <c r="D18" s="173">
        <v>60.24</v>
      </c>
      <c r="E18" s="80">
        <f t="shared" si="1"/>
        <v>6.6867817731471541E-3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260</v>
      </c>
      <c r="D20" s="173">
        <v>391.91</v>
      </c>
      <c r="E20" s="80">
        <f t="shared" si="1"/>
        <v>4.3502932349171665E-2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85</v>
      </c>
      <c r="C21" s="177">
        <v>20</v>
      </c>
      <c r="D21" s="173">
        <v>30.12</v>
      </c>
      <c r="E21" s="80">
        <f t="shared" si="1"/>
        <v>3.343390886573577E-3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40</v>
      </c>
      <c r="C22" s="177"/>
      <c r="D22" s="173">
        <v>704.18</v>
      </c>
      <c r="E22" s="80">
        <f t="shared" si="1"/>
        <v>7.8165637267841342E-2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29.93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46</v>
      </c>
      <c r="C24" s="177"/>
      <c r="D24" s="173">
        <v>29.47</v>
      </c>
      <c r="E24" s="80"/>
      <c r="F24" s="112" t="s">
        <v>198</v>
      </c>
      <c r="G24" s="190"/>
      <c r="H24" s="272"/>
      <c r="I24" s="98" t="e">
        <f t="shared" si="2"/>
        <v>#DIV/0!</v>
      </c>
      <c r="J24" s="108"/>
    </row>
    <row r="25" spans="1:10" ht="15" customHeight="1" thickBot="1" x14ac:dyDescent="0.3">
      <c r="B25" s="178" t="s">
        <v>0</v>
      </c>
      <c r="C25" s="170"/>
      <c r="D25" s="171">
        <f>SUM(D5:D24)</f>
        <v>9008.8180000000011</v>
      </c>
      <c r="E25" s="80"/>
      <c r="F25" s="112" t="s">
        <v>199</v>
      </c>
      <c r="G25" s="190"/>
      <c r="H25" s="272"/>
      <c r="I25" s="98" t="e">
        <f t="shared" si="2"/>
        <v>#DIV/0!</v>
      </c>
      <c r="J25" s="108"/>
    </row>
    <row r="26" spans="1:10" ht="15" customHeight="1" x14ac:dyDescent="0.25">
      <c r="B26" s="166" t="s">
        <v>1</v>
      </c>
      <c r="C26" s="167"/>
      <c r="D26" s="233">
        <v>90084.157999999996</v>
      </c>
      <c r="E26" s="80"/>
      <c r="G26" s="68">
        <f>+SUM(G14:G25)</f>
        <v>2122275.2460000003</v>
      </c>
      <c r="H26" s="68">
        <f>+SUM(H14:H25)</f>
        <v>2127036.7809999995</v>
      </c>
      <c r="I26" s="98">
        <f>+H26/G26</f>
        <v>1.0022435991792176</v>
      </c>
      <c r="J26" s="108">
        <f>+H26-G26</f>
        <v>4761.5349999992177</v>
      </c>
    </row>
    <row r="27" spans="1:10" ht="15" customHeight="1" thickBot="1" x14ac:dyDescent="0.3">
      <c r="E27" s="80"/>
      <c r="F27" s="179"/>
      <c r="G27" s="179"/>
      <c r="J27" s="179"/>
    </row>
    <row r="28" spans="1:10" ht="15" customHeight="1" thickBot="1" x14ac:dyDescent="0.3">
      <c r="E28" s="313">
        <f>+D26/F2</f>
        <v>0.39565161538725269</v>
      </c>
      <c r="F28" s="179"/>
      <c r="G28" s="179"/>
      <c r="J28" s="179"/>
    </row>
    <row r="29" spans="1:10" ht="15" customHeight="1" x14ac:dyDescent="0.25">
      <c r="D29" s="108">
        <f>+(F2/30)*12</f>
        <v>91074.222367906317</v>
      </c>
      <c r="E29" s="314">
        <f>+D29/F2</f>
        <v>0.39999999999999997</v>
      </c>
    </row>
    <row r="30" spans="1:10" ht="15" customHeight="1" x14ac:dyDescent="0.25">
      <c r="D30" s="183">
        <f>+D26-D29</f>
        <v>-990.06436790632142</v>
      </c>
      <c r="E30" s="99">
        <f>E28-E29</f>
        <v>-4.3483846127472803E-3</v>
      </c>
    </row>
    <row r="31" spans="1:10" ht="15" customHeight="1" x14ac:dyDescent="0.25"/>
    <row r="32" spans="1:10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750</v>
      </c>
      <c r="D33" s="108">
        <v>2142</v>
      </c>
      <c r="E33" s="57">
        <f>+C33/D33</f>
        <v>0.35014005602240894</v>
      </c>
      <c r="G33" s="86" t="s">
        <v>86</v>
      </c>
      <c r="H33" s="87">
        <v>14142</v>
      </c>
      <c r="I33" s="88">
        <f>+H33*0.025</f>
        <v>353.55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1188</v>
      </c>
      <c r="D34" s="108">
        <v>1890</v>
      </c>
      <c r="E34" s="57">
        <f>+C34/D34</f>
        <v>0.62857142857142856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ht="15" customHeight="1" x14ac:dyDescent="0.25">
      <c r="B35" s="162" t="s">
        <v>63</v>
      </c>
      <c r="C35" s="67">
        <v>907</v>
      </c>
      <c r="D35" s="108">
        <v>3006</v>
      </c>
      <c r="E35" s="57">
        <f>+C35/D35</f>
        <v>0.30172987358616099</v>
      </c>
      <c r="G35" s="89" t="s">
        <v>169</v>
      </c>
      <c r="H35" s="87">
        <v>263</v>
      </c>
      <c r="I35" s="88">
        <f>+H35*1.5</f>
        <v>394.5</v>
      </c>
      <c r="J35" s="298">
        <f>+I35+I33</f>
        <v>748.05</v>
      </c>
    </row>
    <row r="36" spans="1:11" ht="15" customHeight="1" x14ac:dyDescent="0.25">
      <c r="C36" s="162">
        <f>+SUM(C33:C35)</f>
        <v>2845</v>
      </c>
      <c r="D36" s="110">
        <f>+SUM(D33:D35)</f>
        <v>7038</v>
      </c>
      <c r="E36" s="57">
        <f>+C36/D36</f>
        <v>0.40423415743108837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ht="15" customHeight="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ht="15" customHeight="1" x14ac:dyDescent="0.25">
      <c r="B38" s="162" t="s">
        <v>66</v>
      </c>
      <c r="D38" s="162"/>
      <c r="G38" s="89" t="s">
        <v>170</v>
      </c>
      <c r="H38" s="87">
        <v>47</v>
      </c>
      <c r="I38" s="88">
        <f>+H38*1.5</f>
        <v>70.5</v>
      </c>
      <c r="J38" s="224" t="s">
        <v>206</v>
      </c>
    </row>
    <row r="39" spans="1:11" ht="15" customHeight="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ht="15" customHeight="1" x14ac:dyDescent="0.25">
      <c r="B40" s="73">
        <v>14</v>
      </c>
      <c r="C40" s="74">
        <v>0</v>
      </c>
      <c r="D40" s="74">
        <v>14</v>
      </c>
      <c r="E40" s="75">
        <f>+SUM(B40:D40)</f>
        <v>28</v>
      </c>
      <c r="J40" s="218"/>
    </row>
    <row r="41" spans="1:11" ht="15" customHeight="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</row>
    <row r="42" spans="1:11" ht="15" customHeight="1" x14ac:dyDescent="0.25">
      <c r="D42" s="162"/>
      <c r="G42" s="71" t="s">
        <v>90</v>
      </c>
      <c r="H42" s="144" t="s">
        <v>120</v>
      </c>
      <c r="I42" s="145">
        <v>0</v>
      </c>
      <c r="J42" s="218"/>
    </row>
    <row r="43" spans="1:11" ht="15" customHeight="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ht="15" customHeight="1" x14ac:dyDescent="0.25">
      <c r="A44" s="207" t="s">
        <v>71</v>
      </c>
      <c r="B44" s="199">
        <v>14.36</v>
      </c>
      <c r="C44" s="199">
        <v>2161</v>
      </c>
      <c r="D44" s="200">
        <v>3600</v>
      </c>
      <c r="E44" s="201">
        <f t="shared" si="3"/>
        <v>0.6002777777777778</v>
      </c>
      <c r="F44" s="201">
        <f t="shared" si="4"/>
        <v>0.59833333333333327</v>
      </c>
      <c r="G44" s="202">
        <v>12</v>
      </c>
      <c r="H44" s="71"/>
    </row>
    <row r="45" spans="1:11" ht="15" customHeight="1" x14ac:dyDescent="0.25">
      <c r="A45" s="207" t="s">
        <v>72</v>
      </c>
      <c r="B45" s="199">
        <v>10.99</v>
      </c>
      <c r="C45" s="199">
        <v>1378</v>
      </c>
      <c r="D45" s="200">
        <v>3900</v>
      </c>
      <c r="E45" s="201">
        <f t="shared" si="3"/>
        <v>0.35333333333333333</v>
      </c>
      <c r="F45" s="201">
        <f t="shared" si="4"/>
        <v>0.45791666666666669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7.57</v>
      </c>
      <c r="C46" s="199">
        <v>2266</v>
      </c>
      <c r="D46" s="200">
        <v>3900</v>
      </c>
      <c r="E46" s="201">
        <f t="shared" si="3"/>
        <v>0.58102564102564103</v>
      </c>
      <c r="F46" s="201">
        <f t="shared" si="4"/>
        <v>0.31541666666666668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17.260000000000002</v>
      </c>
      <c r="C47" s="199">
        <v>2878</v>
      </c>
      <c r="D47" s="200">
        <v>3900</v>
      </c>
      <c r="E47" s="201">
        <f t="shared" si="3"/>
        <v>0.73794871794871797</v>
      </c>
      <c r="F47" s="201">
        <f t="shared" si="4"/>
        <v>0.71916666666666673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9.24</v>
      </c>
      <c r="C48" s="261">
        <v>2690</v>
      </c>
      <c r="D48" s="262">
        <v>4300</v>
      </c>
      <c r="E48" s="263">
        <f t="shared" si="3"/>
        <v>0.62558139534883717</v>
      </c>
      <c r="F48" s="201">
        <f t="shared" si="4"/>
        <v>0.38500000000000001</v>
      </c>
      <c r="G48" s="202">
        <v>16</v>
      </c>
      <c r="H48" s="301"/>
      <c r="I48" s="129"/>
      <c r="K48" s="318">
        <f t="shared" si="5"/>
        <v>0</v>
      </c>
    </row>
    <row r="49" spans="2:11" x14ac:dyDescent="0.25">
      <c r="C49" s="71" t="s">
        <v>83</v>
      </c>
      <c r="D49" s="72" t="s">
        <v>79</v>
      </c>
      <c r="H49" s="301"/>
      <c r="I49" s="129"/>
      <c r="K49" s="318">
        <f t="shared" si="5"/>
        <v>0</v>
      </c>
    </row>
    <row r="50" spans="2:11" x14ac:dyDescent="0.25">
      <c r="B50" s="162" t="s">
        <v>78</v>
      </c>
      <c r="H50" s="301"/>
      <c r="I50" s="129"/>
      <c r="K50" s="318">
        <f t="shared" si="5"/>
        <v>0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+J47+J46</f>
        <v>168</v>
      </c>
      <c r="K52" s="346">
        <f t="shared" si="5"/>
        <v>252</v>
      </c>
    </row>
    <row r="53" spans="2:11" x14ac:dyDescent="0.25">
      <c r="C53" s="71">
        <v>3</v>
      </c>
      <c r="D53" s="225" t="s">
        <v>154</v>
      </c>
      <c r="J53" s="68">
        <f>+J68-338</f>
        <v>-112</v>
      </c>
    </row>
    <row r="54" spans="2:11" x14ac:dyDescent="0.25">
      <c r="C54" s="71">
        <v>4</v>
      </c>
      <c r="D54" s="108">
        <v>0</v>
      </c>
    </row>
    <row r="55" spans="2:11" x14ac:dyDescent="0.25">
      <c r="C55" s="71">
        <v>5</v>
      </c>
      <c r="D55" s="108">
        <v>8</v>
      </c>
    </row>
    <row r="56" spans="2:11" x14ac:dyDescent="0.25">
      <c r="C56" s="71">
        <v>6</v>
      </c>
      <c r="D56" s="108">
        <v>8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2354</v>
      </c>
      <c r="K57" s="318">
        <f>+J57*0.025</f>
        <v>58.85</v>
      </c>
    </row>
    <row r="58" spans="2:11" x14ac:dyDescent="0.25">
      <c r="C58" s="71">
        <v>8</v>
      </c>
      <c r="D58" s="225" t="s">
        <v>153</v>
      </c>
      <c r="H58" s="301"/>
      <c r="I58" s="129"/>
      <c r="K58" s="318"/>
    </row>
    <row r="59" spans="2:11" x14ac:dyDescent="0.25">
      <c r="H59" s="344"/>
      <c r="I59" s="345"/>
      <c r="J59" s="200">
        <f>+SUM(J56:J58)</f>
        <v>2354</v>
      </c>
      <c r="K59" s="346">
        <f>+J59*0.025</f>
        <v>58.85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45970</v>
      </c>
      <c r="I65" s="129" t="s">
        <v>176</v>
      </c>
      <c r="J65" s="68">
        <v>148</v>
      </c>
      <c r="K65" s="318">
        <f>+J65*1.5</f>
        <v>222</v>
      </c>
    </row>
    <row r="66" spans="8:11" x14ac:dyDescent="0.25">
      <c r="H66" s="301">
        <v>45971</v>
      </c>
      <c r="I66" s="129" t="s">
        <v>175</v>
      </c>
      <c r="J66" s="68">
        <v>78</v>
      </c>
      <c r="K66" s="318">
        <f>+J66*1.5</f>
        <v>117</v>
      </c>
    </row>
    <row r="67" spans="8:11" x14ac:dyDescent="0.25">
      <c r="H67" s="301"/>
      <c r="I67" s="129"/>
      <c r="K67" s="318"/>
    </row>
    <row r="68" spans="8:11" x14ac:dyDescent="0.25">
      <c r="H68" s="344"/>
      <c r="I68" s="345"/>
      <c r="J68" s="200">
        <f>+SUM(J65:J67)</f>
        <v>226</v>
      </c>
      <c r="K68" s="346">
        <f>+J68*1.5</f>
        <v>339</v>
      </c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58" workbookViewId="0">
      <selection activeCell="A27" sqref="A27:L73"/>
    </sheetView>
  </sheetViews>
  <sheetFormatPr baseColWidth="10" defaultColWidth="11.42578125" defaultRowHeight="15.75" x14ac:dyDescent="0.25"/>
  <cols>
    <col min="1" max="1" width="2.42578125" style="162" customWidth="1"/>
    <col min="2" max="2" width="47.85546875" style="162" customWidth="1"/>
    <col min="3" max="3" width="13.28515625" style="162" customWidth="1"/>
    <col min="4" max="4" width="14.5703125" style="163" customWidth="1"/>
    <col min="5" max="5" width="13.28515625" style="162" customWidth="1"/>
    <col min="6" max="6" width="14" style="162" customWidth="1"/>
    <col min="7" max="7" width="14.42578125" style="162" customWidth="1"/>
    <col min="8" max="8" width="15.42578125" style="162" customWidth="1"/>
    <col min="9" max="10" width="11.42578125" style="162"/>
    <col min="11" max="11" width="6" style="162" bestFit="1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43"/>
      <c r="C4" s="343"/>
      <c r="D4" s="165">
        <f>D25</f>
        <v>8361.1220000000012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6982</v>
      </c>
      <c r="D5" s="172">
        <v>297.69400000000002</v>
      </c>
      <c r="E5" s="80">
        <f>+D5/$D$4</f>
        <v>3.5604551637926106E-2</v>
      </c>
      <c r="F5" s="58" t="s">
        <v>51</v>
      </c>
      <c r="G5" s="59">
        <v>45971</v>
      </c>
      <c r="H5" s="190">
        <v>6442.0000000000009</v>
      </c>
      <c r="I5" s="141">
        <v>7002.4360000000006</v>
      </c>
      <c r="J5" s="60">
        <f t="shared" ref="J5:J12" si="0">+I5/H5</f>
        <v>1.0869972058366966</v>
      </c>
    </row>
    <row r="6" spans="1:10" ht="15" customHeight="1" x14ac:dyDescent="0.25">
      <c r="A6" s="164"/>
      <c r="B6" s="169" t="s">
        <v>10</v>
      </c>
      <c r="C6" s="177">
        <v>7825</v>
      </c>
      <c r="D6" s="173">
        <v>333.798</v>
      </c>
      <c r="E6" s="80">
        <f t="shared" ref="E6:E22" si="1">+D6/$D$4</f>
        <v>3.9922632393116615E-2</v>
      </c>
      <c r="F6" s="58" t="s">
        <v>52</v>
      </c>
      <c r="G6" s="59">
        <v>45972</v>
      </c>
      <c r="H6" s="190">
        <v>9579</v>
      </c>
      <c r="I6" s="141">
        <v>8873.2800000000007</v>
      </c>
      <c r="J6" s="60">
        <f t="shared" si="0"/>
        <v>0.92632633886627003</v>
      </c>
    </row>
    <row r="7" spans="1:10" ht="15" customHeight="1" x14ac:dyDescent="0.25">
      <c r="A7" s="164"/>
      <c r="B7" s="169" t="s">
        <v>35</v>
      </c>
      <c r="C7" s="177">
        <v>21284</v>
      </c>
      <c r="D7" s="173">
        <v>908.02599999999995</v>
      </c>
      <c r="E7" s="80">
        <f t="shared" si="1"/>
        <v>0.10860097484524205</v>
      </c>
      <c r="F7" s="58" t="s">
        <v>53</v>
      </c>
      <c r="G7" s="59">
        <v>45973</v>
      </c>
      <c r="H7" s="190">
        <v>9208</v>
      </c>
      <c r="I7" s="141">
        <v>9008.8180000000011</v>
      </c>
      <c r="J7" s="60">
        <f t="shared" si="0"/>
        <v>0.97836859252823649</v>
      </c>
    </row>
    <row r="8" spans="1:10" ht="15" customHeight="1" x14ac:dyDescent="0.25">
      <c r="A8" s="164"/>
      <c r="B8" s="169" t="s">
        <v>4</v>
      </c>
      <c r="C8" s="177">
        <v>2258</v>
      </c>
      <c r="D8" s="173">
        <v>96.43</v>
      </c>
      <c r="E8" s="80">
        <f t="shared" si="1"/>
        <v>1.1533141126274678E-2</v>
      </c>
      <c r="F8" s="58" t="s">
        <v>54</v>
      </c>
      <c r="G8" s="59">
        <v>45974</v>
      </c>
      <c r="H8" s="190">
        <v>9788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44124</v>
      </c>
      <c r="D9" s="173">
        <v>1881.5920000000001</v>
      </c>
      <c r="E9" s="245">
        <f t="shared" si="1"/>
        <v>0.22504061057834102</v>
      </c>
      <c r="F9" s="58" t="s">
        <v>55</v>
      </c>
      <c r="G9" s="59">
        <v>45975</v>
      </c>
      <c r="H9" s="190">
        <v>6750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46249</v>
      </c>
      <c r="D10" s="173">
        <v>1970.0319999999999</v>
      </c>
      <c r="E10" s="245">
        <f t="shared" si="1"/>
        <v>0.23561813833119521</v>
      </c>
      <c r="F10" s="58" t="s">
        <v>56</v>
      </c>
      <c r="G10" s="59">
        <v>45976</v>
      </c>
      <c r="H10" s="190">
        <v>6949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14118</v>
      </c>
      <c r="D11" s="173">
        <v>602.28</v>
      </c>
      <c r="E11" s="80">
        <f t="shared" si="1"/>
        <v>7.2033394561160563E-2</v>
      </c>
      <c r="F11" s="58" t="s">
        <v>57</v>
      </c>
      <c r="G11" s="59">
        <v>45977</v>
      </c>
      <c r="H11" s="190">
        <v>6147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34</v>
      </c>
      <c r="C12" s="177"/>
      <c r="D12" s="173"/>
      <c r="E12" s="80">
        <f t="shared" si="1"/>
        <v>0</v>
      </c>
      <c r="H12" s="139">
        <f>+SUM(H5:H11)</f>
        <v>54863</v>
      </c>
      <c r="I12" s="142">
        <f>+SUM(I5:I11)</f>
        <v>24884.534</v>
      </c>
      <c r="J12" s="140">
        <f t="shared" si="0"/>
        <v>0.45357588903268142</v>
      </c>
    </row>
    <row r="13" spans="1:10" ht="15" customHeight="1" x14ac:dyDescent="0.25">
      <c r="A13" s="164"/>
      <c r="B13" s="169" t="s">
        <v>196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/>
      <c r="D14" s="173"/>
      <c r="E14" s="80">
        <f t="shared" si="1"/>
        <v>0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548</v>
      </c>
      <c r="D15" s="173">
        <v>827.31</v>
      </c>
      <c r="E15" s="80">
        <f t="shared" si="1"/>
        <v>9.8947246553751977E-2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223</v>
      </c>
      <c r="D16" s="173">
        <v>336.47</v>
      </c>
      <c r="E16" s="80">
        <f t="shared" si="1"/>
        <v>4.024220672775735E-2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88</v>
      </c>
      <c r="C17" s="177">
        <v>40</v>
      </c>
      <c r="D17" s="173">
        <v>60.73</v>
      </c>
      <c r="E17" s="80">
        <f t="shared" si="1"/>
        <v>7.2633792450343369E-3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49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>
        <v>24</v>
      </c>
      <c r="D19" s="173">
        <v>36.11</v>
      </c>
      <c r="E19" s="80">
        <f t="shared" si="1"/>
        <v>4.3187983622293745E-3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187</v>
      </c>
      <c r="D20" s="173">
        <v>281.93</v>
      </c>
      <c r="E20" s="80">
        <f t="shared" si="1"/>
        <v>3.3719158744484286E-2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184</v>
      </c>
      <c r="C21" s="177"/>
      <c r="D21" s="173">
        <v>32.340000000000003</v>
      </c>
      <c r="E21" s="80">
        <f t="shared" si="1"/>
        <v>3.8679019394765438E-3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40</v>
      </c>
      <c r="C22" s="177"/>
      <c r="D22" s="173">
        <v>485.4</v>
      </c>
      <c r="E22" s="80">
        <f t="shared" si="1"/>
        <v>5.8054409444091341E-2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61.29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46</v>
      </c>
      <c r="C24" s="177"/>
      <c r="D24" s="173">
        <v>149.69</v>
      </c>
      <c r="E24" s="80"/>
      <c r="F24" s="112" t="s">
        <v>198</v>
      </c>
      <c r="G24" s="190"/>
      <c r="H24" s="272"/>
      <c r="I24" s="98" t="e">
        <f t="shared" si="2"/>
        <v>#DIV/0!</v>
      </c>
      <c r="J24" s="108"/>
    </row>
    <row r="25" spans="1:10" ht="15" customHeight="1" thickBot="1" x14ac:dyDescent="0.3">
      <c r="B25" s="178" t="s">
        <v>0</v>
      </c>
      <c r="C25" s="170"/>
      <c r="D25" s="171">
        <f>SUM(D5:D24)</f>
        <v>8361.1220000000012</v>
      </c>
      <c r="E25" s="80"/>
      <c r="F25" s="112" t="s">
        <v>199</v>
      </c>
      <c r="G25" s="190"/>
      <c r="H25" s="272"/>
      <c r="I25" s="98" t="e">
        <f t="shared" si="2"/>
        <v>#DIV/0!</v>
      </c>
      <c r="J25" s="108"/>
    </row>
    <row r="26" spans="1:10" ht="15" customHeight="1" x14ac:dyDescent="0.25">
      <c r="B26" s="166" t="s">
        <v>1</v>
      </c>
      <c r="C26" s="167"/>
      <c r="D26" s="233">
        <v>98445.28</v>
      </c>
      <c r="E26" s="80"/>
      <c r="G26" s="68">
        <f>+SUM(G14:G25)</f>
        <v>2122275.2460000003</v>
      </c>
      <c r="H26" s="68">
        <f>+SUM(H14:H25)</f>
        <v>2127036.7809999995</v>
      </c>
      <c r="I26" s="98">
        <f>+H26/G26</f>
        <v>1.0022435991792176</v>
      </c>
      <c r="J26" s="108">
        <f>+H26-G26</f>
        <v>4761.5349999992177</v>
      </c>
    </row>
    <row r="27" spans="1:10" ht="15" customHeight="1" thickBot="1" x14ac:dyDescent="0.3">
      <c r="E27" s="80"/>
      <c r="F27" s="179"/>
      <c r="G27" s="179"/>
      <c r="J27" s="179"/>
    </row>
    <row r="28" spans="1:10" ht="15" customHeight="1" thickBot="1" x14ac:dyDescent="0.3">
      <c r="E28" s="313">
        <f>+D26/F2</f>
        <v>0.43237384823256492</v>
      </c>
      <c r="F28" s="179"/>
      <c r="G28" s="179"/>
      <c r="J28" s="179"/>
    </row>
    <row r="29" spans="1:10" ht="15" customHeight="1" x14ac:dyDescent="0.25">
      <c r="D29" s="108">
        <f>+(F2/30)*13</f>
        <v>98663.740898565185</v>
      </c>
      <c r="E29" s="314">
        <f>+D29/F2</f>
        <v>0.43333333333333335</v>
      </c>
    </row>
    <row r="30" spans="1:10" ht="15" customHeight="1" x14ac:dyDescent="0.25">
      <c r="D30" s="183">
        <f>+D26-D29</f>
        <v>-218.46089856518665</v>
      </c>
      <c r="E30" s="99">
        <f>E28-E29</f>
        <v>-9.594851007684313E-4</v>
      </c>
    </row>
    <row r="31" spans="1:10" ht="15" customHeight="1" x14ac:dyDescent="0.25"/>
    <row r="32" spans="1:10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750</v>
      </c>
      <c r="D33" s="108">
        <v>2142</v>
      </c>
      <c r="E33" s="57">
        <f>+C33/D33</f>
        <v>0.35014005602240894</v>
      </c>
      <c r="G33" s="86" t="s">
        <v>86</v>
      </c>
      <c r="H33" s="87">
        <v>14142</v>
      </c>
      <c r="I33" s="88">
        <f>+H33*0.025</f>
        <v>353.55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1373</v>
      </c>
      <c r="D34" s="108">
        <v>1890</v>
      </c>
      <c r="E34" s="57">
        <f>+C34/D34</f>
        <v>0.72645502645502646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ht="15" customHeight="1" x14ac:dyDescent="0.25">
      <c r="B35" s="162" t="s">
        <v>63</v>
      </c>
      <c r="C35" s="67">
        <v>1708</v>
      </c>
      <c r="D35" s="108">
        <v>3006</v>
      </c>
      <c r="E35" s="57">
        <f>+C35/D35</f>
        <v>0.56819693945442451</v>
      </c>
      <c r="G35" s="89" t="s">
        <v>169</v>
      </c>
      <c r="H35" s="87">
        <v>223</v>
      </c>
      <c r="I35" s="88">
        <f>+H35*1.5</f>
        <v>334.5</v>
      </c>
      <c r="J35" s="298">
        <f>+I35+I33</f>
        <v>688.05</v>
      </c>
    </row>
    <row r="36" spans="1:11" ht="15" customHeight="1" x14ac:dyDescent="0.25">
      <c r="C36" s="162">
        <f>+SUM(C33:C35)</f>
        <v>3831</v>
      </c>
      <c r="D36" s="110">
        <f>+SUM(D33:D35)</f>
        <v>7038</v>
      </c>
      <c r="E36" s="57">
        <f>+C36/D36</f>
        <v>0.54433077578857625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ht="15" customHeight="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ht="15" customHeight="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ht="15" customHeight="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ht="15" customHeight="1" x14ac:dyDescent="0.25">
      <c r="B40" s="73">
        <v>17</v>
      </c>
      <c r="C40" s="74">
        <v>7</v>
      </c>
      <c r="D40" s="74">
        <v>21</v>
      </c>
      <c r="E40" s="75">
        <f>+SUM(B40:D40)</f>
        <v>45</v>
      </c>
      <c r="J40" s="218"/>
    </row>
    <row r="41" spans="1:11" ht="15" customHeight="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</row>
    <row r="42" spans="1:11" ht="15" customHeight="1" x14ac:dyDescent="0.25">
      <c r="D42" s="162"/>
      <c r="G42" s="71" t="s">
        <v>90</v>
      </c>
      <c r="H42" s="144" t="s">
        <v>120</v>
      </c>
      <c r="I42" s="145">
        <v>0</v>
      </c>
      <c r="J42" s="218"/>
    </row>
    <row r="43" spans="1:11" ht="15" customHeight="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ht="15" customHeight="1" x14ac:dyDescent="0.25">
      <c r="A44" s="207" t="s">
        <v>71</v>
      </c>
      <c r="B44" s="199">
        <v>7.95</v>
      </c>
      <c r="C44" s="199">
        <v>2288</v>
      </c>
      <c r="D44" s="200">
        <v>3600</v>
      </c>
      <c r="E44" s="201">
        <f t="shared" si="3"/>
        <v>0.63555555555555554</v>
      </c>
      <c r="F44" s="201">
        <f t="shared" si="4"/>
        <v>0.33124999999999999</v>
      </c>
      <c r="G44" s="202">
        <v>12</v>
      </c>
      <c r="H44" s="71"/>
    </row>
    <row r="45" spans="1:11" ht="15" customHeight="1" x14ac:dyDescent="0.25">
      <c r="A45" s="207" t="s">
        <v>72</v>
      </c>
      <c r="B45" s="199">
        <v>8.7100000000000009</v>
      </c>
      <c r="C45" s="199">
        <v>1392</v>
      </c>
      <c r="D45" s="200">
        <v>3900</v>
      </c>
      <c r="E45" s="201">
        <f t="shared" si="3"/>
        <v>0.3569230769230769</v>
      </c>
      <c r="F45" s="201">
        <f t="shared" si="4"/>
        <v>0.36291666666666672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16.059999999999999</v>
      </c>
      <c r="C46" s="199">
        <v>3208</v>
      </c>
      <c r="D46" s="200">
        <v>3900</v>
      </c>
      <c r="E46" s="201">
        <f t="shared" si="3"/>
        <v>0.82256410256410262</v>
      </c>
      <c r="F46" s="201">
        <f t="shared" si="4"/>
        <v>0.66916666666666658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12.94</v>
      </c>
      <c r="C47" s="199">
        <v>2864</v>
      </c>
      <c r="D47" s="200">
        <v>3900</v>
      </c>
      <c r="E47" s="201">
        <f t="shared" si="3"/>
        <v>0.73435897435897435</v>
      </c>
      <c r="F47" s="201">
        <f t="shared" si="4"/>
        <v>0.53916666666666668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13.05</v>
      </c>
      <c r="C48" s="261">
        <v>2992</v>
      </c>
      <c r="D48" s="262">
        <v>4300</v>
      </c>
      <c r="E48" s="263">
        <f t="shared" si="3"/>
        <v>0.69581395348837205</v>
      </c>
      <c r="F48" s="201">
        <f t="shared" si="4"/>
        <v>0.54375000000000007</v>
      </c>
      <c r="G48" s="202">
        <v>16</v>
      </c>
      <c r="H48" s="301"/>
      <c r="I48" s="129"/>
      <c r="K48" s="318">
        <f t="shared" si="5"/>
        <v>0</v>
      </c>
    </row>
    <row r="49" spans="2:11" x14ac:dyDescent="0.25">
      <c r="C49" s="71" t="s">
        <v>83</v>
      </c>
      <c r="D49" s="72" t="s">
        <v>79</v>
      </c>
      <c r="H49" s="301"/>
      <c r="I49" s="129"/>
      <c r="K49" s="318">
        <f t="shared" si="5"/>
        <v>0</v>
      </c>
    </row>
    <row r="50" spans="2:11" x14ac:dyDescent="0.25">
      <c r="B50" s="162" t="s">
        <v>78</v>
      </c>
      <c r="H50" s="301"/>
      <c r="I50" s="129"/>
      <c r="K50" s="318">
        <f t="shared" si="5"/>
        <v>0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+J47+J46</f>
        <v>168</v>
      </c>
      <c r="K52" s="346">
        <f t="shared" si="5"/>
        <v>252</v>
      </c>
    </row>
    <row r="53" spans="2:11" x14ac:dyDescent="0.25">
      <c r="C53" s="71">
        <v>3</v>
      </c>
      <c r="D53" s="225" t="s">
        <v>154</v>
      </c>
      <c r="J53" s="68">
        <f>+J68-338</f>
        <v>-112</v>
      </c>
    </row>
    <row r="54" spans="2:11" x14ac:dyDescent="0.25">
      <c r="C54" s="71">
        <v>4</v>
      </c>
      <c r="D54" s="108">
        <v>0</v>
      </c>
    </row>
    <row r="55" spans="2:11" x14ac:dyDescent="0.25">
      <c r="C55" s="71">
        <v>5</v>
      </c>
      <c r="D55" s="108">
        <v>7</v>
      </c>
    </row>
    <row r="56" spans="2:11" x14ac:dyDescent="0.25">
      <c r="C56" s="71">
        <v>6</v>
      </c>
      <c r="D56" s="108">
        <v>7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2354</v>
      </c>
      <c r="K57" s="318">
        <f>+J57*0.025</f>
        <v>58.85</v>
      </c>
    </row>
    <row r="58" spans="2:11" x14ac:dyDescent="0.25">
      <c r="C58" s="71">
        <v>8</v>
      </c>
      <c r="D58" s="225" t="s">
        <v>153</v>
      </c>
      <c r="H58" s="301"/>
      <c r="I58" s="129"/>
      <c r="K58" s="318"/>
    </row>
    <row r="59" spans="2:11" x14ac:dyDescent="0.25">
      <c r="H59" s="344"/>
      <c r="I59" s="345"/>
      <c r="J59" s="200">
        <f>+SUM(J56:J58)</f>
        <v>2354</v>
      </c>
      <c r="K59" s="346">
        <f>+J59*0.025</f>
        <v>58.85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45970</v>
      </c>
      <c r="I65" s="129" t="s">
        <v>176</v>
      </c>
      <c r="J65" s="68">
        <v>148</v>
      </c>
      <c r="K65" s="318">
        <f>+J65*1.5</f>
        <v>222</v>
      </c>
    </row>
    <row r="66" spans="8:11" x14ac:dyDescent="0.25">
      <c r="H66" s="301">
        <v>45971</v>
      </c>
      <c r="I66" s="129" t="s">
        <v>175</v>
      </c>
      <c r="J66" s="68">
        <v>78</v>
      </c>
      <c r="K66" s="318">
        <f>+J66*1.5</f>
        <v>117</v>
      </c>
    </row>
    <row r="67" spans="8:11" x14ac:dyDescent="0.25">
      <c r="H67" s="301"/>
      <c r="I67" s="129"/>
      <c r="K67" s="318"/>
    </row>
    <row r="68" spans="8:11" x14ac:dyDescent="0.25">
      <c r="H68" s="344"/>
      <c r="I68" s="345"/>
      <c r="J68" s="200">
        <f>+SUM(J65:J67)</f>
        <v>226</v>
      </c>
      <c r="K68" s="346">
        <f>+J68*1.5</f>
        <v>339</v>
      </c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26" workbookViewId="0">
      <selection activeCell="K68" sqref="A29:K68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47"/>
      <c r="C4" s="347"/>
      <c r="D4" s="165">
        <f>D25</f>
        <v>7399.5890000000018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3032</v>
      </c>
      <c r="D5" s="172">
        <v>129.23599999999999</v>
      </c>
      <c r="E5" s="80">
        <f>+D5/$D$4</f>
        <v>1.7465294356213561E-2</v>
      </c>
      <c r="F5" s="58" t="s">
        <v>51</v>
      </c>
      <c r="G5" s="59">
        <v>45971</v>
      </c>
      <c r="H5" s="190">
        <v>6442.0000000000009</v>
      </c>
      <c r="I5" s="141">
        <v>7399.5890000000018</v>
      </c>
      <c r="J5" s="60">
        <f t="shared" ref="J5:J12" si="0">+I5/H5</f>
        <v>1.1486477801924868</v>
      </c>
    </row>
    <row r="6" spans="1:10" ht="15" customHeight="1" x14ac:dyDescent="0.25">
      <c r="A6" s="164"/>
      <c r="B6" s="169" t="s">
        <v>10</v>
      </c>
      <c r="C6" s="177">
        <v>12804</v>
      </c>
      <c r="D6" s="173">
        <v>546.58400000000006</v>
      </c>
      <c r="E6" s="80">
        <f t="shared" ref="E6:E22" si="1">+D6/$D$4</f>
        <v>7.3866805304997341E-2</v>
      </c>
      <c r="F6" s="58" t="s">
        <v>52</v>
      </c>
      <c r="G6" s="59">
        <v>45972</v>
      </c>
      <c r="H6" s="190">
        <v>9579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14898</v>
      </c>
      <c r="D7" s="173">
        <v>635.5379999999999</v>
      </c>
      <c r="E7" s="80">
        <f t="shared" si="1"/>
        <v>8.5888283795221565E-2</v>
      </c>
      <c r="F7" s="58" t="s">
        <v>53</v>
      </c>
      <c r="G7" s="59">
        <v>45973</v>
      </c>
      <c r="H7" s="190">
        <v>9208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800</v>
      </c>
      <c r="D8" s="173">
        <v>34.130000000000003</v>
      </c>
      <c r="E8" s="80">
        <f t="shared" si="1"/>
        <v>4.6124183383698739E-3</v>
      </c>
      <c r="F8" s="58" t="s">
        <v>54</v>
      </c>
      <c r="G8" s="59">
        <v>45974</v>
      </c>
      <c r="H8" s="190">
        <v>9788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33114</v>
      </c>
      <c r="D9" s="173">
        <v>1412.3399999999997</v>
      </c>
      <c r="E9" s="245">
        <f t="shared" si="1"/>
        <v>0.19086735763297116</v>
      </c>
      <c r="F9" s="58" t="s">
        <v>55</v>
      </c>
      <c r="G9" s="59">
        <v>45975</v>
      </c>
      <c r="H9" s="190">
        <v>6750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52501</v>
      </c>
      <c r="D10" s="173">
        <v>2239.873000000001</v>
      </c>
      <c r="E10" s="245">
        <f t="shared" si="1"/>
        <v>0.30270235279283758</v>
      </c>
      <c r="F10" s="58" t="s">
        <v>56</v>
      </c>
      <c r="G10" s="59">
        <v>45976</v>
      </c>
      <c r="H10" s="190">
        <v>6949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8669</v>
      </c>
      <c r="D11" s="173">
        <v>370.048</v>
      </c>
      <c r="E11" s="80">
        <f t="shared" si="1"/>
        <v>5.0009264028042628E-2</v>
      </c>
      <c r="F11" s="58" t="s">
        <v>57</v>
      </c>
      <c r="G11" s="59">
        <v>45977</v>
      </c>
      <c r="H11" s="190">
        <v>6147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196</v>
      </c>
      <c r="C12" s="177">
        <v>8136</v>
      </c>
      <c r="D12" s="173">
        <v>204.51</v>
      </c>
      <c r="E12" s="80">
        <f t="shared" si="1"/>
        <v>2.7638021517141013E-2</v>
      </c>
      <c r="H12" s="139">
        <f>+SUM(H5:H11)</f>
        <v>54863</v>
      </c>
      <c r="I12" s="142">
        <f>+SUM(I5:I11)</f>
        <v>7399.5890000000018</v>
      </c>
      <c r="J12" s="140">
        <f t="shared" si="0"/>
        <v>0.13487394054280666</v>
      </c>
    </row>
    <row r="13" spans="1:10" ht="15" customHeight="1" x14ac:dyDescent="0.25">
      <c r="A13" s="164"/>
      <c r="B13" s="169" t="s">
        <v>42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45</v>
      </c>
      <c r="C14" s="177">
        <v>64</v>
      </c>
      <c r="D14" s="173">
        <v>96.28</v>
      </c>
      <c r="E14" s="80">
        <f t="shared" si="1"/>
        <v>1.301153347841346E-2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41</v>
      </c>
      <c r="C15" s="177">
        <v>124</v>
      </c>
      <c r="D15" s="173">
        <v>186.6</v>
      </c>
      <c r="E15" s="80">
        <f t="shared" si="1"/>
        <v>2.5217616816285329E-2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89</v>
      </c>
      <c r="D16" s="173">
        <v>134.54999999999998</v>
      </c>
      <c r="E16" s="80">
        <f t="shared" si="1"/>
        <v>1.8183442350649469E-2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20</v>
      </c>
      <c r="D17" s="173">
        <v>30.11</v>
      </c>
      <c r="E17" s="80">
        <f t="shared" si="1"/>
        <v>4.0691449214273921E-3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39</v>
      </c>
      <c r="C18" s="177">
        <v>464</v>
      </c>
      <c r="D18" s="173">
        <v>701.81000000000006</v>
      </c>
      <c r="E18" s="80">
        <f t="shared" si="1"/>
        <v>9.4844456901592766E-2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88</v>
      </c>
      <c r="C19" s="177">
        <v>30.6</v>
      </c>
      <c r="D19" s="173">
        <v>30.6</v>
      </c>
      <c r="E19" s="80">
        <f t="shared" si="1"/>
        <v>4.1353648155323212E-3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85</v>
      </c>
      <c r="C20" s="177">
        <v>86</v>
      </c>
      <c r="D20" s="173">
        <v>129.98000000000002</v>
      </c>
      <c r="E20" s="80">
        <f t="shared" si="1"/>
        <v>1.7565840481140235E-2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46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9</v>
      </c>
      <c r="C22" s="177"/>
      <c r="D22" s="173">
        <v>29.7</v>
      </c>
      <c r="E22" s="80">
        <f t="shared" si="1"/>
        <v>4.0137364386049002E-3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46</v>
      </c>
      <c r="C23" s="177"/>
      <c r="D23" s="173">
        <v>89.82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40</v>
      </c>
      <c r="C24" s="177"/>
      <c r="D24" s="173">
        <v>397.88</v>
      </c>
      <c r="E24" s="80"/>
      <c r="F24" s="112" t="s">
        <v>198</v>
      </c>
      <c r="G24" s="190"/>
      <c r="H24" s="272"/>
      <c r="I24" s="98" t="e">
        <f t="shared" si="2"/>
        <v>#DIV/0!</v>
      </c>
      <c r="J24" s="108"/>
    </row>
    <row r="25" spans="1:10" ht="15" customHeight="1" thickBot="1" x14ac:dyDescent="0.3">
      <c r="B25" s="178" t="s">
        <v>0</v>
      </c>
      <c r="C25" s="170"/>
      <c r="D25" s="171">
        <f>SUM(D5:D24)</f>
        <v>7399.5890000000018</v>
      </c>
      <c r="E25" s="80"/>
      <c r="F25" s="112" t="s">
        <v>199</v>
      </c>
      <c r="G25" s="190"/>
      <c r="H25" s="272"/>
      <c r="I25" s="98" t="e">
        <f t="shared" si="2"/>
        <v>#DIV/0!</v>
      </c>
      <c r="J25" s="108"/>
    </row>
    <row r="26" spans="1:10" ht="15" customHeight="1" x14ac:dyDescent="0.25">
      <c r="B26" s="166" t="s">
        <v>1</v>
      </c>
      <c r="C26" s="167"/>
      <c r="D26" s="233">
        <v>127959.07</v>
      </c>
      <c r="E26" s="80"/>
      <c r="G26" s="68">
        <f>+SUM(G14:G25)</f>
        <v>2122275.2460000003</v>
      </c>
      <c r="H26" s="68">
        <f>+SUM(H14:H25)</f>
        <v>2127036.7809999995</v>
      </c>
      <c r="I26" s="98">
        <f>+H26/G26</f>
        <v>1.0022435991792176</v>
      </c>
      <c r="J26" s="108">
        <f>+H26-G26</f>
        <v>4761.5349999992177</v>
      </c>
    </row>
    <row r="27" spans="1:10" ht="16.5" thickBot="1" x14ac:dyDescent="0.3">
      <c r="E27" s="80"/>
      <c r="F27" s="179"/>
      <c r="G27" s="179"/>
      <c r="J27" s="179"/>
    </row>
    <row r="28" spans="1:10" ht="19.5" thickBot="1" x14ac:dyDescent="0.3">
      <c r="E28" s="313">
        <f>+D26/F2</f>
        <v>0.56199906701631763</v>
      </c>
      <c r="F28" s="179"/>
      <c r="G28" s="179"/>
      <c r="J28" s="179"/>
    </row>
    <row r="29" spans="1:10" x14ac:dyDescent="0.25">
      <c r="D29" s="108">
        <f>+(F2/30)*17</f>
        <v>129021.81502120061</v>
      </c>
      <c r="E29" s="314">
        <f>+D29/F2</f>
        <v>0.56666666666666665</v>
      </c>
    </row>
    <row r="30" spans="1:10" x14ac:dyDescent="0.25">
      <c r="D30" s="183">
        <f>+D26-D29</f>
        <v>-1062.7450212006079</v>
      </c>
      <c r="E30" s="99">
        <f>E28-E29</f>
        <v>-4.6675996503490191E-3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1110</v>
      </c>
      <c r="D33" s="108">
        <v>2142</v>
      </c>
      <c r="E33" s="57">
        <f>+C33/D33</f>
        <v>0.51820728291316531</v>
      </c>
      <c r="G33" s="86" t="s">
        <v>86</v>
      </c>
      <c r="H33" s="87">
        <v>9500</v>
      </c>
      <c r="I33" s="88">
        <f>+H33*0.025</f>
        <v>237.5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1686</v>
      </c>
      <c r="D34" s="108">
        <v>1890</v>
      </c>
      <c r="E34" s="57">
        <f>+C34/D34</f>
        <v>0.89206349206349211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2164</v>
      </c>
      <c r="D35" s="108">
        <v>3006</v>
      </c>
      <c r="E35" s="57">
        <f>+C35/D35</f>
        <v>0.71989354624085167</v>
      </c>
      <c r="G35" s="89" t="s">
        <v>169</v>
      </c>
      <c r="H35" s="87">
        <v>311</v>
      </c>
      <c r="I35" s="88">
        <f>+H35*1.5</f>
        <v>466.5</v>
      </c>
      <c r="J35" s="298">
        <f>+I35+I33</f>
        <v>704</v>
      </c>
    </row>
    <row r="36" spans="1:11" x14ac:dyDescent="0.25">
      <c r="C36" s="162">
        <f>+SUM(C33:C35)</f>
        <v>4960</v>
      </c>
      <c r="D36" s="110">
        <f>+SUM(D33:D35)</f>
        <v>7038</v>
      </c>
      <c r="E36" s="57">
        <f>+C36/D36</f>
        <v>0.70474566638249503</v>
      </c>
      <c r="G36" s="89" t="s">
        <v>168</v>
      </c>
      <c r="H36" s="87">
        <v>126</v>
      </c>
      <c r="I36" s="88">
        <f>+H36*1.5</f>
        <v>189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22</v>
      </c>
      <c r="C40" s="74">
        <v>2</v>
      </c>
      <c r="D40" s="74">
        <v>23</v>
      </c>
      <c r="E40" s="75">
        <f>+SUM(B40:D40)</f>
        <v>47</v>
      </c>
      <c r="J40" s="218"/>
    </row>
    <row r="41" spans="1:1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</row>
    <row r="42" spans="1:11" x14ac:dyDescent="0.25">
      <c r="D42" s="162"/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11.71</v>
      </c>
      <c r="C44" s="199">
        <v>1643</v>
      </c>
      <c r="D44" s="200">
        <v>3600</v>
      </c>
      <c r="E44" s="201">
        <f t="shared" si="3"/>
        <v>0.4563888888888889</v>
      </c>
      <c r="F44" s="201">
        <f t="shared" si="4"/>
        <v>0.48791666666666672</v>
      </c>
      <c r="G44" s="202">
        <v>12</v>
      </c>
      <c r="H44" s="71"/>
    </row>
    <row r="45" spans="1:11" x14ac:dyDescent="0.25">
      <c r="A45" s="207" t="s">
        <v>72</v>
      </c>
      <c r="B45" s="199">
        <v>6.83</v>
      </c>
      <c r="C45" s="199">
        <v>1180</v>
      </c>
      <c r="D45" s="200">
        <v>3900</v>
      </c>
      <c r="E45" s="201">
        <f t="shared" si="3"/>
        <v>0.30256410256410254</v>
      </c>
      <c r="F45" s="201">
        <f t="shared" si="4"/>
        <v>0.28458333333333335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13.7</v>
      </c>
      <c r="C46" s="199">
        <v>3007</v>
      </c>
      <c r="D46" s="200">
        <v>3900</v>
      </c>
      <c r="E46" s="201">
        <f t="shared" si="3"/>
        <v>0.77102564102564097</v>
      </c>
      <c r="F46" s="201">
        <f t="shared" si="4"/>
        <v>0.5708333333333333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17.57</v>
      </c>
      <c r="C47" s="199">
        <v>2612</v>
      </c>
      <c r="D47" s="200">
        <v>3900</v>
      </c>
      <c r="E47" s="201">
        <f t="shared" si="3"/>
        <v>0.66974358974358972</v>
      </c>
      <c r="F47" s="201">
        <f t="shared" si="4"/>
        <v>0.73208333333333331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8.1</v>
      </c>
      <c r="C48" s="261">
        <v>3542</v>
      </c>
      <c r="D48" s="262">
        <v>4300</v>
      </c>
      <c r="E48" s="263">
        <f t="shared" si="3"/>
        <v>0.8237209302325581</v>
      </c>
      <c r="F48" s="201">
        <f t="shared" si="4"/>
        <v>0.33749999999999997</v>
      </c>
      <c r="G48" s="202">
        <v>16</v>
      </c>
      <c r="H48" s="301"/>
      <c r="I48" s="129"/>
      <c r="K48" s="318">
        <f t="shared" si="5"/>
        <v>0</v>
      </c>
    </row>
    <row r="49" spans="2:11" x14ac:dyDescent="0.25">
      <c r="C49" s="71" t="s">
        <v>83</v>
      </c>
      <c r="D49" s="72" t="s">
        <v>79</v>
      </c>
      <c r="H49" s="301"/>
      <c r="I49" s="129"/>
      <c r="K49" s="318">
        <f t="shared" si="5"/>
        <v>0</v>
      </c>
    </row>
    <row r="50" spans="2:11" x14ac:dyDescent="0.25">
      <c r="B50" s="162" t="s">
        <v>78</v>
      </c>
      <c r="H50" s="301"/>
      <c r="I50" s="129"/>
      <c r="K50" s="318">
        <f t="shared" si="5"/>
        <v>0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+J47+J46</f>
        <v>168</v>
      </c>
      <c r="K52" s="346">
        <f t="shared" si="5"/>
        <v>252</v>
      </c>
    </row>
    <row r="53" spans="2:11" x14ac:dyDescent="0.25">
      <c r="C53" s="71">
        <v>3</v>
      </c>
      <c r="D53" s="225" t="s">
        <v>154</v>
      </c>
      <c r="J53" s="68">
        <f>+J68-338</f>
        <v>-112</v>
      </c>
    </row>
    <row r="54" spans="2:11" x14ac:dyDescent="0.25">
      <c r="C54" s="71">
        <v>4</v>
      </c>
      <c r="D54" s="108">
        <v>0</v>
      </c>
    </row>
    <row r="55" spans="2:11" x14ac:dyDescent="0.25">
      <c r="C55" s="71">
        <v>5</v>
      </c>
      <c r="D55" s="108">
        <v>8</v>
      </c>
    </row>
    <row r="56" spans="2:11" x14ac:dyDescent="0.25">
      <c r="C56" s="71">
        <v>6</v>
      </c>
      <c r="D56" s="108">
        <v>8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2354</v>
      </c>
      <c r="K57" s="318">
        <f>+J57*0.025</f>
        <v>58.85</v>
      </c>
    </row>
    <row r="58" spans="2:11" x14ac:dyDescent="0.25">
      <c r="C58" s="71">
        <v>8</v>
      </c>
      <c r="D58" s="225" t="s">
        <v>153</v>
      </c>
      <c r="H58" s="301"/>
      <c r="I58" s="129"/>
      <c r="K58" s="318"/>
    </row>
    <row r="59" spans="2:11" x14ac:dyDescent="0.25">
      <c r="H59" s="344"/>
      <c r="I59" s="345"/>
      <c r="J59" s="200">
        <f>+SUM(J56:J58)</f>
        <v>2354</v>
      </c>
      <c r="K59" s="346">
        <f>+J59*0.025</f>
        <v>58.85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45970</v>
      </c>
      <c r="I65" s="129" t="s">
        <v>176</v>
      </c>
      <c r="J65" s="68">
        <v>148</v>
      </c>
      <c r="K65" s="318">
        <f>+J65*1.5</f>
        <v>222</v>
      </c>
    </row>
    <row r="66" spans="8:11" x14ac:dyDescent="0.25">
      <c r="H66" s="301">
        <v>45971</v>
      </c>
      <c r="I66" s="129" t="s">
        <v>175</v>
      </c>
      <c r="J66" s="68">
        <v>78</v>
      </c>
      <c r="K66" s="318">
        <f>+J66*1.5</f>
        <v>117</v>
      </c>
    </row>
    <row r="67" spans="8:11" x14ac:dyDescent="0.25">
      <c r="H67" s="301"/>
      <c r="I67" s="129"/>
      <c r="K67" s="318"/>
    </row>
    <row r="68" spans="8:11" x14ac:dyDescent="0.25">
      <c r="H68" s="344"/>
      <c r="I68" s="345"/>
      <c r="J68" s="200">
        <f>+SUM(J65:J67)</f>
        <v>226</v>
      </c>
      <c r="K68" s="346">
        <f>+J68*1.5</f>
        <v>339</v>
      </c>
    </row>
  </sheetData>
  <protectedRanges>
    <protectedRange password="D554" sqref="I41:I43" name="Rango1_1_2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5" right="0.25" top="0.75" bottom="0.75" header="0.3" footer="0.3"/>
  <pageSetup paperSize="9" scale="60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55" workbookViewId="0">
      <selection activeCell="A29" sqref="A29:K70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v>45979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48"/>
      <c r="C4" s="348"/>
      <c r="D4" s="165">
        <f>D25</f>
        <v>8447.7799999999988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2310</v>
      </c>
      <c r="D5" s="172">
        <v>98.792000000000002</v>
      </c>
      <c r="E5" s="80">
        <f>+D5/$D$4</f>
        <v>1.1694433330413435E-2</v>
      </c>
      <c r="F5" s="58" t="s">
        <v>51</v>
      </c>
      <c r="G5" s="59">
        <v>45978</v>
      </c>
      <c r="H5" s="190">
        <v>6362</v>
      </c>
      <c r="I5" s="141">
        <v>7399.5890000000018</v>
      </c>
      <c r="J5" s="60">
        <f t="shared" ref="J5:J12" si="0">+I5/H5</f>
        <v>1.1630916378497331</v>
      </c>
    </row>
    <row r="6" spans="1:10" ht="15" customHeight="1" x14ac:dyDescent="0.25">
      <c r="A6" s="164"/>
      <c r="B6" s="169" t="s">
        <v>10</v>
      </c>
      <c r="C6" s="177">
        <v>16464</v>
      </c>
      <c r="D6" s="173">
        <v>702.73599999999999</v>
      </c>
      <c r="E6" s="80">
        <f t="shared" ref="E6:E22" si="1">+D6/$D$4</f>
        <v>8.3185878420129325E-2</v>
      </c>
      <c r="F6" s="58" t="s">
        <v>52</v>
      </c>
      <c r="G6" s="59">
        <v>45979</v>
      </c>
      <c r="H6" s="190">
        <v>9282</v>
      </c>
      <c r="I6" s="141">
        <v>8447.7799999999988</v>
      </c>
      <c r="J6" s="60">
        <f t="shared" si="0"/>
        <v>0.91012497306614937</v>
      </c>
    </row>
    <row r="7" spans="1:10" ht="15" customHeight="1" x14ac:dyDescent="0.25">
      <c r="A7" s="164"/>
      <c r="B7" s="169" t="s">
        <v>35</v>
      </c>
      <c r="C7" s="177">
        <v>19472</v>
      </c>
      <c r="D7" s="173">
        <v>830.3900000000001</v>
      </c>
      <c r="E7" s="80">
        <f t="shared" si="1"/>
        <v>9.8296830646631445E-2</v>
      </c>
      <c r="F7" s="58" t="s">
        <v>53</v>
      </c>
      <c r="G7" s="59">
        <v>45980</v>
      </c>
      <c r="H7" s="190">
        <v>9233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3839</v>
      </c>
      <c r="D8" s="173">
        <v>163.69</v>
      </c>
      <c r="E8" s="80">
        <f t="shared" si="1"/>
        <v>1.9376688313379374E-2</v>
      </c>
      <c r="F8" s="58" t="s">
        <v>54</v>
      </c>
      <c r="G8" s="59">
        <v>45981</v>
      </c>
      <c r="H8" s="190">
        <v>9051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44255</v>
      </c>
      <c r="D9" s="173">
        <v>1884.8359999999998</v>
      </c>
      <c r="E9" s="245">
        <f t="shared" si="1"/>
        <v>0.22311613228564192</v>
      </c>
      <c r="F9" s="58" t="s">
        <v>55</v>
      </c>
      <c r="G9" s="59">
        <v>45982</v>
      </c>
      <c r="H9" s="190">
        <v>7294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32790</v>
      </c>
      <c r="D10" s="173">
        <v>1399.3140000000001</v>
      </c>
      <c r="E10" s="245">
        <f t="shared" si="1"/>
        <v>0.16564280793297176</v>
      </c>
      <c r="F10" s="58" t="s">
        <v>56</v>
      </c>
      <c r="G10" s="59">
        <v>45983</v>
      </c>
      <c r="H10" s="190">
        <v>6504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12765</v>
      </c>
      <c r="D11" s="173">
        <v>545.66200000000003</v>
      </c>
      <c r="E11" s="80">
        <f t="shared" si="1"/>
        <v>6.4592354441048425E-2</v>
      </c>
      <c r="F11" s="58" t="s">
        <v>57</v>
      </c>
      <c r="G11" s="59">
        <v>45984</v>
      </c>
      <c r="H11" s="190">
        <v>5543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196</v>
      </c>
      <c r="C12" s="177"/>
      <c r="D12" s="173"/>
      <c r="E12" s="80">
        <f t="shared" si="1"/>
        <v>0</v>
      </c>
      <c r="H12" s="139">
        <f>+SUM(H5:H11)</f>
        <v>53269</v>
      </c>
      <c r="I12" s="142">
        <f>+SUM(I5:I11)</f>
        <v>15847.369000000001</v>
      </c>
      <c r="J12" s="140">
        <f t="shared" si="0"/>
        <v>0.29749702453584637</v>
      </c>
    </row>
    <row r="13" spans="1:10" ht="15" customHeight="1" x14ac:dyDescent="0.25">
      <c r="A13" s="164"/>
      <c r="B13" s="169" t="s">
        <v>39</v>
      </c>
      <c r="C13" s="177">
        <v>705</v>
      </c>
      <c r="D13" s="173">
        <v>1065.8000000000002</v>
      </c>
      <c r="E13" s="80">
        <f t="shared" si="1"/>
        <v>0.12616332338200098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87</v>
      </c>
      <c r="D14" s="173">
        <v>131.47999999999999</v>
      </c>
      <c r="E14" s="80">
        <f t="shared" si="1"/>
        <v>1.5563852278350053E-2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60</v>
      </c>
      <c r="D15" s="173">
        <v>90.66</v>
      </c>
      <c r="E15" s="80">
        <f t="shared" si="1"/>
        <v>1.0731813565220686E-2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70</v>
      </c>
      <c r="D16" s="173">
        <v>105.50999999999999</v>
      </c>
      <c r="E16" s="80">
        <f t="shared" si="1"/>
        <v>1.2489671842779998E-2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88</v>
      </c>
      <c r="C17" s="177">
        <v>30.31</v>
      </c>
      <c r="D17" s="173">
        <v>30.31</v>
      </c>
      <c r="E17" s="80">
        <f t="shared" si="1"/>
        <v>3.5879248749375579E-3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43</v>
      </c>
      <c r="C18" s="177">
        <v>220</v>
      </c>
      <c r="D18" s="173">
        <v>332.62</v>
      </c>
      <c r="E18" s="80">
        <f t="shared" si="1"/>
        <v>3.9373657931432882E-2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85</v>
      </c>
      <c r="C19" s="177">
        <v>64</v>
      </c>
      <c r="D19" s="173">
        <v>96.61</v>
      </c>
      <c r="E19" s="80">
        <f t="shared" si="1"/>
        <v>1.1436140619192263E-2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147</v>
      </c>
      <c r="D20" s="173">
        <v>221.20999999999998</v>
      </c>
      <c r="E20" s="80">
        <f t="shared" si="1"/>
        <v>2.6185577749420558E-2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46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40</v>
      </c>
      <c r="C22" s="177"/>
      <c r="D22" s="173">
        <v>659.2</v>
      </c>
      <c r="E22" s="80">
        <f t="shared" si="1"/>
        <v>7.803233512236353E-2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46</v>
      </c>
      <c r="C23" s="177"/>
      <c r="D23" s="173">
        <v>56.58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184</v>
      </c>
      <c r="C24" s="177"/>
      <c r="D24" s="173">
        <v>32.380000000000003</v>
      </c>
      <c r="E24" s="80"/>
      <c r="F24" s="112" t="s">
        <v>198</v>
      </c>
      <c r="G24" s="190"/>
      <c r="H24" s="272"/>
      <c r="I24" s="98" t="e">
        <f t="shared" si="2"/>
        <v>#DIV/0!</v>
      </c>
      <c r="J24" s="108"/>
    </row>
    <row r="25" spans="1:10" ht="15" customHeight="1" thickBot="1" x14ac:dyDescent="0.3">
      <c r="B25" s="178" t="s">
        <v>0</v>
      </c>
      <c r="C25" s="170"/>
      <c r="D25" s="171">
        <f>SUM(D5:D24)</f>
        <v>8447.7799999999988</v>
      </c>
      <c r="E25" s="80"/>
      <c r="F25" s="112" t="s">
        <v>199</v>
      </c>
      <c r="G25" s="190"/>
      <c r="H25" s="272"/>
      <c r="I25" s="98" t="e">
        <f t="shared" si="2"/>
        <v>#DIV/0!</v>
      </c>
      <c r="J25" s="108"/>
    </row>
    <row r="26" spans="1:10" ht="15" customHeight="1" x14ac:dyDescent="0.25">
      <c r="B26" s="166" t="s">
        <v>1</v>
      </c>
      <c r="C26" s="167"/>
      <c r="D26" s="233">
        <v>136438.53</v>
      </c>
      <c r="E26" s="80"/>
      <c r="G26" s="68">
        <f>+SUM(G14:G25)</f>
        <v>2122275.2460000003</v>
      </c>
      <c r="H26" s="68">
        <f>+SUM(H14:H25)</f>
        <v>2127036.7809999995</v>
      </c>
      <c r="I26" s="98">
        <f>+H26/G26</f>
        <v>1.0022435991792176</v>
      </c>
      <c r="J26" s="108">
        <f>+H26-G26</f>
        <v>4761.5349999992177</v>
      </c>
    </row>
    <row r="27" spans="1:10" ht="16.5" thickBot="1" x14ac:dyDescent="0.3">
      <c r="E27" s="80"/>
      <c r="F27" s="179"/>
      <c r="G27" s="179"/>
      <c r="J27" s="179"/>
    </row>
    <row r="28" spans="1:10" ht="19.5" thickBot="1" x14ac:dyDescent="0.3">
      <c r="E28" s="313">
        <f>+D26/F2</f>
        <v>0.59924104297630376</v>
      </c>
      <c r="F28" s="179"/>
      <c r="G28" s="179"/>
      <c r="J28" s="179"/>
    </row>
    <row r="29" spans="1:10" x14ac:dyDescent="0.25">
      <c r="D29" s="108">
        <f>+(F2/30)*18</f>
        <v>136611.33355185948</v>
      </c>
      <c r="E29" s="314">
        <f>+D29/F2</f>
        <v>0.6</v>
      </c>
    </row>
    <row r="30" spans="1:10" x14ac:dyDescent="0.25">
      <c r="D30" s="183">
        <f>+D26-D29</f>
        <v>-172.80355185948429</v>
      </c>
      <c r="E30" s="99">
        <f>E28-E29</f>
        <v>-7.589570236962162E-4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814</v>
      </c>
      <c r="D33" s="108">
        <v>2142</v>
      </c>
      <c r="E33" s="57">
        <f>+C33/D33</f>
        <v>0.38001867413632118</v>
      </c>
      <c r="G33" s="86" t="s">
        <v>86</v>
      </c>
      <c r="H33" s="87">
        <v>10658</v>
      </c>
      <c r="I33" s="88">
        <f>+H33*0.025</f>
        <v>266.45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1462</v>
      </c>
      <c r="D34" s="108">
        <v>1890</v>
      </c>
      <c r="E34" s="57">
        <f>+C34/D34</f>
        <v>0.77354497354497354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2535</v>
      </c>
      <c r="D35" s="108">
        <v>3006</v>
      </c>
      <c r="E35" s="57">
        <f>+C35/D35</f>
        <v>0.84331337325349298</v>
      </c>
      <c r="G35" s="89" t="s">
        <v>169</v>
      </c>
      <c r="H35" s="87">
        <v>311</v>
      </c>
      <c r="I35" s="88">
        <f>+H35*1.5</f>
        <v>466.5</v>
      </c>
      <c r="J35" s="298">
        <f>+I35+I33</f>
        <v>732.95</v>
      </c>
    </row>
    <row r="36" spans="1:11" x14ac:dyDescent="0.25">
      <c r="C36" s="162">
        <f>+SUM(C33:C35)</f>
        <v>4811</v>
      </c>
      <c r="D36" s="110">
        <f>+SUM(D33:D35)</f>
        <v>7038</v>
      </c>
      <c r="E36" s="57">
        <f>+C36/D36</f>
        <v>0.68357487922705318</v>
      </c>
      <c r="G36" s="89" t="s">
        <v>168</v>
      </c>
      <c r="H36" s="87">
        <v>45</v>
      </c>
      <c r="I36" s="88">
        <f>+H36*1.5</f>
        <v>67.5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39</v>
      </c>
      <c r="C40" s="74">
        <v>5</v>
      </c>
      <c r="D40" s="74">
        <v>16</v>
      </c>
      <c r="E40" s="75">
        <f>+SUM(B40:D40)</f>
        <v>60</v>
      </c>
      <c r="J40" s="218"/>
    </row>
    <row r="41" spans="1:1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</row>
    <row r="42" spans="1:11" x14ac:dyDescent="0.25">
      <c r="D42" s="162"/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5.8</v>
      </c>
      <c r="C44" s="199">
        <v>1304</v>
      </c>
      <c r="D44" s="200">
        <v>3600</v>
      </c>
      <c r="E44" s="201">
        <f t="shared" si="3"/>
        <v>0.36222222222222222</v>
      </c>
      <c r="F44" s="201">
        <f t="shared" si="4"/>
        <v>0.24166666666666667</v>
      </c>
      <c r="G44" s="202">
        <v>12</v>
      </c>
      <c r="H44" s="71"/>
    </row>
    <row r="45" spans="1:11" x14ac:dyDescent="0.25">
      <c r="A45" s="207" t="s">
        <v>72</v>
      </c>
      <c r="B45" s="199">
        <v>9.51</v>
      </c>
      <c r="C45" s="199">
        <v>1163</v>
      </c>
      <c r="D45" s="200">
        <v>3900</v>
      </c>
      <c r="E45" s="201">
        <f t="shared" si="3"/>
        <v>0.29820512820512818</v>
      </c>
      <c r="F45" s="201">
        <f t="shared" si="4"/>
        <v>0.39624999999999999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6.4</v>
      </c>
      <c r="C46" s="199">
        <v>2953</v>
      </c>
      <c r="D46" s="200">
        <v>3900</v>
      </c>
      <c r="E46" s="201">
        <f t="shared" si="3"/>
        <v>0.75717948717948713</v>
      </c>
      <c r="F46" s="201">
        <f t="shared" si="4"/>
        <v>0.26666666666666666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16.489999999999998</v>
      </c>
      <c r="C47" s="199">
        <v>2705</v>
      </c>
      <c r="D47" s="200">
        <v>3900</v>
      </c>
      <c r="E47" s="201">
        <f t="shared" si="3"/>
        <v>0.69358974358974357</v>
      </c>
      <c r="F47" s="201">
        <f t="shared" si="4"/>
        <v>0.68708333333333327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13.74</v>
      </c>
      <c r="C48" s="261">
        <v>3109</v>
      </c>
      <c r="D48" s="262">
        <v>4300</v>
      </c>
      <c r="E48" s="263">
        <f t="shared" si="3"/>
        <v>0.72302325581395344</v>
      </c>
      <c r="F48" s="201">
        <f t="shared" si="4"/>
        <v>0.57250000000000001</v>
      </c>
      <c r="G48" s="202">
        <v>16</v>
      </c>
      <c r="H48" s="301"/>
      <c r="I48" s="129"/>
      <c r="K48" s="318">
        <f t="shared" si="5"/>
        <v>0</v>
      </c>
    </row>
    <row r="49" spans="2:11" x14ac:dyDescent="0.25">
      <c r="C49" s="71" t="s">
        <v>83</v>
      </c>
      <c r="D49" s="72" t="s">
        <v>79</v>
      </c>
      <c r="H49" s="301"/>
      <c r="I49" s="129"/>
      <c r="K49" s="318">
        <f t="shared" si="5"/>
        <v>0</v>
      </c>
    </row>
    <row r="50" spans="2:11" x14ac:dyDescent="0.25">
      <c r="B50" s="162" t="s">
        <v>78</v>
      </c>
      <c r="H50" s="301"/>
      <c r="I50" s="129"/>
      <c r="K50" s="318">
        <f t="shared" si="5"/>
        <v>0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+J47+J46</f>
        <v>168</v>
      </c>
      <c r="K52" s="346">
        <f t="shared" si="5"/>
        <v>252</v>
      </c>
    </row>
    <row r="53" spans="2:11" x14ac:dyDescent="0.25">
      <c r="C53" s="71">
        <v>3</v>
      </c>
      <c r="D53" s="225" t="s">
        <v>154</v>
      </c>
      <c r="J53" s="68">
        <f>+J70-338</f>
        <v>314</v>
      </c>
    </row>
    <row r="54" spans="2:11" x14ac:dyDescent="0.25">
      <c r="C54" s="71">
        <v>4</v>
      </c>
      <c r="D54" s="108">
        <v>0</v>
      </c>
    </row>
    <row r="55" spans="2:11" x14ac:dyDescent="0.25">
      <c r="C55" s="71">
        <v>5</v>
      </c>
      <c r="D55" s="108">
        <v>8</v>
      </c>
    </row>
    <row r="56" spans="2:11" x14ac:dyDescent="0.25">
      <c r="C56" s="71">
        <v>6</v>
      </c>
      <c r="D56" s="108">
        <v>7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2354</v>
      </c>
      <c r="K57" s="318">
        <f>+J57*0.025</f>
        <v>58.85</v>
      </c>
    </row>
    <row r="58" spans="2:11" x14ac:dyDescent="0.25">
      <c r="C58" s="71">
        <v>8</v>
      </c>
      <c r="D58" s="225" t="s">
        <v>153</v>
      </c>
      <c r="H58" s="301"/>
      <c r="I58" s="129"/>
      <c r="K58" s="318"/>
    </row>
    <row r="59" spans="2:11" x14ac:dyDescent="0.25">
      <c r="H59" s="344"/>
      <c r="I59" s="345"/>
      <c r="J59" s="200">
        <f>+SUM(J56:J58)</f>
        <v>2354</v>
      </c>
      <c r="K59" s="346">
        <f>+J59*0.025</f>
        <v>58.85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45976</v>
      </c>
      <c r="I65" s="129" t="s">
        <v>175</v>
      </c>
      <c r="J65" s="68">
        <v>95</v>
      </c>
      <c r="K65" s="318">
        <f>+J65*1.5</f>
        <v>142.5</v>
      </c>
    </row>
    <row r="66" spans="8:11" x14ac:dyDescent="0.25">
      <c r="H66" s="301">
        <v>45976</v>
      </c>
      <c r="I66" s="129" t="s">
        <v>176</v>
      </c>
      <c r="J66" s="68">
        <v>170</v>
      </c>
      <c r="K66" s="318">
        <f>+J66*1.5</f>
        <v>255</v>
      </c>
    </row>
    <row r="67" spans="8:11" x14ac:dyDescent="0.25">
      <c r="H67" s="301">
        <v>45977</v>
      </c>
      <c r="I67" s="129" t="s">
        <v>175</v>
      </c>
      <c r="J67" s="68">
        <v>208</v>
      </c>
      <c r="K67" s="318">
        <f>+J67*1.5</f>
        <v>312</v>
      </c>
    </row>
    <row r="68" spans="8:11" x14ac:dyDescent="0.25">
      <c r="H68" s="301">
        <v>45977</v>
      </c>
      <c r="I68" s="129" t="s">
        <v>176</v>
      </c>
      <c r="J68" s="68">
        <v>179</v>
      </c>
      <c r="K68" s="318">
        <f>+J68*1.5</f>
        <v>268.5</v>
      </c>
    </row>
    <row r="69" spans="8:11" x14ac:dyDescent="0.25">
      <c r="H69" s="301"/>
      <c r="I69" s="129"/>
      <c r="K69" s="318"/>
    </row>
    <row r="70" spans="8:11" x14ac:dyDescent="0.25">
      <c r="H70" s="344"/>
      <c r="I70" s="345"/>
      <c r="J70" s="200">
        <f>+SUM(J65:J69)</f>
        <v>652</v>
      </c>
      <c r="K70" s="346">
        <f>+J70*1.5</f>
        <v>978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C57" workbookViewId="0">
      <selection activeCell="A29" sqref="A29:O70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49"/>
      <c r="C4" s="349"/>
      <c r="D4" s="165">
        <f>D25</f>
        <v>11352.95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5500</v>
      </c>
      <c r="D5" s="172">
        <v>234.84</v>
      </c>
      <c r="E5" s="80">
        <f>+D5/$D$4</f>
        <v>2.0685372524321871E-2</v>
      </c>
      <c r="F5" s="58" t="s">
        <v>51</v>
      </c>
      <c r="G5" s="59">
        <v>45978</v>
      </c>
      <c r="H5" s="190">
        <v>6362</v>
      </c>
      <c r="I5" s="141">
        <v>7399.5890000000018</v>
      </c>
      <c r="J5" s="60">
        <f t="shared" ref="J5:J12" si="0">+I5/H5</f>
        <v>1.1630916378497331</v>
      </c>
    </row>
    <row r="6" spans="1:10" ht="15" customHeight="1" x14ac:dyDescent="0.25">
      <c r="A6" s="164"/>
      <c r="B6" s="169" t="s">
        <v>10</v>
      </c>
      <c r="C6" s="177">
        <v>19060</v>
      </c>
      <c r="D6" s="173">
        <v>813.06599999999992</v>
      </c>
      <c r="E6" s="80">
        <f t="shared" ref="E6:E22" si="1">+D6/$D$4</f>
        <v>7.1617156774230473E-2</v>
      </c>
      <c r="F6" s="58" t="s">
        <v>52</v>
      </c>
      <c r="G6" s="59">
        <v>45979</v>
      </c>
      <c r="H6" s="190">
        <v>9282</v>
      </c>
      <c r="I6" s="141">
        <v>8447.7799999999988</v>
      </c>
      <c r="J6" s="60">
        <f t="shared" si="0"/>
        <v>0.91012497306614937</v>
      </c>
    </row>
    <row r="7" spans="1:10" ht="15" customHeight="1" x14ac:dyDescent="0.25">
      <c r="A7" s="164"/>
      <c r="B7" s="169" t="s">
        <v>35</v>
      </c>
      <c r="C7" s="177">
        <v>36478</v>
      </c>
      <c r="D7" s="173">
        <v>1555.9379999999996</v>
      </c>
      <c r="E7" s="80">
        <f t="shared" si="1"/>
        <v>0.1370514271621032</v>
      </c>
      <c r="F7" s="58" t="s">
        <v>53</v>
      </c>
      <c r="G7" s="59">
        <v>45980</v>
      </c>
      <c r="H7" s="190">
        <v>9233</v>
      </c>
      <c r="I7" s="141">
        <v>11352.95</v>
      </c>
      <c r="J7" s="60">
        <f t="shared" si="0"/>
        <v>1.2296057619408645</v>
      </c>
    </row>
    <row r="8" spans="1:10" ht="15" customHeight="1" x14ac:dyDescent="0.25">
      <c r="A8" s="164"/>
      <c r="B8" s="169" t="s">
        <v>4</v>
      </c>
      <c r="C8" s="177">
        <v>8517</v>
      </c>
      <c r="D8" s="173">
        <v>362.96</v>
      </c>
      <c r="E8" s="80">
        <f t="shared" si="1"/>
        <v>3.1970545100612612E-2</v>
      </c>
      <c r="F8" s="58" t="s">
        <v>54</v>
      </c>
      <c r="G8" s="59">
        <v>45981</v>
      </c>
      <c r="H8" s="190">
        <v>9051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57771</v>
      </c>
      <c r="D9" s="173">
        <v>2465.0470000000005</v>
      </c>
      <c r="E9" s="245">
        <f t="shared" si="1"/>
        <v>0.21712832347539629</v>
      </c>
      <c r="F9" s="58" t="s">
        <v>55</v>
      </c>
      <c r="G9" s="59">
        <v>45982</v>
      </c>
      <c r="H9" s="190">
        <v>7294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54842</v>
      </c>
      <c r="D10" s="173">
        <v>2341.2820000000011</v>
      </c>
      <c r="E10" s="245">
        <f t="shared" si="1"/>
        <v>0.20622675163723975</v>
      </c>
      <c r="F10" s="58" t="s">
        <v>56</v>
      </c>
      <c r="G10" s="59">
        <v>45983</v>
      </c>
      <c r="H10" s="190">
        <v>6504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11140</v>
      </c>
      <c r="D11" s="173">
        <v>475.21999999999997</v>
      </c>
      <c r="E11" s="80">
        <f t="shared" si="1"/>
        <v>4.185872394399693E-2</v>
      </c>
      <c r="F11" s="58" t="s">
        <v>57</v>
      </c>
      <c r="G11" s="59">
        <v>45984</v>
      </c>
      <c r="H11" s="190">
        <v>5543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>
        <v>76</v>
      </c>
      <c r="D12" s="173">
        <v>1.917</v>
      </c>
      <c r="E12" s="80">
        <f t="shared" si="1"/>
        <v>1.6885479104549917E-4</v>
      </c>
      <c r="H12" s="139">
        <f>+SUM(H5:H11)</f>
        <v>53269</v>
      </c>
      <c r="I12" s="142">
        <f>+SUM(I5:I11)</f>
        <v>27200.319000000003</v>
      </c>
      <c r="J12" s="140">
        <f t="shared" si="0"/>
        <v>0.51062191893972109</v>
      </c>
    </row>
    <row r="13" spans="1:10" ht="15" customHeight="1" x14ac:dyDescent="0.25">
      <c r="A13" s="164"/>
      <c r="B13" s="169" t="s">
        <v>35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616</v>
      </c>
      <c r="D14" s="173">
        <v>930.28999999999985</v>
      </c>
      <c r="E14" s="80">
        <f t="shared" si="1"/>
        <v>8.1942578801104546E-2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44</v>
      </c>
      <c r="C15" s="177">
        <v>88</v>
      </c>
      <c r="D15" s="173">
        <v>133.07999999999998</v>
      </c>
      <c r="E15" s="80">
        <f t="shared" si="1"/>
        <v>1.172206342844811E-2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83</v>
      </c>
      <c r="D16" s="173">
        <v>125.16999999999999</v>
      </c>
      <c r="E16" s="80">
        <f t="shared" si="1"/>
        <v>1.1025328218656823E-2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43</v>
      </c>
      <c r="C17" s="177">
        <v>207</v>
      </c>
      <c r="D17" s="173">
        <v>312.62</v>
      </c>
      <c r="E17" s="80">
        <f t="shared" si="1"/>
        <v>2.7536455282547705E-2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41</v>
      </c>
      <c r="C18" s="177">
        <v>312</v>
      </c>
      <c r="D18" s="173">
        <v>470.01</v>
      </c>
      <c r="E18" s="80">
        <f t="shared" si="1"/>
        <v>4.13998123835655E-2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>
        <v>21</v>
      </c>
      <c r="D19" s="173">
        <v>31.58</v>
      </c>
      <c r="E19" s="80">
        <f t="shared" si="1"/>
        <v>2.7816558691793761E-3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88</v>
      </c>
      <c r="C20" s="177">
        <v>30.25</v>
      </c>
      <c r="D20" s="173">
        <v>30.25</v>
      </c>
      <c r="E20" s="80">
        <f t="shared" si="1"/>
        <v>2.6645057011613722E-3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85</v>
      </c>
      <c r="C21" s="177">
        <v>44</v>
      </c>
      <c r="D21" s="173">
        <v>66.45</v>
      </c>
      <c r="E21" s="80">
        <f t="shared" si="1"/>
        <v>5.8531042592453938E-3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46</v>
      </c>
      <c r="C22" s="177"/>
      <c r="D22" s="173">
        <v>60.91</v>
      </c>
      <c r="E22" s="80">
        <f t="shared" si="1"/>
        <v>5.3651253638922038E-3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40</v>
      </c>
      <c r="C23" s="177"/>
      <c r="D23" s="173">
        <v>848.94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9</v>
      </c>
      <c r="C24" s="177"/>
      <c r="D24" s="173">
        <v>93.38</v>
      </c>
      <c r="E24" s="80"/>
      <c r="F24" s="112" t="s">
        <v>198</v>
      </c>
      <c r="G24" s="190"/>
      <c r="H24" s="272"/>
      <c r="I24" s="98" t="e">
        <f t="shared" si="2"/>
        <v>#DIV/0!</v>
      </c>
      <c r="J24" s="108"/>
    </row>
    <row r="25" spans="1:10" ht="15" customHeight="1" thickBot="1" x14ac:dyDescent="0.3">
      <c r="B25" s="178" t="s">
        <v>0</v>
      </c>
      <c r="C25" s="170"/>
      <c r="D25" s="171">
        <f>SUM(D5:D24)</f>
        <v>11352.95</v>
      </c>
      <c r="E25" s="80"/>
      <c r="F25" s="112" t="s">
        <v>199</v>
      </c>
      <c r="G25" s="190"/>
      <c r="H25" s="272"/>
      <c r="I25" s="98" t="e">
        <f t="shared" si="2"/>
        <v>#DIV/0!</v>
      </c>
      <c r="J25" s="108"/>
    </row>
    <row r="26" spans="1:10" ht="15" customHeight="1" x14ac:dyDescent="0.25">
      <c r="B26" s="166" t="s">
        <v>1</v>
      </c>
      <c r="C26" s="167"/>
      <c r="D26" s="233">
        <v>147823.44200000001</v>
      </c>
      <c r="E26" s="80"/>
      <c r="G26" s="68">
        <f>+SUM(G14:G25)</f>
        <v>2122275.2460000003</v>
      </c>
      <c r="H26" s="68">
        <f>+SUM(H14:H25)</f>
        <v>2127036.7809999995</v>
      </c>
      <c r="I26" s="98">
        <f>+H26/G26</f>
        <v>1.0022435991792176</v>
      </c>
      <c r="J26" s="108">
        <f>+H26-G26</f>
        <v>4761.5349999992177</v>
      </c>
    </row>
    <row r="27" spans="1:10" ht="16.5" thickBot="1" x14ac:dyDescent="0.3">
      <c r="E27" s="80"/>
      <c r="F27" s="179"/>
      <c r="G27" s="179"/>
      <c r="J27" s="179"/>
    </row>
    <row r="28" spans="1:10" ht="19.5" thickBot="1" x14ac:dyDescent="0.3">
      <c r="E28" s="313">
        <f>+D26/F2</f>
        <v>0.64924382841435735</v>
      </c>
      <c r="F28" s="179"/>
      <c r="G28" s="179"/>
      <c r="J28" s="179"/>
    </row>
    <row r="29" spans="1:10" x14ac:dyDescent="0.25">
      <c r="D29" s="108">
        <f>+(F2/30)*19</f>
        <v>144200.85208251834</v>
      </c>
      <c r="E29" s="314">
        <f>+D29/F2</f>
        <v>0.6333333333333333</v>
      </c>
    </row>
    <row r="30" spans="1:10" x14ac:dyDescent="0.25">
      <c r="D30" s="183">
        <f>+D26-D29</f>
        <v>3622.5899174816732</v>
      </c>
      <c r="E30" s="99">
        <f>E28-E29</f>
        <v>1.5910495081024045E-2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1032</v>
      </c>
      <c r="D33" s="108">
        <v>2142</v>
      </c>
      <c r="E33" s="57">
        <f>+C33/D33</f>
        <v>0.48179271708683474</v>
      </c>
      <c r="G33" s="86" t="s">
        <v>86</v>
      </c>
      <c r="H33" s="87">
        <v>10586</v>
      </c>
      <c r="I33" s="88">
        <f>+H33*0.025</f>
        <v>264.65000000000003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1497</v>
      </c>
      <c r="D34" s="108">
        <v>1890</v>
      </c>
      <c r="E34" s="57">
        <f>+C34/D34</f>
        <v>0.79206349206349203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1604</v>
      </c>
      <c r="D35" s="108">
        <v>3006</v>
      </c>
      <c r="E35" s="57">
        <f>+C35/D35</f>
        <v>0.53359946773120426</v>
      </c>
      <c r="G35" s="89" t="s">
        <v>169</v>
      </c>
      <c r="H35" s="87">
        <v>291</v>
      </c>
      <c r="I35" s="88">
        <f>+H35*1.5</f>
        <v>436.5</v>
      </c>
      <c r="J35" s="298">
        <f>+I35+I33</f>
        <v>701.15000000000009</v>
      </c>
    </row>
    <row r="36" spans="1:11" x14ac:dyDescent="0.25">
      <c r="C36" s="162">
        <f>+SUM(C33:C35)</f>
        <v>4133</v>
      </c>
      <c r="D36" s="110">
        <f>+SUM(D33:D35)</f>
        <v>7038</v>
      </c>
      <c r="E36" s="57">
        <f>+C36/D36</f>
        <v>0.5872406933788008</v>
      </c>
      <c r="G36" s="89" t="s">
        <v>168</v>
      </c>
      <c r="H36" s="87">
        <v>18</v>
      </c>
      <c r="I36" s="88">
        <f>+H36*1.5</f>
        <v>27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19</v>
      </c>
      <c r="C40" s="74">
        <v>5</v>
      </c>
      <c r="D40" s="74">
        <v>19</v>
      </c>
      <c r="E40" s="75">
        <f>+SUM(B40:D40)</f>
        <v>43</v>
      </c>
      <c r="J40" s="218"/>
    </row>
    <row r="41" spans="1:11" x14ac:dyDescent="0.25">
      <c r="E41" s="198" t="s">
        <v>76</v>
      </c>
      <c r="F41" s="198" t="s">
        <v>137</v>
      </c>
      <c r="H41" s="144" t="s">
        <v>124</v>
      </c>
      <c r="I41" s="220" t="s">
        <v>148</v>
      </c>
      <c r="J41" s="218" t="s">
        <v>146</v>
      </c>
    </row>
    <row r="42" spans="1:11" x14ac:dyDescent="0.25">
      <c r="D42" s="162"/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13.19</v>
      </c>
      <c r="C44" s="199">
        <v>1878</v>
      </c>
      <c r="D44" s="200">
        <v>3600</v>
      </c>
      <c r="E44" s="201">
        <f t="shared" si="3"/>
        <v>0.52166666666666661</v>
      </c>
      <c r="F44" s="201">
        <f t="shared" si="4"/>
        <v>0.54958333333333331</v>
      </c>
      <c r="G44" s="202">
        <v>12</v>
      </c>
      <c r="H44" s="71"/>
    </row>
    <row r="45" spans="1:11" x14ac:dyDescent="0.25">
      <c r="A45" s="207" t="s">
        <v>72</v>
      </c>
      <c r="B45" s="199">
        <v>11.6</v>
      </c>
      <c r="C45" s="199">
        <v>1362</v>
      </c>
      <c r="D45" s="200">
        <v>3900</v>
      </c>
      <c r="E45" s="201">
        <f t="shared" si="3"/>
        <v>0.34923076923076923</v>
      </c>
      <c r="F45" s="201">
        <f t="shared" si="4"/>
        <v>0.48333333333333334</v>
      </c>
      <c r="G45" s="202">
        <v>12</v>
      </c>
      <c r="H45" s="237" t="s">
        <v>195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14.13</v>
      </c>
      <c r="C46" s="199">
        <v>2959</v>
      </c>
      <c r="D46" s="200">
        <v>3900</v>
      </c>
      <c r="E46" s="201">
        <f t="shared" si="3"/>
        <v>0.75871794871794873</v>
      </c>
      <c r="F46" s="201">
        <f t="shared" si="4"/>
        <v>0.58875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16.23</v>
      </c>
      <c r="C47" s="199">
        <v>2681</v>
      </c>
      <c r="D47" s="200">
        <v>3900</v>
      </c>
      <c r="E47" s="201">
        <f t="shared" si="3"/>
        <v>0.68743589743589739</v>
      </c>
      <c r="F47" s="201">
        <f t="shared" si="4"/>
        <v>0.67625000000000002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11.94</v>
      </c>
      <c r="C48" s="261">
        <v>3082</v>
      </c>
      <c r="D48" s="262">
        <v>4300</v>
      </c>
      <c r="E48" s="263">
        <f t="shared" si="3"/>
        <v>0.71674418604651158</v>
      </c>
      <c r="F48" s="201">
        <f t="shared" si="4"/>
        <v>0.4975</v>
      </c>
      <c r="G48" s="202">
        <v>16</v>
      </c>
      <c r="H48" s="301"/>
      <c r="I48" s="129"/>
      <c r="K48" s="318">
        <f t="shared" si="5"/>
        <v>0</v>
      </c>
    </row>
    <row r="49" spans="2:11" x14ac:dyDescent="0.25">
      <c r="C49" s="71" t="s">
        <v>83</v>
      </c>
      <c r="D49" s="72" t="s">
        <v>79</v>
      </c>
      <c r="H49" s="301"/>
      <c r="I49" s="129"/>
      <c r="K49" s="318">
        <f t="shared" si="5"/>
        <v>0</v>
      </c>
    </row>
    <row r="50" spans="2:11" x14ac:dyDescent="0.25">
      <c r="B50" s="162" t="s">
        <v>78</v>
      </c>
      <c r="H50" s="301"/>
      <c r="I50" s="129"/>
      <c r="K50" s="318">
        <f t="shared" si="5"/>
        <v>0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+J47+J46</f>
        <v>168</v>
      </c>
      <c r="K52" s="346">
        <f t="shared" si="5"/>
        <v>252</v>
      </c>
    </row>
    <row r="53" spans="2:11" x14ac:dyDescent="0.25">
      <c r="C53" s="71">
        <v>3</v>
      </c>
      <c r="D53" s="225" t="s">
        <v>154</v>
      </c>
      <c r="J53" s="68">
        <f>+J70-338</f>
        <v>314</v>
      </c>
    </row>
    <row r="54" spans="2:11" x14ac:dyDescent="0.25">
      <c r="C54" s="71">
        <v>4</v>
      </c>
      <c r="D54" s="108">
        <v>1</v>
      </c>
    </row>
    <row r="55" spans="2:11" x14ac:dyDescent="0.25">
      <c r="C55" s="71">
        <v>5</v>
      </c>
      <c r="D55" s="108">
        <v>4</v>
      </c>
    </row>
    <row r="56" spans="2:11" x14ac:dyDescent="0.25">
      <c r="C56" s="71">
        <v>6</v>
      </c>
      <c r="D56" s="108">
        <v>5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2354</v>
      </c>
      <c r="K57" s="318">
        <f>+J57*0.025</f>
        <v>58.85</v>
      </c>
    </row>
    <row r="58" spans="2:11" x14ac:dyDescent="0.25">
      <c r="C58" s="71">
        <v>8</v>
      </c>
      <c r="D58" s="225" t="s">
        <v>153</v>
      </c>
      <c r="H58" s="301"/>
      <c r="I58" s="129"/>
      <c r="K58" s="318"/>
    </row>
    <row r="59" spans="2:11" x14ac:dyDescent="0.25">
      <c r="H59" s="344"/>
      <c r="I59" s="345"/>
      <c r="J59" s="200">
        <f>+SUM(J56:J58)</f>
        <v>2354</v>
      </c>
      <c r="K59" s="346">
        <f>+J59*0.025</f>
        <v>58.85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45976</v>
      </c>
      <c r="I65" s="129" t="s">
        <v>175</v>
      </c>
      <c r="J65" s="68">
        <v>95</v>
      </c>
      <c r="K65" s="318">
        <f>+J65*1.5</f>
        <v>142.5</v>
      </c>
    </row>
    <row r="66" spans="8:11" x14ac:dyDescent="0.25">
      <c r="H66" s="301">
        <v>45976</v>
      </c>
      <c r="I66" s="129" t="s">
        <v>176</v>
      </c>
      <c r="J66" s="68">
        <v>170</v>
      </c>
      <c r="K66" s="318">
        <f>+J66*1.5</f>
        <v>255</v>
      </c>
    </row>
    <row r="67" spans="8:11" x14ac:dyDescent="0.25">
      <c r="H67" s="301">
        <v>45977</v>
      </c>
      <c r="I67" s="129" t="s">
        <v>175</v>
      </c>
      <c r="J67" s="68">
        <v>208</v>
      </c>
      <c r="K67" s="318">
        <f>+J67*1.5</f>
        <v>312</v>
      </c>
    </row>
    <row r="68" spans="8:11" x14ac:dyDescent="0.25">
      <c r="H68" s="301">
        <v>45977</v>
      </c>
      <c r="I68" s="129" t="s">
        <v>176</v>
      </c>
      <c r="J68" s="68">
        <v>179</v>
      </c>
      <c r="K68" s="318">
        <f>+J68*1.5</f>
        <v>268.5</v>
      </c>
    </row>
    <row r="69" spans="8:11" x14ac:dyDescent="0.25">
      <c r="H69" s="301"/>
      <c r="I69" s="129"/>
      <c r="K69" s="318"/>
    </row>
    <row r="70" spans="8:11" x14ac:dyDescent="0.25">
      <c r="H70" s="344"/>
      <c r="I70" s="345"/>
      <c r="J70" s="200">
        <f>+SUM(J65:J69)</f>
        <v>652</v>
      </c>
      <c r="K70" s="346">
        <f>+J70*1.5</f>
        <v>978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17" workbookViewId="0">
      <selection activeCell="A29" sqref="A29:K71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6.7109375" style="162" customWidth="1"/>
    <col min="6" max="6" width="20.140625" style="162" bestFit="1" customWidth="1"/>
    <col min="7" max="7" width="11.7109375" style="162" customWidth="1"/>
    <col min="8" max="8" width="10.42578125" style="162" customWidth="1"/>
    <col min="9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50"/>
      <c r="C4" s="350"/>
      <c r="D4" s="165">
        <f>D25</f>
        <v>5102.7799999999988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1440</v>
      </c>
      <c r="D5" s="172">
        <v>61.555999999999997</v>
      </c>
      <c r="E5" s="80">
        <f>+D5/$D$4</f>
        <v>1.206322827948687E-2</v>
      </c>
      <c r="F5" s="58" t="s">
        <v>51</v>
      </c>
      <c r="G5" s="59">
        <v>45978</v>
      </c>
      <c r="H5" s="190">
        <v>6362</v>
      </c>
      <c r="I5" s="141">
        <v>7399.5890000000018</v>
      </c>
      <c r="J5" s="60">
        <f t="shared" ref="J5:J12" si="0">+I5/H5</f>
        <v>1.1630916378497331</v>
      </c>
    </row>
    <row r="6" spans="1:10" ht="15" customHeight="1" x14ac:dyDescent="0.25">
      <c r="A6" s="164"/>
      <c r="B6" s="169" t="s">
        <v>10</v>
      </c>
      <c r="C6" s="177">
        <v>13272</v>
      </c>
      <c r="D6" s="173">
        <v>566.25199999999995</v>
      </c>
      <c r="E6" s="80">
        <f t="shared" ref="E6:E22" si="1">+D6/$D$4</f>
        <v>0.11096931476567677</v>
      </c>
      <c r="F6" s="58" t="s">
        <v>52</v>
      </c>
      <c r="G6" s="59">
        <v>45979</v>
      </c>
      <c r="H6" s="190">
        <v>9282</v>
      </c>
      <c r="I6" s="141">
        <v>8447.7799999999988</v>
      </c>
      <c r="J6" s="60">
        <f t="shared" si="0"/>
        <v>0.91012497306614937</v>
      </c>
    </row>
    <row r="7" spans="1:10" ht="15" customHeight="1" x14ac:dyDescent="0.25">
      <c r="A7" s="164"/>
      <c r="B7" s="169" t="s">
        <v>35</v>
      </c>
      <c r="C7" s="177">
        <v>13256</v>
      </c>
      <c r="D7" s="173">
        <v>565.19000000000005</v>
      </c>
      <c r="E7" s="80">
        <f t="shared" si="1"/>
        <v>0.11076119291837003</v>
      </c>
      <c r="F7" s="58" t="s">
        <v>53</v>
      </c>
      <c r="G7" s="59">
        <v>45980</v>
      </c>
      <c r="H7" s="190">
        <v>9233</v>
      </c>
      <c r="I7" s="141">
        <v>11352.95</v>
      </c>
      <c r="J7" s="60">
        <f t="shared" si="0"/>
        <v>1.2296057619408645</v>
      </c>
    </row>
    <row r="8" spans="1:10" ht="15" customHeight="1" x14ac:dyDescent="0.25">
      <c r="A8" s="164"/>
      <c r="B8" s="169" t="s">
        <v>4</v>
      </c>
      <c r="C8" s="177">
        <v>2485</v>
      </c>
      <c r="D8" s="173">
        <v>106.01</v>
      </c>
      <c r="E8" s="80">
        <f t="shared" si="1"/>
        <v>2.0774950125225861E-2</v>
      </c>
      <c r="F8" s="58" t="s">
        <v>54</v>
      </c>
      <c r="G8" s="59">
        <v>45981</v>
      </c>
      <c r="H8" s="190">
        <v>9051</v>
      </c>
      <c r="I8" s="141">
        <v>8927.92</v>
      </c>
      <c r="J8" s="60">
        <f t="shared" si="0"/>
        <v>0.98640150259639825</v>
      </c>
    </row>
    <row r="9" spans="1:10" ht="15" customHeight="1" x14ac:dyDescent="0.25">
      <c r="A9" s="164"/>
      <c r="B9" s="169" t="s">
        <v>37</v>
      </c>
      <c r="C9" s="177">
        <v>13526</v>
      </c>
      <c r="D9" s="173">
        <v>576.822</v>
      </c>
      <c r="E9" s="245">
        <f t="shared" si="1"/>
        <v>0.11304073465836273</v>
      </c>
      <c r="F9" s="58" t="s">
        <v>55</v>
      </c>
      <c r="G9" s="59">
        <v>45982</v>
      </c>
      <c r="H9" s="190">
        <v>7294</v>
      </c>
      <c r="I9" s="141">
        <v>9442.74</v>
      </c>
      <c r="J9" s="60">
        <f t="shared" si="0"/>
        <v>1.2945900740334522</v>
      </c>
    </row>
    <row r="10" spans="1:10" ht="15" customHeight="1" x14ac:dyDescent="0.25">
      <c r="A10" s="164"/>
      <c r="B10" s="169" t="s">
        <v>38</v>
      </c>
      <c r="C10" s="177">
        <v>27106</v>
      </c>
      <c r="D10" s="173">
        <v>1156.172</v>
      </c>
      <c r="E10" s="245">
        <f t="shared" si="1"/>
        <v>0.22657688554082289</v>
      </c>
      <c r="F10" s="58" t="s">
        <v>56</v>
      </c>
      <c r="G10" s="59">
        <v>45983</v>
      </c>
      <c r="H10" s="190">
        <v>6504</v>
      </c>
      <c r="I10" s="141">
        <v>8039.89</v>
      </c>
      <c r="J10" s="60">
        <f t="shared" si="0"/>
        <v>1.2361454489544896</v>
      </c>
    </row>
    <row r="11" spans="1:10" ht="15" customHeight="1" x14ac:dyDescent="0.25">
      <c r="A11" s="164"/>
      <c r="B11" s="169" t="s">
        <v>42</v>
      </c>
      <c r="C11" s="177">
        <v>4545</v>
      </c>
      <c r="D11" s="173">
        <v>193.80799999999999</v>
      </c>
      <c r="E11" s="80">
        <f t="shared" si="1"/>
        <v>3.7980865332230676E-2</v>
      </c>
      <c r="F11" s="58" t="s">
        <v>57</v>
      </c>
      <c r="G11" s="59">
        <v>45984</v>
      </c>
      <c r="H11" s="190">
        <v>5543</v>
      </c>
      <c r="I11" s="141">
        <v>5102.7799999999988</v>
      </c>
      <c r="J11" s="60">
        <f t="shared" si="0"/>
        <v>0.92058091286307031</v>
      </c>
    </row>
    <row r="12" spans="1:10" ht="15" customHeight="1" x14ac:dyDescent="0.25">
      <c r="A12" s="164"/>
      <c r="B12" s="169" t="s">
        <v>196</v>
      </c>
      <c r="C12" s="177">
        <v>2728</v>
      </c>
      <c r="D12" s="173">
        <v>68.66</v>
      </c>
      <c r="E12" s="80">
        <f t="shared" si="1"/>
        <v>1.3455410580115155E-2</v>
      </c>
      <c r="H12" s="139">
        <f>+SUM(H5:H11)</f>
        <v>53269</v>
      </c>
      <c r="I12" s="142">
        <f>+SUM(I5:I11)</f>
        <v>58713.648999999998</v>
      </c>
      <c r="J12" s="140">
        <f t="shared" si="0"/>
        <v>1.1022104601175167</v>
      </c>
    </row>
    <row r="13" spans="1:10" ht="15" customHeight="1" x14ac:dyDescent="0.25">
      <c r="A13" s="164"/>
      <c r="B13" s="169" t="s">
        <v>34</v>
      </c>
      <c r="C13" s="177">
        <v>1224</v>
      </c>
      <c r="D13" s="173">
        <v>30.7</v>
      </c>
      <c r="E13" s="80">
        <f t="shared" si="1"/>
        <v>6.0163283543480236E-3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446</v>
      </c>
      <c r="D14" s="173">
        <v>672.55</v>
      </c>
      <c r="E14" s="80">
        <f t="shared" si="1"/>
        <v>0.13180070471390107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44</v>
      </c>
      <c r="C15" s="177">
        <v>41</v>
      </c>
      <c r="D15" s="173">
        <v>61.85</v>
      </c>
      <c r="E15" s="80">
        <f t="shared" si="1"/>
        <v>1.2120843932131116E-2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61</v>
      </c>
      <c r="D16" s="173">
        <v>91.89</v>
      </c>
      <c r="E16" s="80">
        <f t="shared" si="1"/>
        <v>1.8007831025441037E-2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45</v>
      </c>
      <c r="C17" s="177">
        <v>24</v>
      </c>
      <c r="D17" s="173">
        <v>36.159999999999997</v>
      </c>
      <c r="E17" s="80">
        <f t="shared" si="1"/>
        <v>7.0863333320268567E-3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88</v>
      </c>
      <c r="C18" s="177"/>
      <c r="D18" s="173">
        <v>60.21</v>
      </c>
      <c r="E18" s="80">
        <f t="shared" si="1"/>
        <v>1.1799450495612198E-2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43</v>
      </c>
      <c r="C19" s="177">
        <v>140</v>
      </c>
      <c r="D19" s="173">
        <v>211.03</v>
      </c>
      <c r="E19" s="80">
        <f t="shared" si="1"/>
        <v>4.1355888358894574E-2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146</v>
      </c>
      <c r="D20" s="173">
        <v>219.64</v>
      </c>
      <c r="E20" s="80">
        <f t="shared" si="1"/>
        <v>4.3043203900618887E-2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46</v>
      </c>
      <c r="C21" s="177"/>
      <c r="D21" s="173">
        <v>61.68</v>
      </c>
      <c r="E21" s="80">
        <f t="shared" si="1"/>
        <v>1.2087528758833423E-2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40</v>
      </c>
      <c r="C22" s="177"/>
      <c r="D22" s="173">
        <v>239.91</v>
      </c>
      <c r="E22" s="80">
        <f t="shared" si="1"/>
        <v>4.701554838734965E-2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122.69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184</v>
      </c>
      <c r="C24" s="177"/>
      <c r="D24" s="173"/>
      <c r="E24" s="80"/>
      <c r="F24" s="112" t="s">
        <v>198</v>
      </c>
      <c r="G24" s="190">
        <v>215275.19500000001</v>
      </c>
      <c r="H24" s="272">
        <f>+D26</f>
        <v>179554.75</v>
      </c>
      <c r="I24" s="98">
        <f t="shared" si="2"/>
        <v>0.83407078089047837</v>
      </c>
      <c r="J24" s="108">
        <f>+H24-G24</f>
        <v>-35720.445000000007</v>
      </c>
    </row>
    <row r="25" spans="1:10" ht="15" customHeight="1" thickBot="1" x14ac:dyDescent="0.3">
      <c r="B25" s="178" t="s">
        <v>0</v>
      </c>
      <c r="C25" s="170"/>
      <c r="D25" s="171">
        <f>SUM(D5:D24)</f>
        <v>5102.7799999999988</v>
      </c>
      <c r="E25" s="80"/>
      <c r="F25" s="112" t="s">
        <v>199</v>
      </c>
      <c r="G25" s="190">
        <v>210045.58799999999</v>
      </c>
      <c r="H25" s="272"/>
      <c r="I25" s="98">
        <f t="shared" si="2"/>
        <v>0</v>
      </c>
      <c r="J25" s="108"/>
    </row>
    <row r="26" spans="1:10" ht="15" customHeight="1" x14ac:dyDescent="0.25">
      <c r="B26" s="166" t="s">
        <v>1</v>
      </c>
      <c r="C26" s="167"/>
      <c r="D26" s="233">
        <v>179554.75</v>
      </c>
      <c r="E26" s="80"/>
      <c r="G26" s="68">
        <f>+SUM(G14:G24)</f>
        <v>2337550.4410000001</v>
      </c>
      <c r="H26" s="68">
        <f>+SUM(H14:H25)</f>
        <v>2306591.5309999995</v>
      </c>
      <c r="I26" s="98">
        <f>+H26/G26</f>
        <v>0.98675583232045405</v>
      </c>
      <c r="J26" s="108">
        <f>+H26-G26</f>
        <v>-30958.910000000615</v>
      </c>
    </row>
    <row r="27" spans="1:10" ht="16.5" thickBot="1" x14ac:dyDescent="0.3"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+D26/F2</f>
        <v>0.78860843532504699</v>
      </c>
      <c r="F28" s="179"/>
      <c r="G28" s="179"/>
      <c r="J28" s="179"/>
    </row>
    <row r="29" spans="1:10" x14ac:dyDescent="0.25">
      <c r="D29" s="108">
        <f>+(F2/30)*23</f>
        <v>174558.92620515378</v>
      </c>
      <c r="E29" s="314">
        <f>+D29/F2</f>
        <v>0.76666666666666661</v>
      </c>
      <c r="F29" s="353">
        <f>+D26-F2</f>
        <v>-48130.805919765815</v>
      </c>
    </row>
    <row r="30" spans="1:10" x14ac:dyDescent="0.25">
      <c r="D30" s="183">
        <f>+D26-D29</f>
        <v>4995.8237948462192</v>
      </c>
      <c r="E30" s="99">
        <f>E28-E29</f>
        <v>2.1941768658380378E-2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585</v>
      </c>
      <c r="D33" s="108">
        <v>2142</v>
      </c>
      <c r="E33" s="57">
        <f>+C33/D33</f>
        <v>0.27310924369747897</v>
      </c>
      <c r="G33" s="86" t="s">
        <v>86</v>
      </c>
      <c r="H33" s="87">
        <v>14992</v>
      </c>
      <c r="I33" s="88">
        <f>+H33*0.025</f>
        <v>374.8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1531</v>
      </c>
      <c r="D34" s="108">
        <v>1890</v>
      </c>
      <c r="E34" s="57">
        <f>+C34/D34</f>
        <v>0.81005291005291002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1240</v>
      </c>
      <c r="D35" s="108">
        <v>3006</v>
      </c>
      <c r="E35" s="57">
        <f>+C35/D35</f>
        <v>0.41250831669993349</v>
      </c>
      <c r="G35" s="89" t="s">
        <v>169</v>
      </c>
      <c r="H35" s="87">
        <v>134</v>
      </c>
      <c r="I35" s="88">
        <f>+H35*1.5</f>
        <v>201</v>
      </c>
      <c r="J35" s="298">
        <f>+I35+I33</f>
        <v>575.79999999999995</v>
      </c>
    </row>
    <row r="36" spans="1:11" x14ac:dyDescent="0.25">
      <c r="C36" s="162">
        <f>+SUM(C33:C35)</f>
        <v>3356</v>
      </c>
      <c r="D36" s="110">
        <f>+SUM(D33:D35)</f>
        <v>7038</v>
      </c>
      <c r="E36" s="57">
        <f>+C36/D36</f>
        <v>0.4768400113668656</v>
      </c>
      <c r="G36" s="89" t="s">
        <v>168</v>
      </c>
      <c r="H36" s="87">
        <v>18</v>
      </c>
      <c r="I36" s="88">
        <f>+H36*1.5</f>
        <v>27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</v>
      </c>
      <c r="C40" s="74">
        <v>5</v>
      </c>
      <c r="D40" s="74">
        <v>7</v>
      </c>
      <c r="E40" s="75">
        <f>+SUM(B40:D40)</f>
        <v>15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2.9</v>
      </c>
      <c r="C43" s="199">
        <v>2095</v>
      </c>
      <c r="D43" s="200">
        <v>2400</v>
      </c>
      <c r="E43" s="201">
        <f t="shared" ref="E43:E48" si="3">+C43/D43</f>
        <v>0.87291666666666667</v>
      </c>
      <c r="F43" s="201">
        <f t="shared" ref="F43:F48" si="4">+B43/24</f>
        <v>0.12083333333333333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6.8</v>
      </c>
      <c r="C44" s="199">
        <v>1557</v>
      </c>
      <c r="D44" s="200">
        <v>3600</v>
      </c>
      <c r="E44" s="201">
        <f t="shared" si="3"/>
        <v>0.4325</v>
      </c>
      <c r="F44" s="201">
        <f t="shared" si="4"/>
        <v>0.28333333333333333</v>
      </c>
      <c r="G44" s="202">
        <v>12</v>
      </c>
      <c r="H44" s="71"/>
    </row>
    <row r="45" spans="1:11" x14ac:dyDescent="0.25">
      <c r="A45" s="207" t="s">
        <v>72</v>
      </c>
      <c r="B45" s="199">
        <v>7.37</v>
      </c>
      <c r="C45" s="199">
        <v>1394</v>
      </c>
      <c r="D45" s="200">
        <v>3900</v>
      </c>
      <c r="E45" s="201">
        <f t="shared" si="3"/>
        <v>0.35743589743589743</v>
      </c>
      <c r="F45" s="201">
        <f t="shared" si="4"/>
        <v>0.30708333333333332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3.66</v>
      </c>
      <c r="C46" s="199">
        <v>2996</v>
      </c>
      <c r="D46" s="200">
        <v>3900</v>
      </c>
      <c r="E46" s="201">
        <f t="shared" si="3"/>
        <v>0.76820512820512821</v>
      </c>
      <c r="F46" s="201">
        <f t="shared" si="4"/>
        <v>0.1525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9.4600000000000009</v>
      </c>
      <c r="C47" s="199">
        <v>2746</v>
      </c>
      <c r="D47" s="200">
        <v>3900</v>
      </c>
      <c r="E47" s="201">
        <f t="shared" si="3"/>
        <v>0.70410256410256411</v>
      </c>
      <c r="F47" s="201">
        <f t="shared" si="4"/>
        <v>0.39416666666666672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0</v>
      </c>
      <c r="C48" s="261">
        <v>0</v>
      </c>
      <c r="D48" s="262">
        <v>4300</v>
      </c>
      <c r="E48" s="263">
        <f t="shared" si="3"/>
        <v>0</v>
      </c>
      <c r="F48" s="201">
        <f t="shared" si="4"/>
        <v>0</v>
      </c>
      <c r="G48" s="202">
        <v>16</v>
      </c>
      <c r="H48" s="301"/>
      <c r="I48" s="129"/>
      <c r="K48" s="318">
        <f t="shared" si="5"/>
        <v>0</v>
      </c>
    </row>
    <row r="49" spans="2:11" x14ac:dyDescent="0.25">
      <c r="B49" s="113">
        <f>+SUM(B43:B48)</f>
        <v>30.19</v>
      </c>
      <c r="C49" s="71"/>
      <c r="D49" s="72"/>
      <c r="H49" s="301"/>
      <c r="I49" s="129"/>
      <c r="K49" s="318">
        <f t="shared" si="5"/>
        <v>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>
        <f t="shared" si="5"/>
        <v>0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+J47+J46</f>
        <v>168</v>
      </c>
      <c r="K52" s="346">
        <f t="shared" si="5"/>
        <v>252</v>
      </c>
    </row>
    <row r="53" spans="2:11" x14ac:dyDescent="0.25">
      <c r="C53" s="71">
        <v>3</v>
      </c>
      <c r="D53" s="225" t="s">
        <v>154</v>
      </c>
      <c r="J53" s="68">
        <f>+J70-338</f>
        <v>314</v>
      </c>
    </row>
    <row r="54" spans="2:11" x14ac:dyDescent="0.25">
      <c r="C54" s="71">
        <v>4</v>
      </c>
      <c r="D54" s="108">
        <v>1</v>
      </c>
    </row>
    <row r="55" spans="2:11" x14ac:dyDescent="0.25">
      <c r="C55" s="71">
        <v>5</v>
      </c>
      <c r="D55" s="108">
        <v>1</v>
      </c>
    </row>
    <row r="56" spans="2:11" x14ac:dyDescent="0.25">
      <c r="C56" s="71">
        <v>6</v>
      </c>
      <c r="D56" s="108">
        <v>9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2354</v>
      </c>
      <c r="K57" s="318">
        <f>+J57*0.025</f>
        <v>58.85</v>
      </c>
    </row>
    <row r="58" spans="2:11" x14ac:dyDescent="0.25">
      <c r="C58" s="71">
        <v>8</v>
      </c>
      <c r="D58" s="225" t="s">
        <v>153</v>
      </c>
      <c r="H58" s="301">
        <v>45984</v>
      </c>
      <c r="I58" s="129" t="s">
        <v>175</v>
      </c>
      <c r="J58" s="162">
        <v>6792</v>
      </c>
      <c r="K58" s="318">
        <f>+J58*0.025</f>
        <v>169.8</v>
      </c>
    </row>
    <row r="59" spans="2:11" x14ac:dyDescent="0.25">
      <c r="H59" s="344"/>
      <c r="I59" s="345"/>
      <c r="J59" s="200">
        <f>+J58</f>
        <v>6792</v>
      </c>
      <c r="K59" s="346">
        <f>+J59*0.025</f>
        <v>169.8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45976</v>
      </c>
      <c r="I65" s="129" t="s">
        <v>175</v>
      </c>
      <c r="J65" s="68">
        <v>95</v>
      </c>
      <c r="K65" s="318">
        <f>+J65*1.5</f>
        <v>142.5</v>
      </c>
    </row>
    <row r="66" spans="8:11" x14ac:dyDescent="0.25">
      <c r="H66" s="301">
        <v>45976</v>
      </c>
      <c r="I66" s="129" t="s">
        <v>176</v>
      </c>
      <c r="J66" s="68">
        <v>170</v>
      </c>
      <c r="K66" s="318">
        <f>+J66*1.5</f>
        <v>255</v>
      </c>
    </row>
    <row r="67" spans="8:11" x14ac:dyDescent="0.25">
      <c r="H67" s="301">
        <v>45977</v>
      </c>
      <c r="I67" s="129" t="s">
        <v>175</v>
      </c>
      <c r="J67" s="68">
        <v>208</v>
      </c>
      <c r="K67" s="318">
        <f>+J67*1.5</f>
        <v>312</v>
      </c>
    </row>
    <row r="68" spans="8:11" x14ac:dyDescent="0.25">
      <c r="H68" s="301">
        <v>45977</v>
      </c>
      <c r="I68" s="129" t="s">
        <v>176</v>
      </c>
      <c r="J68" s="68">
        <v>179</v>
      </c>
      <c r="K68" s="318">
        <f>+J68*1.5</f>
        <v>268.5</v>
      </c>
    </row>
    <row r="69" spans="8:11" x14ac:dyDescent="0.25">
      <c r="H69" s="301"/>
      <c r="I69" s="129"/>
      <c r="K69" s="318"/>
    </row>
    <row r="70" spans="8:11" x14ac:dyDescent="0.25">
      <c r="H70" s="344"/>
      <c r="I70" s="345"/>
      <c r="J70" s="200">
        <f>+SUM(J65:J69)</f>
        <v>652</v>
      </c>
      <c r="K70" s="346">
        <f>+J70*1.5</f>
        <v>978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E47" workbookViewId="0">
      <selection activeCell="A29" sqref="A29:L71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6.7109375" style="162" customWidth="1"/>
    <col min="6" max="6" width="12.5703125" style="162" bestFit="1" customWidth="1"/>
    <col min="7" max="10" width="11.42578125" style="162"/>
    <col min="11" max="11" width="6" style="162" bestFit="1" customWidth="1"/>
    <col min="12" max="16384" width="11.42578125" style="162"/>
  </cols>
  <sheetData>
    <row r="1" spans="1:10" ht="15" customHeight="1" x14ac:dyDescent="0.25">
      <c r="A1" s="161"/>
      <c r="B1" s="518">
        <v>45985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50"/>
      <c r="C4" s="350"/>
      <c r="D4" s="165">
        <f>D25</f>
        <v>8175.7620000000006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1550</v>
      </c>
      <c r="D5" s="172">
        <v>66.275999999999996</v>
      </c>
      <c r="E5" s="80">
        <f>+D5/$D$4</f>
        <v>8.1064003575446533E-3</v>
      </c>
      <c r="F5" s="58" t="s">
        <v>51</v>
      </c>
      <c r="G5" s="59">
        <v>45985</v>
      </c>
      <c r="H5" s="190"/>
      <c r="I5" s="141">
        <v>8175.7620000000006</v>
      </c>
      <c r="J5" s="60" t="e">
        <f t="shared" ref="J5:J12" si="0">+I5/H5</f>
        <v>#DIV/0!</v>
      </c>
    </row>
    <row r="6" spans="1:10" ht="15" customHeight="1" x14ac:dyDescent="0.25">
      <c r="A6" s="164"/>
      <c r="B6" s="169" t="s">
        <v>10</v>
      </c>
      <c r="C6" s="177">
        <v>15059</v>
      </c>
      <c r="D6" s="173">
        <v>642.57799999999997</v>
      </c>
      <c r="E6" s="80">
        <f t="shared" ref="E6:E22" si="1">+D6/$D$4</f>
        <v>7.859548749095191E-2</v>
      </c>
      <c r="F6" s="58" t="s">
        <v>52</v>
      </c>
      <c r="G6" s="59">
        <v>45986</v>
      </c>
      <c r="H6" s="190"/>
      <c r="I6" s="141"/>
      <c r="J6" s="60" t="e">
        <f t="shared" si="0"/>
        <v>#DIV/0!</v>
      </c>
    </row>
    <row r="7" spans="1:10" ht="15" customHeight="1" x14ac:dyDescent="0.25">
      <c r="A7" s="164"/>
      <c r="B7" s="169" t="s">
        <v>35</v>
      </c>
      <c r="C7" s="177">
        <v>27785</v>
      </c>
      <c r="D7" s="173">
        <v>1184.8219999999999</v>
      </c>
      <c r="E7" s="80">
        <f t="shared" si="1"/>
        <v>0.14491884670811109</v>
      </c>
      <c r="F7" s="58" t="s">
        <v>53</v>
      </c>
      <c r="G7" s="59">
        <v>45987</v>
      </c>
      <c r="H7" s="190"/>
      <c r="I7" s="141"/>
      <c r="J7" s="60" t="e">
        <f t="shared" si="0"/>
        <v>#DIV/0!</v>
      </c>
    </row>
    <row r="8" spans="1:10" ht="15" customHeight="1" x14ac:dyDescent="0.25">
      <c r="A8" s="164"/>
      <c r="B8" s="169" t="s">
        <v>4</v>
      </c>
      <c r="C8" s="177">
        <v>3160</v>
      </c>
      <c r="D8" s="173">
        <v>134.80000000000001</v>
      </c>
      <c r="E8" s="80">
        <f t="shared" si="1"/>
        <v>1.6487759795356077E-2</v>
      </c>
      <c r="F8" s="58" t="s">
        <v>54</v>
      </c>
      <c r="G8" s="59">
        <v>45988</v>
      </c>
      <c r="H8" s="190"/>
      <c r="I8" s="141"/>
      <c r="J8" s="60" t="e">
        <f t="shared" si="0"/>
        <v>#DIV/0!</v>
      </c>
    </row>
    <row r="9" spans="1:10" ht="15" customHeight="1" x14ac:dyDescent="0.25">
      <c r="A9" s="164"/>
      <c r="B9" s="169" t="s">
        <v>37</v>
      </c>
      <c r="C9" s="177">
        <v>27927</v>
      </c>
      <c r="D9" s="173">
        <v>1191.7080000000001</v>
      </c>
      <c r="E9" s="245">
        <f t="shared" si="1"/>
        <v>0.14576109236056528</v>
      </c>
      <c r="F9" s="58" t="s">
        <v>55</v>
      </c>
      <c r="G9" s="59">
        <v>45989</v>
      </c>
      <c r="H9" s="190"/>
      <c r="I9" s="141"/>
      <c r="J9" s="60" t="e">
        <f t="shared" si="0"/>
        <v>#DIV/0!</v>
      </c>
    </row>
    <row r="10" spans="1:10" ht="15" customHeight="1" x14ac:dyDescent="0.25">
      <c r="A10" s="164"/>
      <c r="B10" s="169" t="s">
        <v>38</v>
      </c>
      <c r="C10" s="177">
        <v>46350</v>
      </c>
      <c r="D10" s="173">
        <v>1978.4480000000001</v>
      </c>
      <c r="E10" s="245">
        <f t="shared" si="1"/>
        <v>0.24198943168844689</v>
      </c>
      <c r="F10" s="58" t="s">
        <v>56</v>
      </c>
      <c r="G10" s="59">
        <v>45990</v>
      </c>
      <c r="H10" s="190"/>
      <c r="I10" s="141"/>
      <c r="J10" s="60" t="e">
        <f t="shared" si="0"/>
        <v>#DIV/0!</v>
      </c>
    </row>
    <row r="11" spans="1:10" ht="15" customHeight="1" x14ac:dyDescent="0.25">
      <c r="A11" s="164"/>
      <c r="B11" s="169" t="s">
        <v>42</v>
      </c>
      <c r="C11" s="177">
        <v>15353</v>
      </c>
      <c r="D11" s="173">
        <v>653.65099999999995</v>
      </c>
      <c r="E11" s="80">
        <f t="shared" si="1"/>
        <v>7.9949856661678739E-2</v>
      </c>
      <c r="F11" s="58" t="s">
        <v>57</v>
      </c>
      <c r="G11" s="59">
        <v>45991</v>
      </c>
      <c r="H11" s="190"/>
      <c r="I11" s="141"/>
      <c r="J11" s="60" t="e">
        <f t="shared" si="0"/>
        <v>#DIV/0!</v>
      </c>
    </row>
    <row r="12" spans="1:10" ht="15" customHeight="1" x14ac:dyDescent="0.25">
      <c r="A12" s="164"/>
      <c r="B12" s="169" t="s">
        <v>196</v>
      </c>
      <c r="C12" s="177">
        <v>6840</v>
      </c>
      <c r="D12" s="173">
        <v>172.01</v>
      </c>
      <c r="E12" s="80">
        <f t="shared" si="1"/>
        <v>2.1039017525216606E-2</v>
      </c>
      <c r="H12" s="139">
        <f>+SUM(H5:H11)</f>
        <v>0</v>
      </c>
      <c r="I12" s="142">
        <f>+SUM(I5:I11)</f>
        <v>8175.7620000000006</v>
      </c>
      <c r="J12" s="140" t="e">
        <f t="shared" si="0"/>
        <v>#DIV/0!</v>
      </c>
    </row>
    <row r="13" spans="1:10" ht="15" customHeight="1" x14ac:dyDescent="0.25">
      <c r="A13" s="164"/>
      <c r="B13" s="169" t="s">
        <v>95</v>
      </c>
      <c r="C13" s="177">
        <v>144</v>
      </c>
      <c r="D13" s="173">
        <v>3.629</v>
      </c>
      <c r="E13" s="80">
        <f t="shared" si="1"/>
        <v>4.4387299923848074E-4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525</v>
      </c>
      <c r="D14" s="173">
        <v>792.97</v>
      </c>
      <c r="E14" s="80">
        <f t="shared" si="1"/>
        <v>9.6990347811005254E-2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44</v>
      </c>
      <c r="C15" s="177">
        <v>44</v>
      </c>
      <c r="D15" s="173">
        <v>66.3</v>
      </c>
      <c r="E15" s="80">
        <f t="shared" si="1"/>
        <v>8.1093358637396723E-3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103</v>
      </c>
      <c r="D16" s="173">
        <v>154.76</v>
      </c>
      <c r="E16" s="80">
        <f t="shared" si="1"/>
        <v>1.8929122447546784E-2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45</v>
      </c>
      <c r="C17" s="177">
        <v>46</v>
      </c>
      <c r="D17" s="173">
        <v>69.33</v>
      </c>
      <c r="E17" s="80">
        <f t="shared" si="1"/>
        <v>8.4799435208608078E-3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88</v>
      </c>
      <c r="C18" s="177"/>
      <c r="D18" s="173">
        <v>30.31</v>
      </c>
      <c r="E18" s="80">
        <f t="shared" si="1"/>
        <v>3.7072996987926013E-3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43</v>
      </c>
      <c r="C19" s="177">
        <v>67</v>
      </c>
      <c r="D19" s="173">
        <v>101.19</v>
      </c>
      <c r="E19" s="80">
        <f t="shared" si="1"/>
        <v>1.2376827994748377E-2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232</v>
      </c>
      <c r="D20" s="173">
        <v>349</v>
      </c>
      <c r="E20" s="80">
        <f t="shared" si="1"/>
        <v>4.2687152585899633E-2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46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40</v>
      </c>
      <c r="C22" s="177"/>
      <c r="D22" s="173">
        <v>487.84</v>
      </c>
      <c r="E22" s="80">
        <f t="shared" si="1"/>
        <v>5.9669055924083891E-2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63.19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184</v>
      </c>
      <c r="C24" s="177"/>
      <c r="D24" s="173">
        <v>32.950000000000003</v>
      </c>
      <c r="E24" s="80"/>
      <c r="F24" s="112" t="s">
        <v>198</v>
      </c>
      <c r="G24" s="190">
        <v>215275.19500000001</v>
      </c>
      <c r="H24" s="272">
        <f>+D26</f>
        <v>187829.83199999999</v>
      </c>
      <c r="I24" s="98">
        <f t="shared" si="2"/>
        <v>0.87251033264654565</v>
      </c>
      <c r="J24" s="108">
        <f>+H24-G24</f>
        <v>-27445.363000000012</v>
      </c>
    </row>
    <row r="25" spans="1:10" ht="15" customHeight="1" thickBot="1" x14ac:dyDescent="0.3">
      <c r="B25" s="178" t="s">
        <v>0</v>
      </c>
      <c r="C25" s="170"/>
      <c r="D25" s="171">
        <f>SUM(D5:D24)</f>
        <v>8175.7620000000006</v>
      </c>
      <c r="E25" s="80"/>
      <c r="F25" s="112" t="s">
        <v>199</v>
      </c>
      <c r="G25" s="190">
        <v>210045.58799999999</v>
      </c>
      <c r="H25" s="272"/>
      <c r="I25" s="98">
        <f t="shared" si="2"/>
        <v>0</v>
      </c>
      <c r="J25" s="108"/>
    </row>
    <row r="26" spans="1:10" ht="15" customHeight="1" x14ac:dyDescent="0.25">
      <c r="B26" s="166" t="s">
        <v>1</v>
      </c>
      <c r="C26" s="167"/>
      <c r="D26" s="233">
        <v>187829.83199999999</v>
      </c>
      <c r="E26" s="80"/>
      <c r="G26" s="68">
        <f>+SUM(G14:G24)</f>
        <v>2337550.4410000001</v>
      </c>
      <c r="H26" s="68">
        <f>+SUM(H14:H25)</f>
        <v>2314866.6129999994</v>
      </c>
      <c r="I26" s="98">
        <f>+H26/G26</f>
        <v>0.99029589796133055</v>
      </c>
      <c r="J26" s="108">
        <f>+H26-G26</f>
        <v>-22683.828000000678</v>
      </c>
    </row>
    <row r="27" spans="1:10" ht="16.5" thickBot="1" x14ac:dyDescent="0.3"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+D26/F2</f>
        <v>0.82495277858640015</v>
      </c>
      <c r="F28" s="179"/>
      <c r="G28" s="179"/>
      <c r="J28" s="179"/>
    </row>
    <row r="29" spans="1:10" x14ac:dyDescent="0.25">
      <c r="D29" s="108">
        <f>+(F2/30)*24</f>
        <v>182148.44473581263</v>
      </c>
      <c r="E29" s="314">
        <f>+D29/F2</f>
        <v>0.79999999999999993</v>
      </c>
      <c r="F29" s="352">
        <f>+D26-F2</f>
        <v>-39855.72391976582</v>
      </c>
    </row>
    <row r="30" spans="1:10" x14ac:dyDescent="0.25">
      <c r="D30" s="183">
        <f>+D26-D29</f>
        <v>5681.3872641873604</v>
      </c>
      <c r="E30" s="99">
        <f>E28-E29</f>
        <v>2.4952778586400215E-2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460</v>
      </c>
      <c r="D33" s="108">
        <v>2142</v>
      </c>
      <c r="E33" s="57">
        <f>+C33/D33</f>
        <v>0.21475256769374415</v>
      </c>
      <c r="G33" s="86" t="s">
        <v>86</v>
      </c>
      <c r="H33" s="87">
        <v>14846</v>
      </c>
      <c r="I33" s="88">
        <f>+H33*0.025</f>
        <v>371.15000000000003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1739</v>
      </c>
      <c r="D34" s="108">
        <v>1890</v>
      </c>
      <c r="E34" s="57">
        <f>+C34/D34</f>
        <v>0.92010582010582009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982</v>
      </c>
      <c r="D35" s="108">
        <v>3006</v>
      </c>
      <c r="E35" s="57">
        <f>+C35/D35</f>
        <v>0.32667997338656024</v>
      </c>
      <c r="G35" s="89" t="s">
        <v>169</v>
      </c>
      <c r="H35" s="87">
        <v>94</v>
      </c>
      <c r="I35" s="88">
        <f>+H35*1.5</f>
        <v>141</v>
      </c>
      <c r="J35" s="298">
        <f>+I35+I33</f>
        <v>512.15000000000009</v>
      </c>
    </row>
    <row r="36" spans="1:11" x14ac:dyDescent="0.25">
      <c r="C36" s="162">
        <f>+SUM(C33:C35)</f>
        <v>3181</v>
      </c>
      <c r="D36" s="110">
        <f>+SUM(D33:D35)</f>
        <v>7038</v>
      </c>
      <c r="E36" s="57">
        <f>+C36/D36</f>
        <v>0.45197499289570903</v>
      </c>
      <c r="G36" s="89" t="s">
        <v>168</v>
      </c>
      <c r="H36" s="87">
        <v>23</v>
      </c>
      <c r="I36" s="88">
        <f>+H36*1.5</f>
        <v>34.5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12</v>
      </c>
      <c r="C40" s="74">
        <v>6</v>
      </c>
      <c r="D40" s="74">
        <v>20</v>
      </c>
      <c r="E40" s="75">
        <f>+SUM(B40:D40)</f>
        <v>38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9.82</v>
      </c>
      <c r="C44" s="199">
        <v>1937</v>
      </c>
      <c r="D44" s="200">
        <v>3600</v>
      </c>
      <c r="E44" s="201">
        <f t="shared" si="3"/>
        <v>0.53805555555555551</v>
      </c>
      <c r="F44" s="201">
        <f t="shared" si="4"/>
        <v>0.40916666666666668</v>
      </c>
      <c r="G44" s="202">
        <v>12</v>
      </c>
      <c r="H44" s="71"/>
    </row>
    <row r="45" spans="1:11" x14ac:dyDescent="0.25">
      <c r="A45" s="207" t="s">
        <v>72</v>
      </c>
      <c r="B45" s="199">
        <v>10.92</v>
      </c>
      <c r="C45" s="199">
        <v>1295</v>
      </c>
      <c r="D45" s="200">
        <v>3900</v>
      </c>
      <c r="E45" s="201">
        <f t="shared" si="3"/>
        <v>0.33205128205128204</v>
      </c>
      <c r="F45" s="201">
        <f t="shared" si="4"/>
        <v>0.45500000000000002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10.07</v>
      </c>
      <c r="C46" s="199">
        <v>2835</v>
      </c>
      <c r="D46" s="200">
        <v>3900</v>
      </c>
      <c r="E46" s="201">
        <f t="shared" si="3"/>
        <v>0.72692307692307689</v>
      </c>
      <c r="F46" s="201">
        <f t="shared" si="4"/>
        <v>0.41958333333333336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15.39</v>
      </c>
      <c r="C47" s="199">
        <v>2653</v>
      </c>
      <c r="D47" s="200">
        <v>3900</v>
      </c>
      <c r="E47" s="201">
        <f t="shared" si="3"/>
        <v>0.68025641025641026</v>
      </c>
      <c r="F47" s="201">
        <f t="shared" si="4"/>
        <v>0.64124999999999999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8.6199999999999992</v>
      </c>
      <c r="C48" s="261">
        <v>0</v>
      </c>
      <c r="D48" s="262">
        <v>4300</v>
      </c>
      <c r="E48" s="263">
        <f t="shared" si="3"/>
        <v>0</v>
      </c>
      <c r="F48" s="201">
        <f t="shared" si="4"/>
        <v>0.35916666666666663</v>
      </c>
      <c r="G48" s="202">
        <v>16</v>
      </c>
      <c r="H48" s="301"/>
      <c r="I48" s="129"/>
      <c r="K48" s="318">
        <f t="shared" si="5"/>
        <v>0</v>
      </c>
    </row>
    <row r="49" spans="2:11" x14ac:dyDescent="0.25">
      <c r="B49" s="113">
        <f>+SUM(B43:B48)</f>
        <v>54.82</v>
      </c>
      <c r="C49" s="71"/>
      <c r="D49" s="72"/>
      <c r="H49" s="301"/>
      <c r="I49" s="129"/>
      <c r="K49" s="318">
        <f t="shared" si="5"/>
        <v>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>
        <f t="shared" si="5"/>
        <v>0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+J47+J46</f>
        <v>168</v>
      </c>
      <c r="K52" s="346">
        <f t="shared" si="5"/>
        <v>252</v>
      </c>
    </row>
    <row r="53" spans="2:11" x14ac:dyDescent="0.25">
      <c r="C53" s="71">
        <v>3</v>
      </c>
      <c r="D53" s="225" t="s">
        <v>154</v>
      </c>
      <c r="J53" s="68">
        <f>+J70-338</f>
        <v>314</v>
      </c>
    </row>
    <row r="54" spans="2:11" x14ac:dyDescent="0.25">
      <c r="C54" s="71">
        <v>4</v>
      </c>
      <c r="D54" s="108">
        <v>1</v>
      </c>
    </row>
    <row r="55" spans="2:11" x14ac:dyDescent="0.25">
      <c r="C55" s="71">
        <v>5</v>
      </c>
      <c r="D55" s="108">
        <v>10</v>
      </c>
    </row>
    <row r="56" spans="2:11" x14ac:dyDescent="0.25">
      <c r="C56" s="71">
        <v>6</v>
      </c>
      <c r="D56" s="108">
        <v>6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2354</v>
      </c>
      <c r="K57" s="318">
        <f>+J57*0.025</f>
        <v>58.85</v>
      </c>
    </row>
    <row r="58" spans="2:11" x14ac:dyDescent="0.25">
      <c r="C58" s="71">
        <v>8</v>
      </c>
      <c r="D58" s="225" t="s">
        <v>153</v>
      </c>
      <c r="H58" s="301">
        <v>45984</v>
      </c>
      <c r="I58" s="129" t="s">
        <v>175</v>
      </c>
      <c r="J58" s="162">
        <v>6792</v>
      </c>
      <c r="K58" s="318">
        <f>+J58*0.025</f>
        <v>169.8</v>
      </c>
    </row>
    <row r="59" spans="2:11" x14ac:dyDescent="0.25">
      <c r="H59" s="344"/>
      <c r="I59" s="345"/>
      <c r="J59" s="200">
        <f>+J58</f>
        <v>6792</v>
      </c>
      <c r="K59" s="346">
        <f>+J59*0.025</f>
        <v>169.8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45976</v>
      </c>
      <c r="I65" s="129" t="s">
        <v>175</v>
      </c>
      <c r="J65" s="68">
        <v>95</v>
      </c>
      <c r="K65" s="318">
        <f>+J65*1.5</f>
        <v>142.5</v>
      </c>
    </row>
    <row r="66" spans="8:11" x14ac:dyDescent="0.25">
      <c r="H66" s="301">
        <v>45976</v>
      </c>
      <c r="I66" s="129" t="s">
        <v>176</v>
      </c>
      <c r="J66" s="68">
        <v>170</v>
      </c>
      <c r="K66" s="318">
        <f>+J66*1.5</f>
        <v>255</v>
      </c>
    </row>
    <row r="67" spans="8:11" x14ac:dyDescent="0.25">
      <c r="H67" s="301">
        <v>45977</v>
      </c>
      <c r="I67" s="129" t="s">
        <v>175</v>
      </c>
      <c r="J67" s="68">
        <v>208</v>
      </c>
      <c r="K67" s="318">
        <f>+J67*1.5</f>
        <v>312</v>
      </c>
    </row>
    <row r="68" spans="8:11" x14ac:dyDescent="0.25">
      <c r="H68" s="301">
        <v>45977</v>
      </c>
      <c r="I68" s="129" t="s">
        <v>176</v>
      </c>
      <c r="J68" s="68">
        <v>179</v>
      </c>
      <c r="K68" s="318">
        <f>+J68*1.5</f>
        <v>268.5</v>
      </c>
    </row>
    <row r="69" spans="8:11" x14ac:dyDescent="0.25">
      <c r="H69" s="301"/>
      <c r="I69" s="129"/>
      <c r="K69" s="318"/>
    </row>
    <row r="70" spans="8:11" x14ac:dyDescent="0.25">
      <c r="H70" s="344"/>
      <c r="I70" s="345"/>
      <c r="J70" s="200">
        <f>+SUM(J65:J69)</f>
        <v>652</v>
      </c>
      <c r="K70" s="346">
        <f>+J70*1.5</f>
        <v>978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45" zoomScale="90" zoomScaleNormal="90" workbookViewId="0">
      <selection activeCell="A29" sqref="A29:K70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6.7109375" style="162" customWidth="1"/>
    <col min="6" max="16384" width="11.42578125" style="162"/>
  </cols>
  <sheetData>
    <row r="1" spans="1:10" ht="15" customHeight="1" x14ac:dyDescent="0.25">
      <c r="A1" s="161"/>
      <c r="B1" s="518">
        <v>45986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51"/>
      <c r="C4" s="351"/>
      <c r="D4" s="165">
        <f>D25</f>
        <v>10276.096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2190</v>
      </c>
      <c r="D5" s="172">
        <v>93.572000000000003</v>
      </c>
      <c r="E5" s="80">
        <f>+D5/$D$4</f>
        <v>9.105792705712365E-3</v>
      </c>
      <c r="F5" s="58" t="s">
        <v>51</v>
      </c>
      <c r="G5" s="59">
        <v>45985</v>
      </c>
      <c r="H5" s="190">
        <v>6217</v>
      </c>
      <c r="I5" s="141">
        <v>8175.7620000000006</v>
      </c>
      <c r="J5" s="60">
        <f t="shared" ref="J5:J12" si="0">+I5/H5</f>
        <v>1.315065465658678</v>
      </c>
    </row>
    <row r="6" spans="1:10" ht="15" customHeight="1" x14ac:dyDescent="0.25">
      <c r="A6" s="164"/>
      <c r="B6" s="169" t="s">
        <v>10</v>
      </c>
      <c r="C6" s="177">
        <v>16185</v>
      </c>
      <c r="D6" s="173">
        <v>690.96799999999996</v>
      </c>
      <c r="E6" s="80">
        <f t="shared" ref="E6:E22" si="1">+D6/$D$4</f>
        <v>6.7240321616302529E-2</v>
      </c>
      <c r="F6" s="58" t="s">
        <v>52</v>
      </c>
      <c r="G6" s="59">
        <v>45986</v>
      </c>
      <c r="H6" s="190">
        <v>9041</v>
      </c>
      <c r="I6" s="141">
        <v>10276.096</v>
      </c>
      <c r="J6" s="60">
        <f t="shared" si="0"/>
        <v>1.1366105519300962</v>
      </c>
    </row>
    <row r="7" spans="1:10" ht="15" customHeight="1" x14ac:dyDescent="0.25">
      <c r="A7" s="164"/>
      <c r="B7" s="169" t="s">
        <v>35</v>
      </c>
      <c r="C7" s="177">
        <v>28121</v>
      </c>
      <c r="D7" s="173">
        <v>1200.0160000000001</v>
      </c>
      <c r="E7" s="80">
        <f t="shared" si="1"/>
        <v>0.11677742208714284</v>
      </c>
      <c r="F7" s="58" t="s">
        <v>53</v>
      </c>
      <c r="G7" s="59">
        <v>45987</v>
      </c>
      <c r="H7" s="190">
        <v>9356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9364</v>
      </c>
      <c r="D8" s="173">
        <v>398.964</v>
      </c>
      <c r="E8" s="80">
        <f t="shared" si="1"/>
        <v>3.8824471861687554E-2</v>
      </c>
      <c r="F8" s="58" t="s">
        <v>54</v>
      </c>
      <c r="G8" s="59">
        <v>45988</v>
      </c>
      <c r="H8" s="190">
        <v>8755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51640</v>
      </c>
      <c r="D9" s="173">
        <v>2202.4119999999998</v>
      </c>
      <c r="E9" s="245">
        <f t="shared" si="1"/>
        <v>0.21432380546075083</v>
      </c>
      <c r="F9" s="58" t="s">
        <v>55</v>
      </c>
      <c r="G9" s="59">
        <v>45989</v>
      </c>
      <c r="H9" s="190">
        <v>7049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50993</v>
      </c>
      <c r="D10" s="173">
        <v>2177.3980000000001</v>
      </c>
      <c r="E10" s="245">
        <f t="shared" si="1"/>
        <v>0.21188961255324981</v>
      </c>
      <c r="F10" s="58" t="s">
        <v>56</v>
      </c>
      <c r="G10" s="59">
        <v>45990</v>
      </c>
      <c r="H10" s="190">
        <v>6751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12892</v>
      </c>
      <c r="D11" s="173">
        <v>549.69600000000003</v>
      </c>
      <c r="E11" s="80">
        <f t="shared" si="1"/>
        <v>5.3492688273834736E-2</v>
      </c>
      <c r="F11" s="58" t="s">
        <v>57</v>
      </c>
      <c r="G11" s="59">
        <v>45991</v>
      </c>
      <c r="H11" s="190">
        <v>5905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196</v>
      </c>
      <c r="C12" s="177">
        <v>4032</v>
      </c>
      <c r="D12" s="173">
        <v>101.35</v>
      </c>
      <c r="E12" s="80">
        <f t="shared" si="1"/>
        <v>9.8626949378440992E-3</v>
      </c>
      <c r="H12" s="139">
        <f>+SUM(H5:H11)</f>
        <v>53074</v>
      </c>
      <c r="I12" s="142">
        <f>+SUM(I5:I11)</f>
        <v>18451.858</v>
      </c>
      <c r="J12" s="140">
        <f t="shared" si="0"/>
        <v>0.34766284809888082</v>
      </c>
    </row>
    <row r="13" spans="1:10" ht="15" customHeight="1" x14ac:dyDescent="0.25">
      <c r="A13" s="164"/>
      <c r="B13" s="169" t="s">
        <v>95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423</v>
      </c>
      <c r="D14" s="173">
        <v>638.99</v>
      </c>
      <c r="E14" s="80">
        <f t="shared" si="1"/>
        <v>6.2182175020552559E-2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44</v>
      </c>
      <c r="C15" s="177">
        <v>22</v>
      </c>
      <c r="D15" s="173">
        <v>33.26</v>
      </c>
      <c r="E15" s="80">
        <f t="shared" si="1"/>
        <v>3.2366377270122816E-3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20</v>
      </c>
      <c r="D16" s="173">
        <v>30.08</v>
      </c>
      <c r="E16" s="80">
        <f t="shared" si="1"/>
        <v>2.9271816845619194E-3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45</v>
      </c>
      <c r="C17" s="177">
        <v>69</v>
      </c>
      <c r="D17" s="173">
        <v>103.55</v>
      </c>
      <c r="E17" s="80">
        <f t="shared" si="1"/>
        <v>1.0076784023816048E-2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88</v>
      </c>
      <c r="C18" s="177"/>
      <c r="D18" s="173">
        <v>60.53</v>
      </c>
      <c r="E18" s="80">
        <f t="shared" si="1"/>
        <v>5.8903692608554851E-3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43</v>
      </c>
      <c r="C19" s="177">
        <f>548+22</f>
        <v>570</v>
      </c>
      <c r="D19" s="173">
        <f>827.96+33.18</f>
        <v>861.14</v>
      </c>
      <c r="E19" s="80">
        <f t="shared" si="1"/>
        <v>8.3800307042674577E-2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230</v>
      </c>
      <c r="D20" s="173">
        <v>345.9</v>
      </c>
      <c r="E20" s="80">
        <f t="shared" si="1"/>
        <v>3.3660643108044147E-2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46</v>
      </c>
      <c r="C21" s="177"/>
      <c r="D21" s="173">
        <v>60.06</v>
      </c>
      <c r="E21" s="80">
        <f t="shared" si="1"/>
        <v>5.8446320470342053E-3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40</v>
      </c>
      <c r="C22" s="177"/>
      <c r="D22" s="173">
        <v>666.04</v>
      </c>
      <c r="E22" s="80">
        <f t="shared" si="1"/>
        <v>6.4814497645798566E-2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62.17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184</v>
      </c>
      <c r="C24" s="177"/>
      <c r="D24" s="173"/>
      <c r="E24" s="80"/>
      <c r="F24" s="112" t="s">
        <v>198</v>
      </c>
      <c r="G24" s="190">
        <v>215275.19500000001</v>
      </c>
      <c r="H24" s="272">
        <f>+D26</f>
        <v>198165.79</v>
      </c>
      <c r="I24" s="98">
        <f t="shared" si="2"/>
        <v>0.92052310067585819</v>
      </c>
      <c r="J24" s="108">
        <f>+H24-G24</f>
        <v>-17109.404999999999</v>
      </c>
    </row>
    <row r="25" spans="1:10" ht="15" customHeight="1" thickBot="1" x14ac:dyDescent="0.3">
      <c r="B25" s="178" t="s">
        <v>0</v>
      </c>
      <c r="C25" s="170"/>
      <c r="D25" s="171">
        <f>SUM(D5:D24)</f>
        <v>10276.096</v>
      </c>
      <c r="E25" s="80"/>
      <c r="F25" s="112" t="s">
        <v>199</v>
      </c>
      <c r="G25" s="190">
        <v>210045.58799999999</v>
      </c>
      <c r="H25" s="272"/>
      <c r="I25" s="98">
        <f t="shared" si="2"/>
        <v>0</v>
      </c>
      <c r="J25" s="108"/>
    </row>
    <row r="26" spans="1:10" ht="15" customHeight="1" x14ac:dyDescent="0.25">
      <c r="B26" s="166" t="s">
        <v>1</v>
      </c>
      <c r="C26" s="167"/>
      <c r="D26" s="233">
        <v>198165.79</v>
      </c>
      <c r="E26" s="80"/>
      <c r="G26" s="68">
        <f>+SUM(G14:G24)</f>
        <v>2337550.4410000001</v>
      </c>
      <c r="H26" s="68">
        <f>+SUM(H14:H25)</f>
        <v>2325202.5709999995</v>
      </c>
      <c r="I26" s="98">
        <f>+H26/G26</f>
        <v>0.99471760275910104</v>
      </c>
      <c r="J26" s="108">
        <f>+H26-G26</f>
        <v>-12347.870000000577</v>
      </c>
    </row>
    <row r="27" spans="1:10" ht="16.5" thickBot="1" x14ac:dyDescent="0.3"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+D26/F2</f>
        <v>0.87034853484439612</v>
      </c>
      <c r="F28" s="179"/>
      <c r="G28" s="179"/>
      <c r="J28" s="179"/>
    </row>
    <row r="29" spans="1:10" x14ac:dyDescent="0.25">
      <c r="D29" s="108">
        <f>+(F2/30)*25</f>
        <v>189737.96326647149</v>
      </c>
      <c r="E29" s="314">
        <f>+D29/F2</f>
        <v>0.83333333333333326</v>
      </c>
      <c r="F29" s="352">
        <f>+D26-F2</f>
        <v>-29519.765919765807</v>
      </c>
    </row>
    <row r="30" spans="1:10" x14ac:dyDescent="0.25">
      <c r="D30" s="183">
        <f>+D26-D29</f>
        <v>8427.82673352852</v>
      </c>
      <c r="E30" s="99">
        <f>E28-E29</f>
        <v>3.7015201511062856E-2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665</v>
      </c>
      <c r="D33" s="108">
        <v>2142</v>
      </c>
      <c r="E33" s="57">
        <f>+C33/D33</f>
        <v>0.31045751633986929</v>
      </c>
      <c r="G33" s="86" t="s">
        <v>86</v>
      </c>
      <c r="H33" s="87">
        <v>14846</v>
      </c>
      <c r="I33" s="88">
        <f>+H33*0.025</f>
        <v>371.15000000000003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1792</v>
      </c>
      <c r="D34" s="108">
        <v>1890</v>
      </c>
      <c r="E34" s="57">
        <f>+C34/D34</f>
        <v>0.94814814814814818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1005</v>
      </c>
      <c r="D35" s="108">
        <v>3006</v>
      </c>
      <c r="E35" s="57">
        <f>+C35/D35</f>
        <v>0.33433133732534931</v>
      </c>
      <c r="G35" s="89" t="s">
        <v>169</v>
      </c>
      <c r="H35" s="87">
        <v>85</v>
      </c>
      <c r="I35" s="88">
        <f>+H35*1.5</f>
        <v>127.5</v>
      </c>
      <c r="J35" s="298">
        <f>+I35+I33</f>
        <v>498.65000000000003</v>
      </c>
    </row>
    <row r="36" spans="1:11" x14ac:dyDescent="0.25">
      <c r="C36" s="162">
        <f>+SUM(C33:C35)</f>
        <v>3462</v>
      </c>
      <c r="D36" s="110">
        <f>+SUM(D33:D35)</f>
        <v>7038</v>
      </c>
      <c r="E36" s="57">
        <f>+C36/D36</f>
        <v>0.4919011082693947</v>
      </c>
      <c r="G36" s="89" t="s">
        <v>168</v>
      </c>
      <c r="H36" s="87">
        <v>22</v>
      </c>
      <c r="I36" s="88">
        <f>+H36*1.5</f>
        <v>33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23</v>
      </c>
      <c r="C40" s="74">
        <v>4</v>
      </c>
      <c r="D40" s="74">
        <v>14</v>
      </c>
      <c r="E40" s="75">
        <f>+SUM(B40:D40)</f>
        <v>41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10.19</v>
      </c>
      <c r="C44" s="199">
        <v>2096</v>
      </c>
      <c r="D44" s="200">
        <v>3600</v>
      </c>
      <c r="E44" s="201">
        <f t="shared" si="3"/>
        <v>0.5822222222222222</v>
      </c>
      <c r="F44" s="201">
        <f t="shared" si="4"/>
        <v>0.42458333333333331</v>
      </c>
      <c r="G44" s="202">
        <v>12</v>
      </c>
      <c r="H44" s="71"/>
    </row>
    <row r="45" spans="1:11" x14ac:dyDescent="0.25">
      <c r="A45" s="207" t="s">
        <v>72</v>
      </c>
      <c r="B45" s="199">
        <v>9.0399999999999991</v>
      </c>
      <c r="C45" s="199">
        <v>1432</v>
      </c>
      <c r="D45" s="200">
        <v>3900</v>
      </c>
      <c r="E45" s="201">
        <f t="shared" si="3"/>
        <v>0.36717948717948717</v>
      </c>
      <c r="F45" s="201">
        <f t="shared" si="4"/>
        <v>0.37666666666666665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13.24</v>
      </c>
      <c r="C46" s="199">
        <v>2878</v>
      </c>
      <c r="D46" s="200">
        <v>3900</v>
      </c>
      <c r="E46" s="201">
        <f t="shared" si="3"/>
        <v>0.73794871794871797</v>
      </c>
      <c r="F46" s="201">
        <f t="shared" si="4"/>
        <v>0.55166666666666664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15.68</v>
      </c>
      <c r="C47" s="199">
        <v>2977</v>
      </c>
      <c r="D47" s="200">
        <v>3900</v>
      </c>
      <c r="E47" s="201">
        <f t="shared" si="3"/>
        <v>0.76333333333333331</v>
      </c>
      <c r="F47" s="201">
        <f t="shared" si="4"/>
        <v>0.65333333333333332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16.77</v>
      </c>
      <c r="C48" s="261">
        <v>69.900000000000006</v>
      </c>
      <c r="D48" s="262">
        <v>4300</v>
      </c>
      <c r="E48" s="263">
        <f t="shared" si="3"/>
        <v>1.6255813953488372E-2</v>
      </c>
      <c r="F48" s="201">
        <f t="shared" si="4"/>
        <v>0.69874999999999998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5"/>
        <v>42</v>
      </c>
    </row>
    <row r="49" spans="2:11" x14ac:dyDescent="0.25">
      <c r="B49" s="113">
        <f>+SUM(B43:B48)</f>
        <v>64.92</v>
      </c>
      <c r="C49" s="71"/>
      <c r="D49" s="72"/>
      <c r="H49" s="301"/>
      <c r="I49" s="129"/>
      <c r="K49" s="318">
        <f t="shared" si="5"/>
        <v>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>
        <f t="shared" si="5"/>
        <v>0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+J48</f>
        <v>28</v>
      </c>
      <c r="K52" s="346">
        <f t="shared" si="5"/>
        <v>42</v>
      </c>
    </row>
    <row r="53" spans="2:11" x14ac:dyDescent="0.25">
      <c r="C53" s="71">
        <v>3</v>
      </c>
      <c r="D53" s="225" t="s">
        <v>154</v>
      </c>
      <c r="J53" s="68"/>
    </row>
    <row r="54" spans="2:11" x14ac:dyDescent="0.25">
      <c r="C54" s="71">
        <v>4</v>
      </c>
      <c r="D54" s="108">
        <v>1</v>
      </c>
    </row>
    <row r="55" spans="2:11" x14ac:dyDescent="0.25">
      <c r="C55" s="71">
        <v>5</v>
      </c>
      <c r="D55" s="108">
        <v>1</v>
      </c>
    </row>
    <row r="56" spans="2:11" x14ac:dyDescent="0.25">
      <c r="C56" s="71">
        <v>6</v>
      </c>
      <c r="D56" s="108">
        <v>10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2354</v>
      </c>
      <c r="K57" s="318">
        <f>+J57*0.025</f>
        <v>58.85</v>
      </c>
    </row>
    <row r="58" spans="2:11" x14ac:dyDescent="0.25">
      <c r="C58" s="71">
        <v>8</v>
      </c>
      <c r="D58" s="225" t="s">
        <v>153</v>
      </c>
      <c r="H58" s="301">
        <v>45984</v>
      </c>
      <c r="I58" s="129" t="s">
        <v>175</v>
      </c>
      <c r="J58" s="162">
        <v>6792</v>
      </c>
      <c r="K58" s="318">
        <f>+J58*0.025</f>
        <v>169.8</v>
      </c>
    </row>
    <row r="59" spans="2:11" x14ac:dyDescent="0.25">
      <c r="H59" s="344"/>
      <c r="I59" s="345"/>
      <c r="J59" s="200">
        <f>+J58</f>
        <v>6792</v>
      </c>
      <c r="K59" s="346">
        <f>+J59*0.025</f>
        <v>169.8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45976</v>
      </c>
      <c r="I65" s="129" t="s">
        <v>175</v>
      </c>
      <c r="J65" s="68">
        <v>95</v>
      </c>
      <c r="K65" s="318">
        <f>+J65*1.5</f>
        <v>142.5</v>
      </c>
    </row>
    <row r="66" spans="8:11" x14ac:dyDescent="0.25">
      <c r="H66" s="301">
        <v>45976</v>
      </c>
      <c r="I66" s="129" t="s">
        <v>176</v>
      </c>
      <c r="J66" s="68">
        <v>170</v>
      </c>
      <c r="K66" s="318">
        <f>+J66*1.5</f>
        <v>255</v>
      </c>
    </row>
    <row r="67" spans="8:11" x14ac:dyDescent="0.25">
      <c r="H67" s="301">
        <v>45977</v>
      </c>
      <c r="I67" s="129" t="s">
        <v>175</v>
      </c>
      <c r="J67" s="68">
        <v>208</v>
      </c>
      <c r="K67" s="318">
        <f>+J67*1.5</f>
        <v>312</v>
      </c>
    </row>
    <row r="68" spans="8:11" x14ac:dyDescent="0.25">
      <c r="H68" s="301">
        <v>45977</v>
      </c>
      <c r="I68" s="129" t="s">
        <v>176</v>
      </c>
      <c r="J68" s="68">
        <v>179</v>
      </c>
      <c r="K68" s="318">
        <f>+J68*1.5</f>
        <v>268.5</v>
      </c>
    </row>
    <row r="69" spans="8:11" x14ac:dyDescent="0.25">
      <c r="H69" s="301"/>
      <c r="I69" s="129"/>
      <c r="K69" s="318"/>
    </row>
    <row r="70" spans="8:11" x14ac:dyDescent="0.25">
      <c r="H70" s="344"/>
      <c r="I70" s="345"/>
      <c r="J70" s="200">
        <f>+SUM(J65:J69)</f>
        <v>652</v>
      </c>
      <c r="K70" s="346">
        <f>+J70*1.5</f>
        <v>978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18" workbookViewId="0">
      <selection activeCell="A29" sqref="A29:L71"/>
    </sheetView>
  </sheetViews>
  <sheetFormatPr baseColWidth="10" defaultColWidth="11.42578125" defaultRowHeight="15.75" x14ac:dyDescent="0.25"/>
  <cols>
    <col min="1" max="1" width="2.42578125" style="162" customWidth="1"/>
    <col min="2" max="2" width="47.28515625" style="162" customWidth="1"/>
    <col min="3" max="3" width="13.28515625" style="162" customWidth="1"/>
    <col min="4" max="4" width="14.5703125" style="163" customWidth="1"/>
    <col min="5" max="5" width="14.28515625" style="162" customWidth="1"/>
    <col min="6" max="6" width="16.85546875" style="162" customWidth="1"/>
    <col min="7" max="7" width="16.140625" style="162" customWidth="1"/>
    <col min="8" max="10" width="11.42578125" style="162"/>
    <col min="11" max="11" width="6" style="162" bestFit="1" customWidth="1"/>
    <col min="12" max="16384" width="11.42578125" style="162"/>
  </cols>
  <sheetData>
    <row r="1" spans="1:10" ht="15" customHeight="1" x14ac:dyDescent="0.25">
      <c r="A1" s="161"/>
      <c r="B1" s="518">
        <v>45987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51"/>
      <c r="C4" s="351"/>
      <c r="D4" s="165">
        <f>D25</f>
        <v>10515.608000000002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3140</v>
      </c>
      <c r="D5" s="172">
        <v>133.97</v>
      </c>
      <c r="E5" s="80">
        <f>+D5/$D$4</f>
        <v>1.2740109749241316E-2</v>
      </c>
      <c r="F5" s="58" t="s">
        <v>51</v>
      </c>
      <c r="G5" s="59">
        <v>45985</v>
      </c>
      <c r="H5" s="190">
        <v>6217</v>
      </c>
      <c r="I5" s="141">
        <v>8175.7620000000006</v>
      </c>
      <c r="J5" s="60">
        <f t="shared" ref="J5:J12" si="0">+I5/H5</f>
        <v>1.315065465658678</v>
      </c>
    </row>
    <row r="6" spans="1:10" ht="15" customHeight="1" x14ac:dyDescent="0.25">
      <c r="A6" s="164"/>
      <c r="B6" s="169" t="s">
        <v>10</v>
      </c>
      <c r="C6" s="177">
        <v>19832</v>
      </c>
      <c r="D6" s="173">
        <v>845.87</v>
      </c>
      <c r="E6" s="80">
        <f t="shared" ref="E6:E22" si="1">+D6/$D$4</f>
        <v>8.0439476252823411E-2</v>
      </c>
      <c r="F6" s="58" t="s">
        <v>52</v>
      </c>
      <c r="G6" s="59">
        <v>45986</v>
      </c>
      <c r="H6" s="190">
        <v>9041</v>
      </c>
      <c r="I6" s="141">
        <v>10276.096</v>
      </c>
      <c r="J6" s="60">
        <f t="shared" si="0"/>
        <v>1.1366105519300962</v>
      </c>
    </row>
    <row r="7" spans="1:10" ht="15" customHeight="1" x14ac:dyDescent="0.25">
      <c r="A7" s="164"/>
      <c r="B7" s="169" t="s">
        <v>35</v>
      </c>
      <c r="C7" s="177">
        <v>27240</v>
      </c>
      <c r="D7" s="173">
        <v>1162.104</v>
      </c>
      <c r="E7" s="80">
        <f t="shared" si="1"/>
        <v>0.11051229752953894</v>
      </c>
      <c r="F7" s="58" t="s">
        <v>53</v>
      </c>
      <c r="G7" s="59">
        <v>45987</v>
      </c>
      <c r="H7" s="190">
        <v>9356</v>
      </c>
      <c r="I7" s="141">
        <v>10515.608000000002</v>
      </c>
      <c r="J7" s="60">
        <f t="shared" si="0"/>
        <v>1.1239427105600686</v>
      </c>
    </row>
    <row r="8" spans="1:10" ht="15" customHeight="1" x14ac:dyDescent="0.25">
      <c r="A8" s="164"/>
      <c r="B8" s="169" t="s">
        <v>4</v>
      </c>
      <c r="C8" s="177">
        <v>3094</v>
      </c>
      <c r="D8" s="173">
        <v>131.792</v>
      </c>
      <c r="E8" s="80">
        <f t="shared" si="1"/>
        <v>1.2532989057789143E-2</v>
      </c>
      <c r="F8" s="58" t="s">
        <v>54</v>
      </c>
      <c r="G8" s="59">
        <v>45988</v>
      </c>
      <c r="H8" s="190">
        <v>8755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49952</v>
      </c>
      <c r="D9" s="173">
        <v>2130.886</v>
      </c>
      <c r="E9" s="245">
        <f t="shared" si="1"/>
        <v>0.20264030382266052</v>
      </c>
      <c r="F9" s="58" t="s">
        <v>55</v>
      </c>
      <c r="G9" s="59">
        <v>45989</v>
      </c>
      <c r="H9" s="190">
        <v>7049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63161</v>
      </c>
      <c r="D10" s="173">
        <v>2694.91</v>
      </c>
      <c r="E10" s="245">
        <f t="shared" si="1"/>
        <v>0.25627714536334933</v>
      </c>
      <c r="F10" s="58" t="s">
        <v>56</v>
      </c>
      <c r="G10" s="59">
        <v>45990</v>
      </c>
      <c r="H10" s="190">
        <v>6751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10054</v>
      </c>
      <c r="D11" s="173">
        <v>428.86599999999999</v>
      </c>
      <c r="E11" s="80">
        <f t="shared" si="1"/>
        <v>4.078375686883725E-2</v>
      </c>
      <c r="F11" s="58" t="s">
        <v>57</v>
      </c>
      <c r="G11" s="59">
        <v>45991</v>
      </c>
      <c r="H11" s="190">
        <v>5905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196</v>
      </c>
      <c r="C12" s="177">
        <v>3960</v>
      </c>
      <c r="D12" s="173">
        <v>99.58</v>
      </c>
      <c r="E12" s="80">
        <f t="shared" si="1"/>
        <v>9.4697329911879544E-3</v>
      </c>
      <c r="H12" s="139">
        <f>+SUM(H5:H11)</f>
        <v>53074</v>
      </c>
      <c r="I12" s="142">
        <f>+SUM(I5:I11)</f>
        <v>28967.466</v>
      </c>
      <c r="J12" s="140">
        <f t="shared" si="0"/>
        <v>0.54579391038926783</v>
      </c>
    </row>
    <row r="13" spans="1:10" ht="15" customHeight="1" x14ac:dyDescent="0.25">
      <c r="A13" s="164"/>
      <c r="B13" s="169" t="s">
        <v>44</v>
      </c>
      <c r="C13" s="177">
        <v>68</v>
      </c>
      <c r="D13" s="173">
        <v>102.75</v>
      </c>
      <c r="E13" s="80">
        <f t="shared" si="1"/>
        <v>9.7711896449544314E-3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507</v>
      </c>
      <c r="D14" s="173">
        <v>765.79</v>
      </c>
      <c r="E14" s="80">
        <f t="shared" si="1"/>
        <v>7.2824129617612199E-2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540</v>
      </c>
      <c r="D15" s="173">
        <v>815.75</v>
      </c>
      <c r="E15" s="80">
        <f t="shared" si="1"/>
        <v>7.7575162558360847E-2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63</v>
      </c>
      <c r="D16" s="173">
        <v>94.77</v>
      </c>
      <c r="E16" s="80">
        <f t="shared" si="1"/>
        <v>9.0123176900470219E-3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45</v>
      </c>
      <c r="C17" s="177">
        <v>115</v>
      </c>
      <c r="D17" s="173">
        <v>173.01</v>
      </c>
      <c r="E17" s="80">
        <f t="shared" si="1"/>
        <v>1.6452686330642979E-2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88</v>
      </c>
      <c r="C18" s="177">
        <v>40</v>
      </c>
      <c r="D18" s="173">
        <v>60.52</v>
      </c>
      <c r="E18" s="80">
        <f t="shared" si="1"/>
        <v>5.7552544750622114E-3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43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213</v>
      </c>
      <c r="D20" s="173">
        <v>320.32</v>
      </c>
      <c r="E20" s="80">
        <f t="shared" si="1"/>
        <v>3.0461386540844803E-2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46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40</v>
      </c>
      <c r="C22" s="177"/>
      <c r="D22" s="173">
        <v>462.02</v>
      </c>
      <c r="E22" s="80">
        <f t="shared" si="1"/>
        <v>4.3936594060942545E-2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60.27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184</v>
      </c>
      <c r="C24" s="177"/>
      <c r="D24" s="173">
        <v>32.43</v>
      </c>
      <c r="E24" s="80"/>
      <c r="F24" s="112" t="s">
        <v>198</v>
      </c>
      <c r="G24" s="190">
        <v>215275.19500000001</v>
      </c>
      <c r="H24" s="272">
        <f>+D26</f>
        <v>208681.39799999999</v>
      </c>
      <c r="I24" s="98">
        <f>+H24/G24</f>
        <v>0.9693703819429822</v>
      </c>
      <c r="J24" s="108">
        <f>+H24-G24</f>
        <v>-6593.7970000000205</v>
      </c>
    </row>
    <row r="25" spans="1:10" ht="15" customHeight="1" thickBot="1" x14ac:dyDescent="0.3">
      <c r="B25" s="178" t="s">
        <v>0</v>
      </c>
      <c r="C25" s="170"/>
      <c r="D25" s="171">
        <f>SUM(D5:D24)</f>
        <v>10515.608000000002</v>
      </c>
      <c r="E25" s="80"/>
      <c r="F25" s="112" t="s">
        <v>199</v>
      </c>
      <c r="G25" s="190">
        <v>210045.58799999999</v>
      </c>
      <c r="H25" s="272"/>
      <c r="I25" s="98">
        <f t="shared" si="2"/>
        <v>0</v>
      </c>
      <c r="J25" s="108"/>
    </row>
    <row r="26" spans="1:10" ht="15" customHeight="1" x14ac:dyDescent="0.25">
      <c r="B26" s="166" t="s">
        <v>1</v>
      </c>
      <c r="C26" s="167"/>
      <c r="D26" s="233">
        <v>208681.39799999999</v>
      </c>
      <c r="E26" s="80"/>
      <c r="G26" s="68">
        <f>+SUM(G14:G24)</f>
        <v>2337550.4410000001</v>
      </c>
      <c r="H26" s="68">
        <f>+SUM(H14:H25)</f>
        <v>2335718.1789999995</v>
      </c>
      <c r="I26" s="98">
        <f>+H26/G26</f>
        <v>0.99921616151341031</v>
      </c>
      <c r="J26" s="108">
        <f>+H26-G26</f>
        <v>-1832.26200000057</v>
      </c>
    </row>
    <row r="27" spans="1:10" ht="15" customHeight="1" thickBot="1" x14ac:dyDescent="0.3">
      <c r="E27" s="80"/>
      <c r="F27" s="179"/>
      <c r="G27" s="179"/>
      <c r="H27" s="179"/>
      <c r="I27" s="179"/>
      <c r="J27" s="179"/>
    </row>
    <row r="28" spans="1:10" ht="15" customHeight="1" thickBot="1" x14ac:dyDescent="0.3">
      <c r="E28" s="313">
        <f>+D26/F2</f>
        <v>0.91653331787782488</v>
      </c>
      <c r="F28" s="179"/>
      <c r="G28" s="179"/>
      <c r="J28" s="179"/>
    </row>
    <row r="29" spans="1:10" ht="15" customHeight="1" x14ac:dyDescent="0.25">
      <c r="D29" s="108">
        <f>+(F2/30)*26</f>
        <v>197327.48179713037</v>
      </c>
      <c r="E29" s="314">
        <f>+D29/F2</f>
        <v>0.8666666666666667</v>
      </c>
      <c r="F29" s="352">
        <f>+D26-F2</f>
        <v>-19004.157919765828</v>
      </c>
    </row>
    <row r="30" spans="1:10" ht="15" customHeight="1" x14ac:dyDescent="0.25">
      <c r="D30" s="183">
        <f>+D26-D29</f>
        <v>11353.916202869616</v>
      </c>
      <c r="E30" s="99">
        <f>E28-E29</f>
        <v>4.9866651211158186E-2</v>
      </c>
    </row>
    <row r="31" spans="1:10" ht="15" customHeight="1" x14ac:dyDescent="0.25"/>
    <row r="32" spans="1:10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1007</v>
      </c>
      <c r="D33" s="108">
        <v>2142</v>
      </c>
      <c r="E33" s="57">
        <f>+C33/D33</f>
        <v>0.47012138188608776</v>
      </c>
      <c r="G33" s="86" t="s">
        <v>86</v>
      </c>
      <c r="H33" s="87">
        <v>12054</v>
      </c>
      <c r="I33" s="88">
        <f>+H33*0.025</f>
        <v>301.35000000000002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1237</v>
      </c>
      <c r="D34" s="108">
        <v>1890</v>
      </c>
      <c r="E34" s="57">
        <f>+C34/D34</f>
        <v>0.65449735449735447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ht="15" customHeight="1" x14ac:dyDescent="0.25">
      <c r="B35" s="162" t="s">
        <v>63</v>
      </c>
      <c r="C35" s="67">
        <v>1160</v>
      </c>
      <c r="D35" s="108">
        <v>3006</v>
      </c>
      <c r="E35" s="57">
        <f>+C35/D35</f>
        <v>0.38589487691284097</v>
      </c>
      <c r="G35" s="89" t="s">
        <v>169</v>
      </c>
      <c r="H35" s="87">
        <v>202</v>
      </c>
      <c r="I35" s="88">
        <f>+H35*1.5</f>
        <v>303</v>
      </c>
      <c r="J35" s="298">
        <f>+I35+I33</f>
        <v>604.35</v>
      </c>
    </row>
    <row r="36" spans="1:11" ht="15" customHeight="1" x14ac:dyDescent="0.25">
      <c r="C36" s="162">
        <f>+SUM(C33:C35)</f>
        <v>3404</v>
      </c>
      <c r="D36" s="110">
        <f>+SUM(D33:D35)</f>
        <v>7038</v>
      </c>
      <c r="E36" s="57">
        <f>+C36/D36</f>
        <v>0.48366013071895425</v>
      </c>
      <c r="G36" s="89" t="s">
        <v>168</v>
      </c>
      <c r="H36" s="87">
        <v>22</v>
      </c>
      <c r="I36" s="88">
        <f>+H36*1.5</f>
        <v>33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24</v>
      </c>
      <c r="C40" s="74">
        <v>2</v>
      </c>
      <c r="D40" s="74">
        <v>10</v>
      </c>
      <c r="E40" s="75">
        <f>+SUM(B40:D40)</f>
        <v>36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10.52</v>
      </c>
      <c r="C44" s="199">
        <v>1859</v>
      </c>
      <c r="D44" s="200">
        <v>3600</v>
      </c>
      <c r="E44" s="201">
        <f t="shared" si="3"/>
        <v>0.5163888888888889</v>
      </c>
      <c r="F44" s="201">
        <f t="shared" si="4"/>
        <v>0.4383333333333333</v>
      </c>
      <c r="G44" s="202">
        <v>12</v>
      </c>
      <c r="H44" s="71"/>
    </row>
    <row r="45" spans="1:11" x14ac:dyDescent="0.25">
      <c r="A45" s="207" t="s">
        <v>72</v>
      </c>
      <c r="B45" s="199">
        <v>12.11</v>
      </c>
      <c r="C45" s="199">
        <v>1400</v>
      </c>
      <c r="D45" s="200">
        <v>3900</v>
      </c>
      <c r="E45" s="201">
        <f t="shared" si="3"/>
        <v>0.35897435897435898</v>
      </c>
      <c r="F45" s="201">
        <f t="shared" si="4"/>
        <v>0.50458333333333327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15.78</v>
      </c>
      <c r="C46" s="199">
        <v>3096</v>
      </c>
      <c r="D46" s="200">
        <v>3900</v>
      </c>
      <c r="E46" s="201">
        <f t="shared" si="3"/>
        <v>0.79384615384615387</v>
      </c>
      <c r="F46" s="201">
        <f t="shared" si="4"/>
        <v>0.65749999999999997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15.69</v>
      </c>
      <c r="C47" s="199">
        <v>3199</v>
      </c>
      <c r="D47" s="200">
        <v>3900</v>
      </c>
      <c r="E47" s="201">
        <f t="shared" si="3"/>
        <v>0.82025641025641027</v>
      </c>
      <c r="F47" s="201">
        <f t="shared" si="4"/>
        <v>0.65374999999999994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15.89</v>
      </c>
      <c r="C48" s="261"/>
      <c r="D48" s="262">
        <v>4300</v>
      </c>
      <c r="E48" s="263">
        <f t="shared" si="3"/>
        <v>0</v>
      </c>
      <c r="F48" s="201">
        <f t="shared" si="4"/>
        <v>0.66208333333333336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5"/>
        <v>42</v>
      </c>
    </row>
    <row r="49" spans="2:11" x14ac:dyDescent="0.25">
      <c r="B49" s="113">
        <f>+SUM(B43:B48)</f>
        <v>69.989999999999995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5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5"/>
        <v>99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J49+J50</f>
        <v>187</v>
      </c>
      <c r="K52" s="346">
        <f t="shared" si="5"/>
        <v>280.5</v>
      </c>
    </row>
    <row r="53" spans="2:11" x14ac:dyDescent="0.25">
      <c r="C53" s="71">
        <v>3</v>
      </c>
      <c r="D53" s="225" t="s">
        <v>154</v>
      </c>
      <c r="J53" s="68"/>
    </row>
    <row r="54" spans="2:11" x14ac:dyDescent="0.25">
      <c r="C54" s="71">
        <v>4</v>
      </c>
      <c r="D54" s="108">
        <v>1</v>
      </c>
    </row>
    <row r="55" spans="2:11" x14ac:dyDescent="0.25">
      <c r="C55" s="71">
        <v>5</v>
      </c>
      <c r="D55" s="108">
        <v>1</v>
      </c>
    </row>
    <row r="56" spans="2:11" x14ac:dyDescent="0.25">
      <c r="C56" s="71">
        <v>6</v>
      </c>
      <c r="D56" s="108">
        <v>10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f>+J57*0.025</f>
        <v>84.175000000000011</v>
      </c>
    </row>
    <row r="58" spans="2:11" x14ac:dyDescent="0.25">
      <c r="C58" s="71">
        <v>8</v>
      </c>
      <c r="D58" s="225" t="s">
        <v>153</v>
      </c>
      <c r="H58" s="301">
        <v>45984</v>
      </c>
      <c r="I58" s="129" t="s">
        <v>175</v>
      </c>
      <c r="J58" s="162">
        <v>6792</v>
      </c>
      <c r="K58" s="318">
        <f>+J58*0.025</f>
        <v>169.8</v>
      </c>
    </row>
    <row r="59" spans="2:11" x14ac:dyDescent="0.25">
      <c r="H59" s="344"/>
      <c r="I59" s="345"/>
      <c r="J59" s="200">
        <f>+J58+J57</f>
        <v>10159</v>
      </c>
      <c r="K59" s="346">
        <f>+J59*0.025</f>
        <v>253.97500000000002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45976</v>
      </c>
      <c r="I65" s="129" t="s">
        <v>175</v>
      </c>
      <c r="J65" s="68">
        <v>95</v>
      </c>
      <c r="K65" s="318">
        <f>+J65*1.5</f>
        <v>142.5</v>
      </c>
    </row>
    <row r="66" spans="8:11" x14ac:dyDescent="0.25">
      <c r="H66" s="301">
        <v>45976</v>
      </c>
      <c r="I66" s="129" t="s">
        <v>176</v>
      </c>
      <c r="J66" s="68">
        <v>170</v>
      </c>
      <c r="K66" s="318">
        <f>+J66*1.5</f>
        <v>255</v>
      </c>
    </row>
    <row r="67" spans="8:11" x14ac:dyDescent="0.25">
      <c r="H67" s="301">
        <v>45977</v>
      </c>
      <c r="I67" s="129" t="s">
        <v>175</v>
      </c>
      <c r="J67" s="68">
        <v>208</v>
      </c>
      <c r="K67" s="318">
        <f>+J67*1.5</f>
        <v>312</v>
      </c>
    </row>
    <row r="68" spans="8:11" x14ac:dyDescent="0.25">
      <c r="H68" s="301">
        <v>45977</v>
      </c>
      <c r="I68" s="129" t="s">
        <v>176</v>
      </c>
      <c r="J68" s="68">
        <v>179</v>
      </c>
      <c r="K68" s="318">
        <f>+J68*1.5</f>
        <v>268.5</v>
      </c>
    </row>
    <row r="69" spans="8:11" x14ac:dyDescent="0.25">
      <c r="H69" s="301"/>
      <c r="I69" s="129"/>
      <c r="K69" s="318"/>
    </row>
    <row r="70" spans="8:11" x14ac:dyDescent="0.25">
      <c r="H70" s="344"/>
      <c r="I70" s="345"/>
      <c r="J70" s="200">
        <f>+SUM(J65:J69)</f>
        <v>652</v>
      </c>
      <c r="K70" s="346">
        <f>+J70*1.5</f>
        <v>978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48" workbookViewId="0">
      <selection activeCell="A29" sqref="A29:K71"/>
    </sheetView>
  </sheetViews>
  <sheetFormatPr baseColWidth="10" defaultColWidth="11.42578125" defaultRowHeight="15.75" x14ac:dyDescent="0.25"/>
  <cols>
    <col min="1" max="1" width="2.42578125" style="162" customWidth="1"/>
    <col min="2" max="2" width="43.7109375" style="162" customWidth="1"/>
    <col min="3" max="3" width="13.28515625" style="162" customWidth="1"/>
    <col min="4" max="4" width="14.5703125" style="163" customWidth="1"/>
    <col min="5" max="5" width="14.28515625" style="162" customWidth="1"/>
    <col min="6" max="6" width="16.85546875" style="162" customWidth="1"/>
    <col min="7" max="7" width="16.140625" style="162" customWidth="1"/>
    <col min="8" max="10" width="11.42578125" style="162"/>
    <col min="11" max="11" width="8" style="162" bestFit="1" customWidth="1"/>
    <col min="12" max="16384" width="11.42578125" style="162"/>
  </cols>
  <sheetData>
    <row r="1" spans="1:10" ht="15" customHeight="1" x14ac:dyDescent="0.25">
      <c r="A1" s="161"/>
      <c r="B1" s="518">
        <v>45988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54"/>
      <c r="C4" s="354"/>
      <c r="D4" s="165">
        <f>D25</f>
        <v>10019.66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4681</v>
      </c>
      <c r="D5" s="172">
        <v>199.79599999999999</v>
      </c>
      <c r="E5" s="80">
        <f>+D5/$D$4</f>
        <v>1.9940397179145797E-2</v>
      </c>
      <c r="F5" s="58" t="s">
        <v>51</v>
      </c>
      <c r="G5" s="59">
        <v>45985</v>
      </c>
      <c r="H5" s="190">
        <v>6617</v>
      </c>
      <c r="I5" s="141">
        <v>8175.7620000000006</v>
      </c>
      <c r="J5" s="60">
        <f t="shared" ref="J5:J12" si="0">+I5/H5</f>
        <v>1.2355692912195859</v>
      </c>
    </row>
    <row r="6" spans="1:10" ht="15" customHeight="1" x14ac:dyDescent="0.25">
      <c r="A6" s="164"/>
      <c r="B6" s="169" t="s">
        <v>10</v>
      </c>
      <c r="C6" s="177">
        <v>15643</v>
      </c>
      <c r="D6" s="173">
        <v>667.63</v>
      </c>
      <c r="E6" s="80">
        <f t="shared" ref="E6:E22" si="1">+D6/$D$4</f>
        <v>6.6632001485080333E-2</v>
      </c>
      <c r="F6" s="58" t="s">
        <v>52</v>
      </c>
      <c r="G6" s="59">
        <v>45986</v>
      </c>
      <c r="H6" s="190">
        <v>9003</v>
      </c>
      <c r="I6" s="141">
        <v>10276.096</v>
      </c>
      <c r="J6" s="60">
        <f t="shared" si="0"/>
        <v>1.1414079751194046</v>
      </c>
    </row>
    <row r="7" spans="1:10" ht="15" customHeight="1" x14ac:dyDescent="0.25">
      <c r="A7" s="164"/>
      <c r="B7" s="169" t="s">
        <v>35</v>
      </c>
      <c r="C7" s="177">
        <v>35289</v>
      </c>
      <c r="D7" s="173">
        <v>1505.606</v>
      </c>
      <c r="E7" s="80">
        <f t="shared" si="1"/>
        <v>0.15026517865875688</v>
      </c>
      <c r="F7" s="58" t="s">
        <v>53</v>
      </c>
      <c r="G7" s="59">
        <v>45987</v>
      </c>
      <c r="H7" s="190">
        <v>9498</v>
      </c>
      <c r="I7" s="141">
        <v>10515.608000000002</v>
      </c>
      <c r="J7" s="60">
        <f t="shared" si="0"/>
        <v>1.1071391871973049</v>
      </c>
    </row>
    <row r="8" spans="1:10" ht="15" customHeight="1" x14ac:dyDescent="0.25">
      <c r="A8" s="164"/>
      <c r="B8" s="169" t="s">
        <v>4</v>
      </c>
      <c r="C8" s="177">
        <v>1605</v>
      </c>
      <c r="D8" s="173">
        <v>68.56</v>
      </c>
      <c r="E8" s="80">
        <f t="shared" si="1"/>
        <v>6.8425475515137245E-3</v>
      </c>
      <c r="F8" s="58" t="s">
        <v>54</v>
      </c>
      <c r="G8" s="59">
        <v>45988</v>
      </c>
      <c r="H8" s="190">
        <v>9430</v>
      </c>
      <c r="I8" s="141">
        <v>10019.66</v>
      </c>
      <c r="J8" s="60">
        <f t="shared" si="0"/>
        <v>1.0625302226935314</v>
      </c>
    </row>
    <row r="9" spans="1:10" ht="15" customHeight="1" x14ac:dyDescent="0.25">
      <c r="A9" s="164"/>
      <c r="B9" s="169" t="s">
        <v>37</v>
      </c>
      <c r="C9" s="177">
        <v>33800</v>
      </c>
      <c r="D9" s="173">
        <v>1441.624</v>
      </c>
      <c r="E9" s="245">
        <f t="shared" si="1"/>
        <v>0.14387953283843963</v>
      </c>
      <c r="F9" s="58" t="s">
        <v>55</v>
      </c>
      <c r="G9" s="59">
        <v>45989</v>
      </c>
      <c r="H9" s="190">
        <v>8953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61319</v>
      </c>
      <c r="D10" s="173">
        <v>2617.1320000000001</v>
      </c>
      <c r="E10" s="245">
        <f t="shared" si="1"/>
        <v>0.26119968142631589</v>
      </c>
      <c r="F10" s="58" t="s">
        <v>56</v>
      </c>
      <c r="G10" s="59">
        <v>45990</v>
      </c>
      <c r="H10" s="190">
        <v>7570.9999999999991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10323</v>
      </c>
      <c r="D11" s="173">
        <v>440.012</v>
      </c>
      <c r="E11" s="80">
        <f t="shared" si="1"/>
        <v>4.3914863378597679E-2</v>
      </c>
      <c r="F11" s="58" t="s">
        <v>57</v>
      </c>
      <c r="G11" s="59">
        <v>45991</v>
      </c>
      <c r="H11" s="190">
        <v>3168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196</v>
      </c>
      <c r="C12" s="177">
        <v>15</v>
      </c>
      <c r="D12" s="173">
        <v>27.24</v>
      </c>
      <c r="E12" s="80">
        <f t="shared" si="1"/>
        <v>2.7186551240261643E-3</v>
      </c>
      <c r="H12" s="139">
        <f>+SUM(H5:H11)</f>
        <v>54240</v>
      </c>
      <c r="I12" s="142">
        <f>+SUM(I5:I11)</f>
        <v>38987.126000000004</v>
      </c>
      <c r="J12" s="140">
        <f t="shared" si="0"/>
        <v>0.71878919616519177</v>
      </c>
    </row>
    <row r="13" spans="1:10" ht="15" customHeight="1" x14ac:dyDescent="0.25">
      <c r="A13" s="164"/>
      <c r="B13" s="169" t="s">
        <v>44</v>
      </c>
      <c r="C13" s="177">
        <v>85</v>
      </c>
      <c r="D13" s="173">
        <v>128.16</v>
      </c>
      <c r="E13" s="80">
        <f t="shared" si="1"/>
        <v>1.2790853182642925E-2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513</v>
      </c>
      <c r="D14" s="173">
        <v>774.65</v>
      </c>
      <c r="E14" s="80">
        <f t="shared" si="1"/>
        <v>7.7313002636816022E-2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561</v>
      </c>
      <c r="D15" s="173">
        <v>848.15</v>
      </c>
      <c r="E15" s="80">
        <f t="shared" si="1"/>
        <v>8.4648580889970321E-2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49</v>
      </c>
      <c r="C16" s="177">
        <v>61</v>
      </c>
      <c r="D16" s="173">
        <v>91.94</v>
      </c>
      <c r="E16" s="80">
        <f t="shared" si="1"/>
        <v>9.1759600625170908E-3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45</v>
      </c>
      <c r="C17" s="177">
        <v>23</v>
      </c>
      <c r="D17" s="173">
        <v>34.64</v>
      </c>
      <c r="E17" s="80">
        <f t="shared" si="1"/>
        <v>3.4572031386294545E-3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88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43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233</v>
      </c>
      <c r="D20" s="173">
        <v>351.09</v>
      </c>
      <c r="E20" s="80">
        <f t="shared" si="1"/>
        <v>3.5040111141495814E-2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46</v>
      </c>
      <c r="C21" s="177"/>
      <c r="D21" s="173">
        <v>30.51</v>
      </c>
      <c r="E21" s="80">
        <f t="shared" si="1"/>
        <v>3.0450135034522131E-3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40</v>
      </c>
      <c r="C22" s="177"/>
      <c r="D22" s="173">
        <v>699.57</v>
      </c>
      <c r="E22" s="80">
        <f t="shared" si="1"/>
        <v>6.9819734402165351E-2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60.77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184</v>
      </c>
      <c r="C24" s="177"/>
      <c r="D24" s="173">
        <v>32.58</v>
      </c>
      <c r="E24" s="80"/>
      <c r="F24" s="112" t="s">
        <v>198</v>
      </c>
      <c r="G24" s="190">
        <v>215275.19500000001</v>
      </c>
      <c r="H24" s="272">
        <f>+D26</f>
        <v>218701.05799999999</v>
      </c>
      <c r="I24" s="98">
        <f>+H24/G24</f>
        <v>1.0159138771190057</v>
      </c>
      <c r="J24" s="108">
        <f>+H24-G24</f>
        <v>3425.862999999983</v>
      </c>
    </row>
    <row r="25" spans="1:10" ht="15" customHeight="1" thickBot="1" x14ac:dyDescent="0.3">
      <c r="B25" s="178" t="s">
        <v>0</v>
      </c>
      <c r="C25" s="170"/>
      <c r="D25" s="171">
        <f>SUM(D5:D24)</f>
        <v>10019.66</v>
      </c>
      <c r="E25" s="80"/>
      <c r="F25" s="112" t="s">
        <v>199</v>
      </c>
      <c r="G25" s="190">
        <v>210045.58799999999</v>
      </c>
      <c r="H25" s="272"/>
      <c r="I25" s="98">
        <f t="shared" si="2"/>
        <v>0</v>
      </c>
      <c r="J25" s="108"/>
    </row>
    <row r="26" spans="1:10" ht="15" customHeight="1" x14ac:dyDescent="0.25">
      <c r="B26" s="166" t="s">
        <v>1</v>
      </c>
      <c r="C26" s="167"/>
      <c r="D26" s="233">
        <v>218701.05799999999</v>
      </c>
      <c r="E26" s="80"/>
      <c r="G26" s="68">
        <f>+SUM(G14:G24)</f>
        <v>2337550.4410000001</v>
      </c>
      <c r="H26" s="68">
        <f>+SUM(H14:H25)</f>
        <v>2345737.8389999997</v>
      </c>
      <c r="I26" s="98">
        <f>+H26/G26</f>
        <v>1.0035025545786713</v>
      </c>
      <c r="J26" s="108">
        <f>+H26-G26</f>
        <v>8187.397999999579</v>
      </c>
    </row>
    <row r="27" spans="1:10" ht="15" customHeight="1" thickBot="1" x14ac:dyDescent="0.3">
      <c r="E27" s="80"/>
      <c r="F27" s="179"/>
      <c r="G27" s="179"/>
      <c r="H27" s="179"/>
      <c r="I27" s="179"/>
      <c r="J27" s="179"/>
    </row>
    <row r="28" spans="1:10" ht="15" customHeight="1" thickBot="1" x14ac:dyDescent="0.3">
      <c r="E28" s="313">
        <f>+D26/F2</f>
        <v>0.96053988632053644</v>
      </c>
      <c r="F28" s="179"/>
      <c r="G28" s="179"/>
      <c r="J28" s="179"/>
    </row>
    <row r="29" spans="1:10" ht="15" customHeight="1" x14ac:dyDescent="0.25">
      <c r="D29" s="108">
        <f>+(F2/30)*27</f>
        <v>204917.00032778922</v>
      </c>
      <c r="E29" s="314">
        <f>+D29/F2</f>
        <v>0.89999999999999991</v>
      </c>
      <c r="F29" s="352">
        <f>+D26-F2</f>
        <v>-8984.4979197658249</v>
      </c>
    </row>
    <row r="30" spans="1:10" ht="15" customHeight="1" x14ac:dyDescent="0.25">
      <c r="D30" s="183">
        <f>+D26-D29</f>
        <v>13784.057672210765</v>
      </c>
      <c r="E30" s="99">
        <f>E28-E29</f>
        <v>6.0539886320536529E-2</v>
      </c>
    </row>
    <row r="31" spans="1:10" ht="15" customHeight="1" x14ac:dyDescent="0.25"/>
    <row r="32" spans="1:10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1010</v>
      </c>
      <c r="D33" s="108">
        <v>2142</v>
      </c>
      <c r="E33" s="57">
        <f>+C33/D33</f>
        <v>0.47152194211017739</v>
      </c>
      <c r="G33" s="86" t="s">
        <v>86</v>
      </c>
      <c r="H33" s="87">
        <v>12054</v>
      </c>
      <c r="I33" s="88">
        <f>+H33*0.025</f>
        <v>301.35000000000002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935</v>
      </c>
      <c r="D34" s="108">
        <v>1890</v>
      </c>
      <c r="E34" s="57">
        <f>+C34/D34</f>
        <v>0.49470899470899471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ht="15" customHeight="1" x14ac:dyDescent="0.25">
      <c r="B35" s="162" t="s">
        <v>63</v>
      </c>
      <c r="C35" s="67">
        <v>1432</v>
      </c>
      <c r="D35" s="108">
        <v>3006</v>
      </c>
      <c r="E35" s="57">
        <f>+C35/D35</f>
        <v>0.47638057218895541</v>
      </c>
      <c r="G35" s="89" t="s">
        <v>169</v>
      </c>
      <c r="H35" s="87">
        <v>162</v>
      </c>
      <c r="I35" s="88">
        <f>+H35*1.5</f>
        <v>243</v>
      </c>
      <c r="J35" s="298">
        <f>+I35+I33</f>
        <v>544.35</v>
      </c>
    </row>
    <row r="36" spans="1:11" ht="15" customHeight="1" x14ac:dyDescent="0.25">
      <c r="C36" s="162">
        <f>+SUM(C33:C35)</f>
        <v>3377</v>
      </c>
      <c r="D36" s="110">
        <f>+SUM(D33:D35)</f>
        <v>7038</v>
      </c>
      <c r="E36" s="57">
        <f>+C36/D36</f>
        <v>0.47982381358340437</v>
      </c>
      <c r="G36" s="89" t="s">
        <v>168</v>
      </c>
      <c r="H36" s="87">
        <v>22</v>
      </c>
      <c r="I36" s="88">
        <f>+H36*1.5</f>
        <v>33</v>
      </c>
      <c r="J36" s="228" t="s">
        <v>193</v>
      </c>
    </row>
    <row r="37" spans="1:11" ht="15" customHeight="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ht="15" customHeight="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ht="15" customHeight="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ht="15" customHeight="1" x14ac:dyDescent="0.25">
      <c r="B40" s="73">
        <v>23</v>
      </c>
      <c r="C40" s="74">
        <v>6</v>
      </c>
      <c r="D40" s="74">
        <v>10</v>
      </c>
      <c r="E40" s="75">
        <f>+SUM(B40:D40)</f>
        <v>39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8.91</v>
      </c>
      <c r="C44" s="199">
        <v>1508</v>
      </c>
      <c r="D44" s="200">
        <v>3600</v>
      </c>
      <c r="E44" s="201">
        <f t="shared" si="3"/>
        <v>0.41888888888888887</v>
      </c>
      <c r="F44" s="201">
        <f t="shared" si="4"/>
        <v>0.37125000000000002</v>
      </c>
      <c r="G44" s="202">
        <v>12</v>
      </c>
      <c r="H44" s="71"/>
    </row>
    <row r="45" spans="1:11" x14ac:dyDescent="0.25">
      <c r="A45" s="207" t="s">
        <v>72</v>
      </c>
      <c r="B45" s="199">
        <v>12.38</v>
      </c>
      <c r="C45" s="199">
        <v>1310</v>
      </c>
      <c r="D45" s="200">
        <v>3900</v>
      </c>
      <c r="E45" s="201">
        <f t="shared" si="3"/>
        <v>0.33589743589743587</v>
      </c>
      <c r="F45" s="201">
        <f t="shared" si="4"/>
        <v>0.51583333333333337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13.17</v>
      </c>
      <c r="C46" s="199">
        <v>2830</v>
      </c>
      <c r="D46" s="200">
        <v>3900</v>
      </c>
      <c r="E46" s="201">
        <f t="shared" si="3"/>
        <v>0.72564102564102562</v>
      </c>
      <c r="F46" s="201">
        <f t="shared" si="4"/>
        <v>0.54874999999999996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12.95</v>
      </c>
      <c r="C47" s="199">
        <v>3129</v>
      </c>
      <c r="D47" s="200">
        <v>3900</v>
      </c>
      <c r="E47" s="201">
        <f t="shared" si="3"/>
        <v>0.80230769230769228</v>
      </c>
      <c r="F47" s="201">
        <f t="shared" si="4"/>
        <v>0.5395833333333333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15.46</v>
      </c>
      <c r="C48" s="261"/>
      <c r="D48" s="262">
        <v>4300</v>
      </c>
      <c r="E48" s="263">
        <f t="shared" si="3"/>
        <v>0</v>
      </c>
      <c r="F48" s="201">
        <f t="shared" si="4"/>
        <v>0.64416666666666667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5"/>
        <v>42</v>
      </c>
    </row>
    <row r="49" spans="2:11" x14ac:dyDescent="0.25">
      <c r="B49" s="113">
        <f>+SUM(B43:B48)</f>
        <v>62.87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5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5"/>
        <v>99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J49+J50</f>
        <v>187</v>
      </c>
      <c r="K52" s="346">
        <f t="shared" si="5"/>
        <v>280.5</v>
      </c>
    </row>
    <row r="53" spans="2:11" x14ac:dyDescent="0.25">
      <c r="C53" s="71">
        <v>3</v>
      </c>
      <c r="D53" s="225" t="s">
        <v>154</v>
      </c>
      <c r="J53" s="68"/>
    </row>
    <row r="54" spans="2:11" x14ac:dyDescent="0.25">
      <c r="C54" s="71">
        <v>4</v>
      </c>
      <c r="D54" s="108">
        <v>1</v>
      </c>
    </row>
    <row r="55" spans="2:11" x14ac:dyDescent="0.25">
      <c r="C55" s="71">
        <v>5</v>
      </c>
      <c r="D55" s="108">
        <v>1</v>
      </c>
    </row>
    <row r="56" spans="2:11" x14ac:dyDescent="0.25">
      <c r="C56" s="71">
        <v>6</v>
      </c>
      <c r="D56" s="108">
        <v>14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f>+J57*0.025</f>
        <v>84.175000000000011</v>
      </c>
    </row>
    <row r="58" spans="2:11" x14ac:dyDescent="0.25">
      <c r="C58" s="71">
        <v>8</v>
      </c>
      <c r="D58" s="225" t="s">
        <v>153</v>
      </c>
      <c r="H58" s="301">
        <v>45984</v>
      </c>
      <c r="I58" s="129" t="s">
        <v>175</v>
      </c>
      <c r="J58" s="162">
        <v>6792</v>
      </c>
      <c r="K58" s="318">
        <f>+J58*0.025</f>
        <v>169.8</v>
      </c>
    </row>
    <row r="59" spans="2:11" x14ac:dyDescent="0.25">
      <c r="H59" s="344"/>
      <c r="I59" s="345"/>
      <c r="J59" s="200">
        <f>+J58+J57</f>
        <v>10159</v>
      </c>
      <c r="K59" s="346">
        <f>+J59*0.025</f>
        <v>253.97500000000002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45976</v>
      </c>
      <c r="I65" s="129" t="s">
        <v>175</v>
      </c>
      <c r="J65" s="68">
        <v>95</v>
      </c>
      <c r="K65" s="318">
        <f>+J65*1.5</f>
        <v>142.5</v>
      </c>
    </row>
    <row r="66" spans="8:11" x14ac:dyDescent="0.25">
      <c r="H66" s="301">
        <v>45976</v>
      </c>
      <c r="I66" s="129" t="s">
        <v>176</v>
      </c>
      <c r="J66" s="68">
        <v>170</v>
      </c>
      <c r="K66" s="318">
        <f>+J66*1.5</f>
        <v>255</v>
      </c>
    </row>
    <row r="67" spans="8:11" x14ac:dyDescent="0.25">
      <c r="H67" s="301">
        <v>45977</v>
      </c>
      <c r="I67" s="129" t="s">
        <v>175</v>
      </c>
      <c r="J67" s="68">
        <v>208</v>
      </c>
      <c r="K67" s="318">
        <f>+J67*1.5</f>
        <v>312</v>
      </c>
    </row>
    <row r="68" spans="8:11" x14ac:dyDescent="0.25">
      <c r="H68" s="301">
        <v>45977</v>
      </c>
      <c r="I68" s="129" t="s">
        <v>176</v>
      </c>
      <c r="J68" s="68">
        <v>179</v>
      </c>
      <c r="K68" s="318">
        <f>+J68*1.5</f>
        <v>268.5</v>
      </c>
    </row>
    <row r="69" spans="8:11" x14ac:dyDescent="0.25">
      <c r="H69" s="301"/>
      <c r="I69" s="129"/>
      <c r="K69" s="318"/>
    </row>
    <row r="70" spans="8:11" x14ac:dyDescent="0.25">
      <c r="H70" s="344"/>
      <c r="I70" s="345"/>
      <c r="J70" s="200">
        <f>+SUM(J65:J69)</f>
        <v>652</v>
      </c>
      <c r="K70" s="346">
        <f>+J70*1.5</f>
        <v>978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48" workbookViewId="0">
      <selection activeCell="A29" sqref="A29:K70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v>45991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</row>
    <row r="4" spans="1:10" ht="19.5" customHeight="1" thickBot="1" x14ac:dyDescent="0.4">
      <c r="A4" s="164"/>
      <c r="B4" s="355"/>
      <c r="C4" s="355"/>
      <c r="D4" s="165">
        <f>D25</f>
        <v>5144.1080000000002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10</v>
      </c>
      <c r="C5" s="176">
        <v>8897</v>
      </c>
      <c r="D5" s="172">
        <v>380.14999999999992</v>
      </c>
      <c r="E5" s="80">
        <f>+D5/$D$4</f>
        <v>7.3900081413531729E-2</v>
      </c>
      <c r="F5" s="58" t="s">
        <v>51</v>
      </c>
      <c r="G5" s="59">
        <v>45985</v>
      </c>
      <c r="H5" s="190">
        <v>6617</v>
      </c>
      <c r="I5" s="141">
        <v>8175.7620000000006</v>
      </c>
      <c r="J5" s="60">
        <f t="shared" ref="J5:J12" si="0">+I5/H5</f>
        <v>1.2355692912195859</v>
      </c>
    </row>
    <row r="6" spans="1:10" ht="15" customHeight="1" x14ac:dyDescent="0.25">
      <c r="A6" s="164"/>
      <c r="B6" s="169" t="s">
        <v>35</v>
      </c>
      <c r="C6" s="177">
        <v>11590</v>
      </c>
      <c r="D6" s="173">
        <v>494.35199999999998</v>
      </c>
      <c r="E6" s="80">
        <f t="shared" ref="E6:E25" si="1">+D6/$D$4</f>
        <v>9.610062619214059E-2</v>
      </c>
      <c r="F6" s="58" t="s">
        <v>52</v>
      </c>
      <c r="G6" s="59">
        <v>45986</v>
      </c>
      <c r="H6" s="190">
        <v>9003</v>
      </c>
      <c r="I6" s="141">
        <v>10276.096</v>
      </c>
      <c r="J6" s="60">
        <f t="shared" si="0"/>
        <v>1.1414079751194046</v>
      </c>
    </row>
    <row r="7" spans="1:10" ht="15" customHeight="1" x14ac:dyDescent="0.25">
      <c r="A7" s="164"/>
      <c r="B7" s="169" t="s">
        <v>4</v>
      </c>
      <c r="C7" s="177">
        <v>6242</v>
      </c>
      <c r="D7" s="173">
        <v>266.17</v>
      </c>
      <c r="E7" s="80">
        <f t="shared" si="1"/>
        <v>5.1742692805049971E-2</v>
      </c>
      <c r="F7" s="58" t="s">
        <v>53</v>
      </c>
      <c r="G7" s="59">
        <v>45987</v>
      </c>
      <c r="H7" s="190">
        <v>9498</v>
      </c>
      <c r="I7" s="141">
        <v>10515.608000000002</v>
      </c>
      <c r="J7" s="60">
        <f t="shared" si="0"/>
        <v>1.1071391871973049</v>
      </c>
    </row>
    <row r="8" spans="1:10" ht="15" customHeight="1" x14ac:dyDescent="0.25">
      <c r="A8" s="164"/>
      <c r="B8" s="169" t="s">
        <v>37</v>
      </c>
      <c r="C8" s="177">
        <v>20509</v>
      </c>
      <c r="D8" s="173">
        <v>874.63599999999985</v>
      </c>
      <c r="E8" s="80">
        <f t="shared" si="1"/>
        <v>0.17002675682547874</v>
      </c>
      <c r="F8" s="58" t="s">
        <v>54</v>
      </c>
      <c r="G8" s="59">
        <v>45988</v>
      </c>
      <c r="H8" s="190">
        <v>9430</v>
      </c>
      <c r="I8" s="141">
        <v>10019.66</v>
      </c>
      <c r="J8" s="60">
        <f t="shared" si="0"/>
        <v>1.0625302226935314</v>
      </c>
    </row>
    <row r="9" spans="1:10" ht="15" customHeight="1" x14ac:dyDescent="0.25">
      <c r="A9" s="164"/>
      <c r="B9" s="169" t="s">
        <v>38</v>
      </c>
      <c r="C9" s="177">
        <v>22096</v>
      </c>
      <c r="D9" s="173">
        <v>943.02</v>
      </c>
      <c r="E9" s="245">
        <f t="shared" si="1"/>
        <v>0.1833204124019169</v>
      </c>
      <c r="F9" s="58" t="s">
        <v>55</v>
      </c>
      <c r="G9" s="59">
        <v>45989</v>
      </c>
      <c r="H9" s="190">
        <v>8953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4110</v>
      </c>
      <c r="D10" s="173">
        <v>175.25599999999997</v>
      </c>
      <c r="E10" s="245">
        <f t="shared" si="1"/>
        <v>3.4069269152202861E-2</v>
      </c>
      <c r="F10" s="58" t="s">
        <v>56</v>
      </c>
      <c r="G10" s="59">
        <v>45990</v>
      </c>
      <c r="H10" s="190">
        <v>7570.9999999999991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/>
      <c r="D11" s="173"/>
      <c r="E11" s="80">
        <f t="shared" si="1"/>
        <v>0</v>
      </c>
      <c r="F11" s="58" t="s">
        <v>57</v>
      </c>
      <c r="G11" s="59">
        <v>45991</v>
      </c>
      <c r="H11" s="190">
        <v>3168</v>
      </c>
      <c r="I11" s="141">
        <v>5144.1080000000002</v>
      </c>
      <c r="J11" s="60">
        <f t="shared" si="0"/>
        <v>1.6237714646464647</v>
      </c>
    </row>
    <row r="12" spans="1:10" ht="15" customHeight="1" x14ac:dyDescent="0.25">
      <c r="A12" s="164"/>
      <c r="B12" s="169" t="s">
        <v>196</v>
      </c>
      <c r="C12" s="177">
        <v>8064</v>
      </c>
      <c r="D12" s="173">
        <v>202.79999999999998</v>
      </c>
      <c r="E12" s="80">
        <f t="shared" si="1"/>
        <v>3.9423744602562774E-2</v>
      </c>
      <c r="H12" s="139">
        <f>+SUM(H5:H11)</f>
        <v>54240</v>
      </c>
      <c r="I12" s="142">
        <f>+SUM(I5:I11)</f>
        <v>44131.234000000004</v>
      </c>
      <c r="J12" s="140">
        <f t="shared" si="0"/>
        <v>0.81362894542772868</v>
      </c>
    </row>
    <row r="13" spans="1:10" ht="15" customHeight="1" x14ac:dyDescent="0.25">
      <c r="A13" s="164"/>
      <c r="B13" s="169" t="s">
        <v>95</v>
      </c>
      <c r="C13" s="177">
        <v>1152</v>
      </c>
      <c r="D13" s="173">
        <v>29.013999999999999</v>
      </c>
      <c r="E13" s="80">
        <f t="shared" si="1"/>
        <v>5.6402392795796667E-3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/>
      <c r="D14" s="173"/>
      <c r="E14" s="80">
        <f t="shared" si="1"/>
        <v>0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87</v>
      </c>
      <c r="D15" s="173">
        <v>131.37</v>
      </c>
      <c r="E15" s="80">
        <f t="shared" si="1"/>
        <v>2.5537955268435265E-2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41</v>
      </c>
      <c r="C16" s="177">
        <v>253</v>
      </c>
      <c r="D16" s="173">
        <v>380.29</v>
      </c>
      <c r="E16" s="80">
        <f t="shared" si="1"/>
        <v>7.3927297016314591E-2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44</v>
      </c>
      <c r="C17" s="177">
        <v>46</v>
      </c>
      <c r="D17" s="173">
        <v>69.58</v>
      </c>
      <c r="E17" s="80">
        <f t="shared" si="1"/>
        <v>1.3526154583068628E-2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49</v>
      </c>
      <c r="C18" s="177">
        <v>20</v>
      </c>
      <c r="D18" s="173">
        <v>30.03</v>
      </c>
      <c r="E18" s="80">
        <f t="shared" si="1"/>
        <v>5.8377467969179496E-3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85</v>
      </c>
      <c r="C19" s="177">
        <v>333</v>
      </c>
      <c r="D19" s="173">
        <v>501.57000000000005</v>
      </c>
      <c r="E19" s="80">
        <f t="shared" si="1"/>
        <v>9.7503784912758448E-2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46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46</v>
      </c>
      <c r="C22" s="177"/>
      <c r="D22" s="173">
        <v>62.68</v>
      </c>
      <c r="E22" s="80">
        <f t="shared" si="1"/>
        <v>1.2184814160200369E-2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92.32</v>
      </c>
      <c r="E23" s="80">
        <f t="shared" si="1"/>
        <v>1.7946746063651851E-2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40</v>
      </c>
      <c r="C24" s="177"/>
      <c r="D24" s="173">
        <v>510.87</v>
      </c>
      <c r="E24" s="80">
        <f t="shared" si="1"/>
        <v>9.9311678526189578E-2</v>
      </c>
      <c r="F24" s="112" t="s">
        <v>198</v>
      </c>
      <c r="G24" s="190">
        <v>215275.19500000001</v>
      </c>
      <c r="H24" s="272">
        <f>+D26</f>
        <v>242524.66</v>
      </c>
      <c r="I24" s="98">
        <f>+H24/G24</f>
        <v>1.1265796786294864</v>
      </c>
      <c r="J24" s="108">
        <f>+H24-G24</f>
        <v>27249.464999999997</v>
      </c>
    </row>
    <row r="25" spans="1:10" ht="15" customHeight="1" thickBot="1" x14ac:dyDescent="0.3">
      <c r="B25" s="178" t="s">
        <v>0</v>
      </c>
      <c r="C25" s="170"/>
      <c r="D25" s="171">
        <f>SUM(D5:D24)</f>
        <v>5144.1080000000002</v>
      </c>
      <c r="E25" s="80">
        <f t="shared" si="1"/>
        <v>1</v>
      </c>
      <c r="F25" s="112" t="s">
        <v>199</v>
      </c>
      <c r="G25" s="190">
        <v>210045.58799999999</v>
      </c>
      <c r="H25" s="272"/>
      <c r="I25" s="98">
        <f t="shared" si="2"/>
        <v>0</v>
      </c>
      <c r="J25" s="108"/>
    </row>
    <row r="26" spans="1:10" ht="15" customHeight="1" x14ac:dyDescent="0.25">
      <c r="B26" s="166" t="s">
        <v>1</v>
      </c>
      <c r="C26" s="167"/>
      <c r="D26" s="233">
        <v>242524.66</v>
      </c>
      <c r="E26" s="80"/>
      <c r="G26" s="68">
        <f>+SUM(G14:G24)</f>
        <v>2337550.4410000001</v>
      </c>
      <c r="H26" s="68">
        <f>+SUM(H14:H25)</f>
        <v>2369561.4409999996</v>
      </c>
      <c r="I26" s="98">
        <f>+H26/G26</f>
        <v>1.013694249945813</v>
      </c>
      <c r="J26" s="108">
        <f>+H26-G26</f>
        <v>32010.999999999534</v>
      </c>
    </row>
    <row r="27" spans="1:10" ht="16.5" thickBot="1" x14ac:dyDescent="0.3"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+D26/F2</f>
        <v>1.0651736734914503</v>
      </c>
      <c r="F28" s="179"/>
      <c r="G28" s="179"/>
      <c r="J28" s="179"/>
    </row>
    <row r="29" spans="1:10" x14ac:dyDescent="0.25">
      <c r="D29" s="108">
        <f>+(F2/30)*30</f>
        <v>227685.55591976581</v>
      </c>
      <c r="E29" s="314">
        <f>+D29/F2</f>
        <v>1</v>
      </c>
      <c r="F29" s="352"/>
    </row>
    <row r="30" spans="1:10" x14ac:dyDescent="0.25">
      <c r="D30" s="183">
        <f>+D26-D29</f>
        <v>14839.104080234189</v>
      </c>
      <c r="E30" s="99">
        <f>E28-E29</f>
        <v>6.5173673491450312E-2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1200</v>
      </c>
      <c r="D33" s="108">
        <v>2142</v>
      </c>
      <c r="E33" s="57">
        <f>+C33/D33</f>
        <v>0.56022408963585435</v>
      </c>
      <c r="G33" s="86" t="s">
        <v>86</v>
      </c>
      <c r="H33" s="87">
        <v>11821</v>
      </c>
      <c r="I33" s="88">
        <f>+H33*0.025</f>
        <v>295.52500000000003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1533</v>
      </c>
      <c r="D34" s="108">
        <v>1890</v>
      </c>
      <c r="E34" s="57">
        <f>+C34/D34</f>
        <v>0.81111111111111112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1870</v>
      </c>
      <c r="D35" s="108">
        <v>3006</v>
      </c>
      <c r="E35" s="57">
        <f>+C35/D35</f>
        <v>0.62208915502328677</v>
      </c>
      <c r="G35" s="89" t="s">
        <v>169</v>
      </c>
      <c r="H35" s="87">
        <v>223</v>
      </c>
      <c r="I35" s="88">
        <f>+H35*1.5</f>
        <v>334.5</v>
      </c>
      <c r="J35" s="298">
        <f>+I35+I33</f>
        <v>630.02500000000009</v>
      </c>
    </row>
    <row r="36" spans="1:11" x14ac:dyDescent="0.25">
      <c r="C36" s="162">
        <f>+SUM(C33:C35)</f>
        <v>4603</v>
      </c>
      <c r="D36" s="110">
        <f>+SUM(D33:D35)</f>
        <v>7038</v>
      </c>
      <c r="E36" s="57">
        <f>+C36/D36</f>
        <v>0.6540210287013356</v>
      </c>
      <c r="G36" s="89" t="s">
        <v>168</v>
      </c>
      <c r="H36" s="87">
        <v>22</v>
      </c>
      <c r="I36" s="88">
        <f>+H36*1.5</f>
        <v>33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23</v>
      </c>
      <c r="C40" s="74">
        <v>6</v>
      </c>
      <c r="D40" s="74">
        <v>10</v>
      </c>
      <c r="E40" s="75">
        <f>+SUM(B40:D40)</f>
        <v>39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8.91</v>
      </c>
      <c r="C44" s="199">
        <v>1508</v>
      </c>
      <c r="D44" s="200">
        <v>3600</v>
      </c>
      <c r="E44" s="201">
        <f t="shared" si="3"/>
        <v>0.41888888888888887</v>
      </c>
      <c r="F44" s="201">
        <f t="shared" si="4"/>
        <v>0.37125000000000002</v>
      </c>
      <c r="G44" s="202">
        <v>12</v>
      </c>
      <c r="H44" s="71"/>
    </row>
    <row r="45" spans="1:11" x14ac:dyDescent="0.25">
      <c r="A45" s="207" t="s">
        <v>72</v>
      </c>
      <c r="B45" s="199">
        <v>12.38</v>
      </c>
      <c r="C45" s="199">
        <v>1310</v>
      </c>
      <c r="D45" s="200">
        <v>3900</v>
      </c>
      <c r="E45" s="201">
        <f t="shared" si="3"/>
        <v>0.33589743589743587</v>
      </c>
      <c r="F45" s="201">
        <f t="shared" si="4"/>
        <v>0.51583333333333337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13.17</v>
      </c>
      <c r="C46" s="199">
        <v>2830</v>
      </c>
      <c r="D46" s="200">
        <v>3900</v>
      </c>
      <c r="E46" s="201">
        <f t="shared" si="3"/>
        <v>0.72564102564102562</v>
      </c>
      <c r="F46" s="201">
        <f t="shared" si="4"/>
        <v>0.54874999999999996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2" si="5">+J46*1.5</f>
        <v>214.5</v>
      </c>
    </row>
    <row r="47" spans="1:11" x14ac:dyDescent="0.25">
      <c r="A47" s="207" t="s">
        <v>74</v>
      </c>
      <c r="B47" s="199">
        <v>12.95</v>
      </c>
      <c r="C47" s="199">
        <v>3129</v>
      </c>
      <c r="D47" s="200">
        <v>3900</v>
      </c>
      <c r="E47" s="201">
        <f t="shared" si="3"/>
        <v>0.80230769230769228</v>
      </c>
      <c r="F47" s="201">
        <f t="shared" si="4"/>
        <v>0.5395833333333333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15.46</v>
      </c>
      <c r="C48" s="261"/>
      <c r="D48" s="262">
        <v>4300</v>
      </c>
      <c r="E48" s="263">
        <f t="shared" si="3"/>
        <v>0</v>
      </c>
      <c r="F48" s="201">
        <f t="shared" si="4"/>
        <v>0.64416666666666667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5"/>
        <v>42</v>
      </c>
    </row>
    <row r="49" spans="2:11" x14ac:dyDescent="0.25">
      <c r="B49" s="113">
        <f>+SUM(B43:B48)</f>
        <v>62.87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5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5"/>
        <v>99</v>
      </c>
    </row>
    <row r="51" spans="2:11" x14ac:dyDescent="0.25">
      <c r="C51" s="71">
        <v>1</v>
      </c>
      <c r="D51" s="225" t="s">
        <v>153</v>
      </c>
      <c r="H51" s="301"/>
      <c r="I51" s="129"/>
      <c r="K51" s="318">
        <f t="shared" si="5"/>
        <v>0</v>
      </c>
    </row>
    <row r="52" spans="2:11" x14ac:dyDescent="0.25">
      <c r="C52" s="71">
        <v>2</v>
      </c>
      <c r="D52" s="225" t="s">
        <v>153</v>
      </c>
      <c r="H52" s="344"/>
      <c r="I52" s="345"/>
      <c r="J52" s="199">
        <f>J49+J50</f>
        <v>187</v>
      </c>
      <c r="K52" s="346">
        <f t="shared" si="5"/>
        <v>280.5</v>
      </c>
    </row>
    <row r="53" spans="2:11" x14ac:dyDescent="0.25">
      <c r="C53" s="71">
        <v>3</v>
      </c>
      <c r="D53" s="225" t="s">
        <v>154</v>
      </c>
      <c r="J53" s="68"/>
    </row>
    <row r="54" spans="2:11" x14ac:dyDescent="0.25">
      <c r="C54" s="71">
        <v>4</v>
      </c>
      <c r="D54" s="108">
        <v>1</v>
      </c>
    </row>
    <row r="55" spans="2:11" x14ac:dyDescent="0.25">
      <c r="C55" s="71">
        <v>5</v>
      </c>
      <c r="D55" s="108">
        <v>1</v>
      </c>
    </row>
    <row r="56" spans="2:11" x14ac:dyDescent="0.25">
      <c r="C56" s="71">
        <v>6</v>
      </c>
      <c r="D56" s="108">
        <v>14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f>+J57*0.025</f>
        <v>84.175000000000011</v>
      </c>
    </row>
    <row r="58" spans="2:11" x14ac:dyDescent="0.25">
      <c r="C58" s="71">
        <v>8</v>
      </c>
      <c r="D58" s="225" t="s">
        <v>153</v>
      </c>
      <c r="H58" s="301">
        <v>45984</v>
      </c>
      <c r="I58" s="129" t="s">
        <v>175</v>
      </c>
      <c r="J58" s="162">
        <v>6792</v>
      </c>
      <c r="K58" s="318">
        <f>+J58*0.025</f>
        <v>169.8</v>
      </c>
    </row>
    <row r="59" spans="2:11" x14ac:dyDescent="0.25">
      <c r="H59" s="344"/>
      <c r="I59" s="345"/>
      <c r="J59" s="200">
        <f>+J58+J57</f>
        <v>10159</v>
      </c>
      <c r="K59" s="346">
        <f>+J59*0.025</f>
        <v>253.97500000000002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45976</v>
      </c>
      <c r="I65" s="129" t="s">
        <v>175</v>
      </c>
      <c r="J65" s="68">
        <v>95</v>
      </c>
      <c r="K65" s="318">
        <f>+J65*1.5</f>
        <v>142.5</v>
      </c>
    </row>
    <row r="66" spans="8:11" x14ac:dyDescent="0.25">
      <c r="H66" s="301">
        <v>45976</v>
      </c>
      <c r="I66" s="129" t="s">
        <v>176</v>
      </c>
      <c r="J66" s="68">
        <v>170</v>
      </c>
      <c r="K66" s="318">
        <f>+J66*1.5</f>
        <v>255</v>
      </c>
    </row>
    <row r="67" spans="8:11" x14ac:dyDescent="0.25">
      <c r="H67" s="301">
        <v>45977</v>
      </c>
      <c r="I67" s="129" t="s">
        <v>175</v>
      </c>
      <c r="J67" s="68">
        <v>208</v>
      </c>
      <c r="K67" s="318">
        <f>+J67*1.5</f>
        <v>312</v>
      </c>
    </row>
    <row r="68" spans="8:11" x14ac:dyDescent="0.25">
      <c r="H68" s="301">
        <v>45977</v>
      </c>
      <c r="I68" s="129" t="s">
        <v>176</v>
      </c>
      <c r="J68" s="68">
        <v>179</v>
      </c>
      <c r="K68" s="318">
        <f>+J68*1.5</f>
        <v>268.5</v>
      </c>
    </row>
    <row r="69" spans="8:11" x14ac:dyDescent="0.25">
      <c r="H69" s="301"/>
      <c r="I69" s="129"/>
      <c r="K69" s="318"/>
    </row>
    <row r="70" spans="8:11" x14ac:dyDescent="0.25">
      <c r="H70" s="344"/>
      <c r="I70" s="345"/>
      <c r="J70" s="200">
        <f>+SUM(J65:J69)</f>
        <v>652</v>
      </c>
      <c r="K70" s="346">
        <f>+J70*1.5</f>
        <v>978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37" workbookViewId="0">
      <selection activeCell="E51" sqref="E51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56"/>
      <c r="C4" s="356"/>
      <c r="D4" s="165">
        <f>D25</f>
        <v>8724.0859999999993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6290</v>
      </c>
      <c r="D5" s="172">
        <v>268.70400000000001</v>
      </c>
      <c r="E5" s="80">
        <f>+D5/$D$4</f>
        <v>3.0800246581704951E-2</v>
      </c>
      <c r="F5" s="58" t="s">
        <v>51</v>
      </c>
      <c r="G5" s="59">
        <v>45985</v>
      </c>
      <c r="H5" s="190">
        <v>6857.0000000000009</v>
      </c>
      <c r="I5" s="141">
        <v>8461.7559999999994</v>
      </c>
      <c r="J5" s="60">
        <f t="shared" ref="J5:J12" si="0">+I5/H5</f>
        <v>1.2340317923290065</v>
      </c>
    </row>
    <row r="6" spans="1:10" ht="15" customHeight="1" x14ac:dyDescent="0.25">
      <c r="A6" s="164"/>
      <c r="B6" s="169" t="s">
        <v>10</v>
      </c>
      <c r="C6" s="177">
        <v>18949</v>
      </c>
      <c r="D6" s="173">
        <v>809.63900000000012</v>
      </c>
      <c r="E6" s="80">
        <f t="shared" ref="E6:E25" si="1">+D6/$D$4</f>
        <v>9.2805022784048688E-2</v>
      </c>
      <c r="F6" s="58" t="s">
        <v>52</v>
      </c>
      <c r="G6" s="59">
        <v>45986</v>
      </c>
      <c r="H6" s="190">
        <v>9223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21097</v>
      </c>
      <c r="D7" s="173">
        <v>899.58600000000024</v>
      </c>
      <c r="E7" s="80">
        <f t="shared" si="1"/>
        <v>0.10311521459096119</v>
      </c>
      <c r="F7" s="58" t="s">
        <v>53</v>
      </c>
      <c r="G7" s="59">
        <v>45987</v>
      </c>
      <c r="H7" s="190">
        <v>9667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790</v>
      </c>
      <c r="D8" s="173">
        <v>33.6</v>
      </c>
      <c r="E8" s="80">
        <f t="shared" si="1"/>
        <v>3.8514063249720375E-3</v>
      </c>
      <c r="F8" s="58" t="s">
        <v>54</v>
      </c>
      <c r="G8" s="59">
        <v>45988</v>
      </c>
      <c r="H8" s="190">
        <v>9379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42280</v>
      </c>
      <c r="D9" s="173">
        <v>1803.3360000000002</v>
      </c>
      <c r="E9" s="245">
        <f t="shared" si="1"/>
        <v>0.20670772846576713</v>
      </c>
      <c r="F9" s="58" t="s">
        <v>55</v>
      </c>
      <c r="G9" s="59">
        <v>45989</v>
      </c>
      <c r="H9" s="190">
        <v>8837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47161</v>
      </c>
      <c r="D10" s="173">
        <v>2014.146</v>
      </c>
      <c r="E10" s="245">
        <f t="shared" si="1"/>
        <v>0.23087186439931931</v>
      </c>
      <c r="F10" s="58" t="s">
        <v>56</v>
      </c>
      <c r="G10" s="59">
        <v>45990</v>
      </c>
      <c r="H10" s="190">
        <v>7403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11764</v>
      </c>
      <c r="D11" s="173">
        <v>501.20400000000001</v>
      </c>
      <c r="E11" s="80">
        <f t="shared" si="1"/>
        <v>5.7450602848252534E-2</v>
      </c>
      <c r="F11" s="58" t="s">
        <v>57</v>
      </c>
      <c r="G11" s="59">
        <v>45991</v>
      </c>
      <c r="H11" s="190">
        <v>5481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196</v>
      </c>
      <c r="C12" s="177">
        <v>9720</v>
      </c>
      <c r="D12" s="173">
        <v>244.36</v>
      </c>
      <c r="E12" s="80">
        <f t="shared" si="1"/>
        <v>2.8009810999112116E-2</v>
      </c>
      <c r="H12" s="139">
        <f>+SUM(H5:H11)</f>
        <v>56847</v>
      </c>
      <c r="I12" s="142">
        <f>+SUM(I5:I11)</f>
        <v>8461.7559999999994</v>
      </c>
      <c r="J12" s="140">
        <f t="shared" si="0"/>
        <v>0.1488514081657783</v>
      </c>
    </row>
    <row r="13" spans="1:10" ht="15" customHeight="1" x14ac:dyDescent="0.25">
      <c r="A13" s="164"/>
      <c r="B13" s="169" t="s">
        <v>45</v>
      </c>
      <c r="C13" s="177">
        <v>68</v>
      </c>
      <c r="D13" s="173">
        <v>102.19</v>
      </c>
      <c r="E13" s="80">
        <f t="shared" si="1"/>
        <v>1.1713547986574181E-2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86</v>
      </c>
      <c r="D14" s="173">
        <v>129.64999999999998</v>
      </c>
      <c r="E14" s="80">
        <f t="shared" si="1"/>
        <v>1.4861155655732873E-2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20</v>
      </c>
      <c r="D15" s="173">
        <v>30.01</v>
      </c>
      <c r="E15" s="80">
        <f t="shared" si="1"/>
        <v>3.4399018991788945E-3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85</v>
      </c>
      <c r="C16" s="177">
        <v>218</v>
      </c>
      <c r="D16" s="173">
        <v>328.51</v>
      </c>
      <c r="E16" s="80">
        <f t="shared" si="1"/>
        <v>3.7655520589778689E-2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251</v>
      </c>
      <c r="D17" s="173">
        <v>377.92099999999999</v>
      </c>
      <c r="E17" s="80">
        <f t="shared" si="1"/>
        <v>4.3319265766064208E-2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39</v>
      </c>
      <c r="C18" s="177">
        <v>375</v>
      </c>
      <c r="D18" s="173">
        <v>566.14</v>
      </c>
      <c r="E18" s="80">
        <f t="shared" si="1"/>
        <v>6.4893904072013966E-2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85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41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46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.75" customHeight="1" x14ac:dyDescent="0.25">
      <c r="A22" s="164"/>
      <c r="B22" s="169" t="s">
        <v>9</v>
      </c>
      <c r="C22" s="177"/>
      <c r="D22" s="173">
        <v>151.10999999999999</v>
      </c>
      <c r="E22" s="80">
        <f t="shared" si="1"/>
        <v>1.7321012195432278E-2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B23" s="169" t="s">
        <v>46</v>
      </c>
      <c r="C23" s="177"/>
      <c r="D23" s="173">
        <v>59.489999999999995</v>
      </c>
      <c r="E23" s="80">
        <f t="shared" si="1"/>
        <v>6.8190524485888838E-3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  <c r="K23" s="68"/>
    </row>
    <row r="24" spans="1:11" ht="15" customHeight="1" thickBot="1" x14ac:dyDescent="0.3">
      <c r="B24" s="169" t="s">
        <v>40</v>
      </c>
      <c r="C24" s="177"/>
      <c r="D24" s="173">
        <v>404.49000000000007</v>
      </c>
      <c r="E24" s="80">
        <f t="shared" si="1"/>
        <v>4.6364742392498208E-2</v>
      </c>
      <c r="F24" s="112" t="s">
        <v>198</v>
      </c>
      <c r="G24" s="190">
        <v>215275.19500000001</v>
      </c>
      <c r="H24" s="272">
        <v>242524.66</v>
      </c>
      <c r="I24" s="98">
        <f>+H24/G24</f>
        <v>1.1265796786294864</v>
      </c>
      <c r="J24" s="108">
        <v>32010.999999999534</v>
      </c>
      <c r="K24" s="68"/>
    </row>
    <row r="25" spans="1:11" ht="15" customHeight="1" thickBot="1" x14ac:dyDescent="0.3">
      <c r="B25" s="178" t="s">
        <v>0</v>
      </c>
      <c r="C25" s="170"/>
      <c r="D25" s="171">
        <f>SUM(D5:D24)</f>
        <v>8724.0859999999993</v>
      </c>
      <c r="E25" s="80">
        <f t="shared" si="1"/>
        <v>1</v>
      </c>
      <c r="F25" s="112" t="s">
        <v>199</v>
      </c>
      <c r="G25" s="190">
        <v>210045.58799999999</v>
      </c>
      <c r="H25" s="272">
        <f>+D26</f>
        <v>8724.0859999999993</v>
      </c>
      <c r="I25" s="98">
        <f t="shared" si="2"/>
        <v>4.1534250174300257E-2</v>
      </c>
      <c r="J25" s="108"/>
    </row>
    <row r="26" spans="1:11" ht="15" customHeight="1" x14ac:dyDescent="0.25">
      <c r="B26" s="166" t="s">
        <v>1</v>
      </c>
      <c r="C26" s="167"/>
      <c r="D26" s="233">
        <v>8724.0859999999993</v>
      </c>
      <c r="E26" s="80"/>
      <c r="G26" s="68">
        <f>+SUM(G14:G25)</f>
        <v>2547596.0290000001</v>
      </c>
      <c r="H26" s="68">
        <f>+SUM(H14:H25)</f>
        <v>2378285.5269999998</v>
      </c>
      <c r="I26" s="98">
        <f>+H26/G26</f>
        <v>0.93354107163275046</v>
      </c>
      <c r="J26" s="108">
        <f>+H26-G26</f>
        <v>-169310.50200000033</v>
      </c>
    </row>
    <row r="27" spans="1:11" ht="16.5" thickBot="1" x14ac:dyDescent="0.3">
      <c r="E27" s="80"/>
      <c r="F27" s="179"/>
      <c r="G27" s="179"/>
      <c r="H27" s="179"/>
      <c r="I27" s="179"/>
      <c r="J27" s="179"/>
    </row>
    <row r="28" spans="1:11" ht="19.5" thickBot="1" x14ac:dyDescent="0.3">
      <c r="E28" s="313">
        <f>+D26/G2</f>
        <v>3.9655258520629358E-2</v>
      </c>
      <c r="F28" s="179"/>
      <c r="G28" s="179"/>
      <c r="J28" s="179"/>
    </row>
    <row r="29" spans="1:11" x14ac:dyDescent="0.25">
      <c r="D29" s="108">
        <f>+(G2/31)*1</f>
        <v>7096.7165397713234</v>
      </c>
      <c r="E29" s="314">
        <f>+D29/F2</f>
        <v>3.116893608425533E-2</v>
      </c>
      <c r="F29" s="352"/>
    </row>
    <row r="30" spans="1:11" x14ac:dyDescent="0.25">
      <c r="D30" s="183">
        <f>+D26-D29</f>
        <v>1627.369460228676</v>
      </c>
      <c r="E30" s="99">
        <f>E28-E29</f>
        <v>8.4863224363740282E-3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713</v>
      </c>
      <c r="D33" s="108">
        <v>2142</v>
      </c>
      <c r="E33" s="57">
        <f>+C33/D33</f>
        <v>0.33286647992530344</v>
      </c>
      <c r="G33" s="86" t="s">
        <v>86</v>
      </c>
      <c r="H33" s="87">
        <v>11821</v>
      </c>
      <c r="I33" s="88">
        <f>+H33*0.025</f>
        <v>295.52500000000003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1004</v>
      </c>
      <c r="D34" s="108">
        <v>1890</v>
      </c>
      <c r="E34" s="57">
        <f>+C34/D34</f>
        <v>0.53121693121693125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1646</v>
      </c>
      <c r="D35" s="108">
        <v>3006</v>
      </c>
      <c r="E35" s="57">
        <f>+C35/D35</f>
        <v>0.54757152361942785</v>
      </c>
      <c r="G35" s="89" t="s">
        <v>169</v>
      </c>
      <c r="H35" s="87">
        <v>183</v>
      </c>
      <c r="I35" s="88">
        <f>+H35*1.5</f>
        <v>274.5</v>
      </c>
      <c r="J35" s="298">
        <f>+I35+I33</f>
        <v>570.02500000000009</v>
      </c>
    </row>
    <row r="36" spans="1:11" x14ac:dyDescent="0.25">
      <c r="C36" s="162">
        <f>+SUM(C33:C35)</f>
        <v>3363</v>
      </c>
      <c r="D36" s="110">
        <f>+SUM(D33:D35)</f>
        <v>7038</v>
      </c>
      <c r="E36" s="57">
        <f>+C36/D36</f>
        <v>0.47783461210571188</v>
      </c>
      <c r="G36" s="89" t="s">
        <v>168</v>
      </c>
      <c r="H36" s="87">
        <v>75</v>
      </c>
      <c r="I36" s="88">
        <f>+H36*1.5</f>
        <v>112.5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27</v>
      </c>
      <c r="C40" s="74">
        <v>5</v>
      </c>
      <c r="D40" s="74">
        <v>21</v>
      </c>
      <c r="E40" s="75">
        <f>+SUM(B40:D40)</f>
        <v>53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6.69</v>
      </c>
      <c r="C44" s="199">
        <v>1832</v>
      </c>
      <c r="D44" s="200">
        <v>3600</v>
      </c>
      <c r="E44" s="201">
        <f t="shared" si="3"/>
        <v>0.50888888888888884</v>
      </c>
      <c r="F44" s="201">
        <f t="shared" si="4"/>
        <v>0.27875</v>
      </c>
      <c r="G44" s="202">
        <v>12</v>
      </c>
      <c r="H44" s="71"/>
    </row>
    <row r="45" spans="1:11" x14ac:dyDescent="0.25">
      <c r="A45" s="207" t="s">
        <v>72</v>
      </c>
      <c r="B45" s="199">
        <v>9.1</v>
      </c>
      <c r="C45" s="199">
        <v>1309</v>
      </c>
      <c r="D45" s="200">
        <v>3900</v>
      </c>
      <c r="E45" s="201">
        <f t="shared" si="3"/>
        <v>0.33564102564102566</v>
      </c>
      <c r="F45" s="201">
        <f t="shared" si="4"/>
        <v>0.37916666666666665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6.54</v>
      </c>
      <c r="C46" s="199">
        <v>3206</v>
      </c>
      <c r="D46" s="200">
        <v>3900</v>
      </c>
      <c r="E46" s="201">
        <f t="shared" si="3"/>
        <v>0.82205128205128208</v>
      </c>
      <c r="F46" s="201">
        <f t="shared" si="4"/>
        <v>0.27250000000000002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1" si="5">+J46*1.5</f>
        <v>214.5</v>
      </c>
    </row>
    <row r="47" spans="1:11" x14ac:dyDescent="0.25">
      <c r="A47" s="207" t="s">
        <v>74</v>
      </c>
      <c r="B47" s="199">
        <v>16.55</v>
      </c>
      <c r="C47" s="199">
        <v>2855</v>
      </c>
      <c r="D47" s="200">
        <v>3900</v>
      </c>
      <c r="E47" s="201">
        <f t="shared" si="3"/>
        <v>0.732051282051282</v>
      </c>
      <c r="F47" s="201">
        <f t="shared" si="4"/>
        <v>0.68958333333333333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13.25</v>
      </c>
      <c r="C48" s="261"/>
      <c r="D48" s="262">
        <v>4300</v>
      </c>
      <c r="E48" s="263">
        <f t="shared" si="3"/>
        <v>0</v>
      </c>
      <c r="F48" s="201">
        <f t="shared" si="4"/>
        <v>0.55208333333333337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5"/>
        <v>42</v>
      </c>
    </row>
    <row r="49" spans="2:11" x14ac:dyDescent="0.25">
      <c r="B49" s="113">
        <f>+SUM(B43:B48)</f>
        <v>52.129999999999995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5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5"/>
        <v>99</v>
      </c>
    </row>
    <row r="51" spans="2:11" x14ac:dyDescent="0.25">
      <c r="C51" s="71">
        <v>1</v>
      </c>
      <c r="D51" s="225" t="s">
        <v>153</v>
      </c>
      <c r="H51" s="301">
        <v>45991</v>
      </c>
      <c r="I51" s="129" t="s">
        <v>175</v>
      </c>
      <c r="J51" s="162">
        <v>47</v>
      </c>
      <c r="K51" s="318">
        <f t="shared" si="5"/>
        <v>70.5</v>
      </c>
    </row>
    <row r="52" spans="2:11" x14ac:dyDescent="0.25">
      <c r="C52" s="71">
        <v>2</v>
      </c>
      <c r="D52" s="225" t="s">
        <v>153</v>
      </c>
    </row>
    <row r="53" spans="2:11" x14ac:dyDescent="0.25">
      <c r="C53" s="71">
        <v>3</v>
      </c>
      <c r="D53" s="225" t="s">
        <v>154</v>
      </c>
      <c r="J53" s="68"/>
    </row>
    <row r="54" spans="2:11" x14ac:dyDescent="0.25">
      <c r="C54" s="71">
        <v>4</v>
      </c>
      <c r="D54" s="108">
        <v>1</v>
      </c>
      <c r="H54" s="344"/>
      <c r="I54" s="345"/>
      <c r="J54" s="199">
        <f>J49+J50</f>
        <v>187</v>
      </c>
      <c r="K54" s="346">
        <f>+J54*1.5</f>
        <v>280.5</v>
      </c>
    </row>
    <row r="55" spans="2:11" x14ac:dyDescent="0.25">
      <c r="C55" s="71">
        <v>5</v>
      </c>
      <c r="D55" s="108">
        <v>14</v>
      </c>
    </row>
    <row r="56" spans="2:11" x14ac:dyDescent="0.25">
      <c r="C56" s="71">
        <v>6</v>
      </c>
      <c r="D56" s="108">
        <v>1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f>+J57*0.025</f>
        <v>84.175000000000011</v>
      </c>
    </row>
    <row r="58" spans="2:11" x14ac:dyDescent="0.25">
      <c r="C58" s="71">
        <v>8</v>
      </c>
      <c r="D58" s="225" t="s">
        <v>153</v>
      </c>
      <c r="H58" s="301">
        <v>45984</v>
      </c>
      <c r="I58" s="129" t="s">
        <v>175</v>
      </c>
      <c r="J58" s="162">
        <v>6792</v>
      </c>
      <c r="K58" s="318">
        <f>+J58*0.025</f>
        <v>169.8</v>
      </c>
    </row>
    <row r="59" spans="2:11" x14ac:dyDescent="0.25">
      <c r="H59" s="344"/>
      <c r="I59" s="345"/>
      <c r="J59" s="200">
        <f>+J58+J57</f>
        <v>10159</v>
      </c>
      <c r="K59" s="346">
        <f>+J59*0.025</f>
        <v>253.97500000000002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45990</v>
      </c>
      <c r="I65" s="129" t="s">
        <v>176</v>
      </c>
      <c r="J65" s="68">
        <v>43</v>
      </c>
      <c r="K65" s="318">
        <f>+J65*1.5</f>
        <v>64.5</v>
      </c>
    </row>
    <row r="66" spans="8:11" x14ac:dyDescent="0.25">
      <c r="H66" s="301">
        <v>45991</v>
      </c>
      <c r="I66" s="129" t="s">
        <v>175</v>
      </c>
      <c r="J66" s="68">
        <v>222</v>
      </c>
      <c r="K66" s="318">
        <f>+J66*1.5</f>
        <v>333</v>
      </c>
    </row>
    <row r="67" spans="8:11" x14ac:dyDescent="0.25">
      <c r="H67" s="301">
        <v>45991</v>
      </c>
      <c r="I67" s="129" t="s">
        <v>176</v>
      </c>
      <c r="J67" s="68">
        <v>199</v>
      </c>
      <c r="K67" s="318">
        <f>+J67*1.5</f>
        <v>298.5</v>
      </c>
    </row>
    <row r="68" spans="8:11" x14ac:dyDescent="0.25">
      <c r="H68" s="301">
        <v>45992</v>
      </c>
      <c r="I68" s="129" t="s">
        <v>175</v>
      </c>
      <c r="J68" s="68">
        <v>163</v>
      </c>
      <c r="K68" s="318">
        <f>+J68*1.5</f>
        <v>244.5</v>
      </c>
    </row>
    <row r="69" spans="8:11" x14ac:dyDescent="0.25">
      <c r="H69" s="301"/>
      <c r="I69" s="129"/>
      <c r="K69" s="318"/>
    </row>
    <row r="70" spans="8:11" x14ac:dyDescent="0.25">
      <c r="H70" s="344"/>
      <c r="I70" s="345"/>
      <c r="J70" s="200">
        <f>+SUM(J65:J69)</f>
        <v>627</v>
      </c>
      <c r="K70" s="346">
        <f>+J70*1.5</f>
        <v>940.5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48" workbookViewId="0">
      <selection activeCell="F73" sqref="F73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56"/>
      <c r="C4" s="356"/>
      <c r="D4" s="165">
        <f>D25</f>
        <v>10706.063000000004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5410</v>
      </c>
      <c r="D5" s="172">
        <v>231.142</v>
      </c>
      <c r="E5" s="80">
        <f>+D5/$D$4</f>
        <v>2.1589822514588221E-2</v>
      </c>
      <c r="F5" s="58" t="s">
        <v>51</v>
      </c>
      <c r="G5" s="59">
        <v>45985</v>
      </c>
      <c r="H5" s="190">
        <v>6857.0000000000009</v>
      </c>
      <c r="I5" s="141">
        <v>8461.7559999999994</v>
      </c>
      <c r="J5" s="60">
        <f t="shared" ref="J5:J12" si="0">+I5/H5</f>
        <v>1.2340317923290065</v>
      </c>
    </row>
    <row r="6" spans="1:10" ht="15" customHeight="1" x14ac:dyDescent="0.25">
      <c r="A6" s="164"/>
      <c r="B6" s="169" t="s">
        <v>10</v>
      </c>
      <c r="C6" s="177">
        <v>15090</v>
      </c>
      <c r="D6" s="173">
        <v>644.15199999999993</v>
      </c>
      <c r="E6" s="80">
        <f t="shared" ref="E6:E25" si="1">+D6/$D$4</f>
        <v>6.0167028720081298E-2</v>
      </c>
      <c r="F6" s="58" t="s">
        <v>52</v>
      </c>
      <c r="G6" s="59">
        <v>45986</v>
      </c>
      <c r="H6" s="190">
        <v>9223</v>
      </c>
      <c r="I6" s="141">
        <v>10706.063000000004</v>
      </c>
      <c r="J6" s="60">
        <f t="shared" si="0"/>
        <v>1.1608004987531175</v>
      </c>
    </row>
    <row r="7" spans="1:10" ht="15" customHeight="1" x14ac:dyDescent="0.25">
      <c r="A7" s="164"/>
      <c r="B7" s="169" t="s">
        <v>35</v>
      </c>
      <c r="C7" s="177">
        <v>38068</v>
      </c>
      <c r="D7" s="173">
        <v>1624.3669999999997</v>
      </c>
      <c r="E7" s="80">
        <f t="shared" si="1"/>
        <v>0.15172402777753122</v>
      </c>
      <c r="F7" s="58" t="s">
        <v>53</v>
      </c>
      <c r="G7" s="59">
        <v>45987</v>
      </c>
      <c r="H7" s="190">
        <v>9667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7289</v>
      </c>
      <c r="D8" s="173">
        <v>310.73199999999997</v>
      </c>
      <c r="E8" s="80">
        <f t="shared" si="1"/>
        <v>2.9023927843503244E-2</v>
      </c>
      <c r="F8" s="58" t="s">
        <v>54</v>
      </c>
      <c r="G8" s="59">
        <v>45988</v>
      </c>
      <c r="H8" s="190">
        <v>9379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50327</v>
      </c>
      <c r="D9" s="173">
        <v>2147.8559999999998</v>
      </c>
      <c r="E9" s="245">
        <f t="shared" si="1"/>
        <v>0.20062052689209833</v>
      </c>
      <c r="F9" s="58" t="s">
        <v>55</v>
      </c>
      <c r="G9" s="59">
        <v>45989</v>
      </c>
      <c r="H9" s="190">
        <v>8837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43608</v>
      </c>
      <c r="D10" s="173">
        <v>1862.7079999999996</v>
      </c>
      <c r="E10" s="245">
        <f t="shared" si="1"/>
        <v>0.17398627301184375</v>
      </c>
      <c r="F10" s="58" t="s">
        <v>56</v>
      </c>
      <c r="G10" s="59">
        <v>45990</v>
      </c>
      <c r="H10" s="190">
        <v>7403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21064</v>
      </c>
      <c r="D11" s="173">
        <v>898.87599999999998</v>
      </c>
      <c r="E11" s="80">
        <f t="shared" si="1"/>
        <v>8.3959528353233087E-2</v>
      </c>
      <c r="F11" s="58" t="s">
        <v>57</v>
      </c>
      <c r="G11" s="59">
        <v>45991</v>
      </c>
      <c r="H11" s="190">
        <v>5481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196</v>
      </c>
      <c r="C12" s="177">
        <v>4176</v>
      </c>
      <c r="D12" s="173">
        <v>105.07999999999998</v>
      </c>
      <c r="E12" s="80">
        <f t="shared" si="1"/>
        <v>9.8149992205351262E-3</v>
      </c>
      <c r="H12" s="139">
        <f>+SUM(H5:H11)</f>
        <v>56847</v>
      </c>
      <c r="I12" s="142">
        <f>+SUM(I5:I11)</f>
        <v>19167.819000000003</v>
      </c>
      <c r="J12" s="140">
        <f t="shared" si="0"/>
        <v>0.33718259538761947</v>
      </c>
    </row>
    <row r="13" spans="1:10" ht="15" customHeight="1" x14ac:dyDescent="0.25">
      <c r="A13" s="164"/>
      <c r="B13" s="169" t="s">
        <v>39</v>
      </c>
      <c r="C13" s="177">
        <v>650</v>
      </c>
      <c r="D13" s="173">
        <v>980.15</v>
      </c>
      <c r="E13" s="80">
        <f t="shared" si="1"/>
        <v>9.1550927731323797E-2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41</v>
      </c>
      <c r="C14" s="177">
        <v>276</v>
      </c>
      <c r="D14" s="173">
        <v>415.48</v>
      </c>
      <c r="E14" s="80">
        <f t="shared" si="1"/>
        <v>3.8807916598286397E-2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314</v>
      </c>
      <c r="D15" s="173">
        <v>474.11999999999995</v>
      </c>
      <c r="E15" s="80">
        <f t="shared" si="1"/>
        <v>4.4285186814237855E-2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44</v>
      </c>
      <c r="C16" s="177">
        <v>44</v>
      </c>
      <c r="D16" s="173">
        <v>66.349999999999994</v>
      </c>
      <c r="E16" s="80">
        <f t="shared" si="1"/>
        <v>6.1974228995289836E-3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62</v>
      </c>
      <c r="D17" s="173">
        <v>93.12</v>
      </c>
      <c r="E17" s="80">
        <f t="shared" si="1"/>
        <v>8.6978752133253807E-3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88</v>
      </c>
      <c r="C18" s="177">
        <v>40</v>
      </c>
      <c r="D18" s="173">
        <v>60.58</v>
      </c>
      <c r="E18" s="80">
        <f t="shared" si="1"/>
        <v>5.6584759495624092E-3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>
        <v>22</v>
      </c>
      <c r="D19" s="173">
        <v>33.03</v>
      </c>
      <c r="E19" s="80">
        <f t="shared" si="1"/>
        <v>3.0851677222523341E-3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184</v>
      </c>
      <c r="C21" s="177"/>
      <c r="D21" s="173">
        <v>32.369999999999997</v>
      </c>
      <c r="E21" s="80">
        <f t="shared" si="1"/>
        <v>3.023520410817682E-3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46</v>
      </c>
      <c r="C22" s="177"/>
      <c r="D22" s="173">
        <v>87.51</v>
      </c>
      <c r="E22" s="80">
        <f t="shared" si="1"/>
        <v>8.1738730661308438E-3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92.509999999999991</v>
      </c>
      <c r="E23" s="80">
        <f t="shared" si="1"/>
        <v>8.6408981527569904E-3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thickBot="1" x14ac:dyDescent="0.3">
      <c r="B24" s="169" t="s">
        <v>40</v>
      </c>
      <c r="C24" s="177"/>
      <c r="D24" s="173">
        <v>545.92999999999995</v>
      </c>
      <c r="E24" s="80">
        <f t="shared" si="1"/>
        <v>5.0992601108362595E-2</v>
      </c>
      <c r="F24" s="112" t="s">
        <v>198</v>
      </c>
      <c r="G24" s="190">
        <v>215275.19500000001</v>
      </c>
      <c r="H24" s="272">
        <v>242524.66</v>
      </c>
      <c r="I24" s="98">
        <f>+H24/G24</f>
        <v>1.1265796786294864</v>
      </c>
      <c r="J24" s="108">
        <v>32010.999999999534</v>
      </c>
    </row>
    <row r="25" spans="1:10" ht="15" customHeight="1" thickBot="1" x14ac:dyDescent="0.3">
      <c r="B25" s="178" t="s">
        <v>0</v>
      </c>
      <c r="C25" s="170"/>
      <c r="D25" s="171">
        <f>SUM(D5:D24)</f>
        <v>10706.063000000004</v>
      </c>
      <c r="E25" s="80">
        <f t="shared" si="1"/>
        <v>1</v>
      </c>
      <c r="F25" s="112" t="s">
        <v>199</v>
      </c>
      <c r="G25" s="190">
        <v>210045.58799999999</v>
      </c>
      <c r="H25" s="272">
        <f>+D26</f>
        <v>19430.149000000001</v>
      </c>
      <c r="I25" s="98">
        <f t="shared" si="2"/>
        <v>9.2504437655695979E-2</v>
      </c>
      <c r="J25" s="108"/>
    </row>
    <row r="26" spans="1:10" ht="15" customHeight="1" x14ac:dyDescent="0.25">
      <c r="B26" s="166" t="s">
        <v>1</v>
      </c>
      <c r="C26" s="167"/>
      <c r="D26" s="233">
        <v>19430.149000000001</v>
      </c>
      <c r="E26" s="80"/>
      <c r="G26" s="68">
        <f>+SUM(G14:G25)</f>
        <v>2547596.0290000001</v>
      </c>
      <c r="H26" s="68">
        <f>+SUM(H14:H25)</f>
        <v>2388991.59</v>
      </c>
      <c r="I26" s="98">
        <f>+H26/G26</f>
        <v>0.93774348947220776</v>
      </c>
      <c r="J26" s="108">
        <f>+H26-G26</f>
        <v>-158604.43900000025</v>
      </c>
    </row>
    <row r="27" spans="1:10" ht="16.5" thickBot="1" x14ac:dyDescent="0.3"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+D26/G2</f>
        <v>8.8319576593966179E-2</v>
      </c>
      <c r="F28" s="179"/>
      <c r="G28" s="179"/>
      <c r="J28" s="179"/>
    </row>
    <row r="29" spans="1:10" x14ac:dyDescent="0.25">
      <c r="D29" s="108">
        <f>+(G2/31)*2</f>
        <v>14193.433079542647</v>
      </c>
      <c r="E29" s="314">
        <f>+D29/F2</f>
        <v>6.2337872168510659E-2</v>
      </c>
      <c r="F29" s="352"/>
    </row>
    <row r="30" spans="1:10" x14ac:dyDescent="0.25">
      <c r="D30" s="183">
        <f>+D26-D29</f>
        <v>5236.7159204573545</v>
      </c>
      <c r="E30" s="99">
        <f>E28-E29</f>
        <v>2.5981704425455519E-2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866</v>
      </c>
      <c r="D33" s="108">
        <v>2142</v>
      </c>
      <c r="E33" s="57">
        <f>+C33/D33</f>
        <v>0.40429505135387489</v>
      </c>
      <c r="G33" s="86" t="s">
        <v>86</v>
      </c>
      <c r="H33" s="87">
        <v>11821</v>
      </c>
      <c r="I33" s="88">
        <f>+H33*0.025</f>
        <v>295.52500000000003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1282</v>
      </c>
      <c r="D34" s="108">
        <v>1890</v>
      </c>
      <c r="E34" s="57">
        <f>+C34/D34</f>
        <v>0.6783068783068783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852</v>
      </c>
      <c r="D35" s="108">
        <v>3006</v>
      </c>
      <c r="E35" s="57">
        <f>+C35/D35</f>
        <v>0.28343313373253493</v>
      </c>
      <c r="G35" s="89" t="s">
        <v>169</v>
      </c>
      <c r="H35" s="87">
        <v>183</v>
      </c>
      <c r="I35" s="88">
        <f>+H35*1.5</f>
        <v>274.5</v>
      </c>
      <c r="J35" s="298">
        <f>+I35+I33</f>
        <v>570.02500000000009</v>
      </c>
    </row>
    <row r="36" spans="1:11" x14ac:dyDescent="0.25">
      <c r="C36" s="162">
        <f>+SUM(C33:C35)</f>
        <v>3000</v>
      </c>
      <c r="D36" s="110">
        <f>+SUM(D33:D35)</f>
        <v>7038</v>
      </c>
      <c r="E36" s="57">
        <f>+C36/D36</f>
        <v>0.42625745950554134</v>
      </c>
      <c r="G36" s="89" t="s">
        <v>168</v>
      </c>
      <c r="H36" s="87">
        <v>75</v>
      </c>
      <c r="I36" s="88">
        <f>+H36*1.5</f>
        <v>112.5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37</v>
      </c>
      <c r="C40" s="74">
        <v>5</v>
      </c>
      <c r="D40" s="74">
        <v>27</v>
      </c>
      <c r="E40" s="75">
        <f>+SUM(B40:D40)</f>
        <v>69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14.58</v>
      </c>
      <c r="C44" s="199">
        <v>1853</v>
      </c>
      <c r="D44" s="200">
        <v>3600</v>
      </c>
      <c r="E44" s="201">
        <f t="shared" si="3"/>
        <v>0.51472222222222219</v>
      </c>
      <c r="F44" s="201">
        <f t="shared" si="4"/>
        <v>0.60750000000000004</v>
      </c>
      <c r="G44" s="202">
        <v>12</v>
      </c>
      <c r="H44" s="71"/>
    </row>
    <row r="45" spans="1:11" x14ac:dyDescent="0.25">
      <c r="A45" s="207" t="s">
        <v>72</v>
      </c>
      <c r="B45" s="199">
        <v>14.2</v>
      </c>
      <c r="C45" s="199">
        <v>1261</v>
      </c>
      <c r="D45" s="200">
        <v>3900</v>
      </c>
      <c r="E45" s="201">
        <f t="shared" si="3"/>
        <v>0.32333333333333331</v>
      </c>
      <c r="F45" s="201">
        <f t="shared" si="4"/>
        <v>0.59166666666666667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14.05</v>
      </c>
      <c r="C46" s="199">
        <v>2896</v>
      </c>
      <c r="D46" s="200">
        <v>3900</v>
      </c>
      <c r="E46" s="201">
        <f t="shared" si="3"/>
        <v>0.74256410256410255</v>
      </c>
      <c r="F46" s="201">
        <f t="shared" si="4"/>
        <v>0.5854166666666667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1" si="5">+J46*1.5</f>
        <v>214.5</v>
      </c>
    </row>
    <row r="47" spans="1:11" x14ac:dyDescent="0.25">
      <c r="A47" s="207" t="s">
        <v>74</v>
      </c>
      <c r="B47" s="199">
        <v>17.32</v>
      </c>
      <c r="C47" s="199">
        <v>2449</v>
      </c>
      <c r="D47" s="200">
        <v>3900</v>
      </c>
      <c r="E47" s="201">
        <f t="shared" si="3"/>
        <v>0.62794871794871798</v>
      </c>
      <c r="F47" s="201">
        <f t="shared" si="4"/>
        <v>0.72166666666666668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12.14</v>
      </c>
      <c r="C48" s="261"/>
      <c r="D48" s="262">
        <v>4300</v>
      </c>
      <c r="E48" s="263">
        <f t="shared" si="3"/>
        <v>0</v>
      </c>
      <c r="F48" s="201">
        <f t="shared" si="4"/>
        <v>0.50583333333333336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5"/>
        <v>42</v>
      </c>
    </row>
    <row r="49" spans="2:11" x14ac:dyDescent="0.25">
      <c r="B49" s="113">
        <f>+SUM(B43:B48)</f>
        <v>72.289999999999992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5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5"/>
        <v>99</v>
      </c>
    </row>
    <row r="51" spans="2:11" x14ac:dyDescent="0.25">
      <c r="C51" s="71">
        <v>1</v>
      </c>
      <c r="D51" s="225" t="s">
        <v>153</v>
      </c>
      <c r="H51" s="301">
        <v>45991</v>
      </c>
      <c r="I51" s="129" t="s">
        <v>175</v>
      </c>
      <c r="J51" s="162">
        <v>47</v>
      </c>
      <c r="K51" s="318">
        <f t="shared" si="5"/>
        <v>70.5</v>
      </c>
    </row>
    <row r="52" spans="2:11" x14ac:dyDescent="0.25">
      <c r="C52" s="71">
        <v>2</v>
      </c>
      <c r="D52" s="225" t="s">
        <v>153</v>
      </c>
    </row>
    <row r="53" spans="2:11" x14ac:dyDescent="0.25">
      <c r="C53" s="71">
        <v>3</v>
      </c>
      <c r="D53" s="225" t="s">
        <v>154</v>
      </c>
      <c r="J53" s="68"/>
    </row>
    <row r="54" spans="2:11" x14ac:dyDescent="0.25">
      <c r="C54" s="71">
        <v>4</v>
      </c>
      <c r="D54" s="108">
        <v>1</v>
      </c>
      <c r="H54" s="344"/>
      <c r="I54" s="345"/>
      <c r="J54" s="199">
        <f>J49+J50</f>
        <v>187</v>
      </c>
      <c r="K54" s="346">
        <f>+J54*1.5</f>
        <v>280.5</v>
      </c>
    </row>
    <row r="55" spans="2:11" x14ac:dyDescent="0.25">
      <c r="C55" s="71">
        <v>5</v>
      </c>
      <c r="D55" s="108">
        <v>11</v>
      </c>
    </row>
    <row r="56" spans="2:11" x14ac:dyDescent="0.25">
      <c r="C56" s="71">
        <v>6</v>
      </c>
      <c r="D56" s="108">
        <v>1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f>+J57*0.025</f>
        <v>84.175000000000011</v>
      </c>
    </row>
    <row r="58" spans="2:11" x14ac:dyDescent="0.25">
      <c r="C58" s="71">
        <v>8</v>
      </c>
      <c r="D58" s="225" t="s">
        <v>153</v>
      </c>
      <c r="H58" s="301">
        <v>45984</v>
      </c>
      <c r="I58" s="129" t="s">
        <v>175</v>
      </c>
      <c r="J58" s="162">
        <v>6792</v>
      </c>
      <c r="K58" s="318">
        <f>+J58*0.025</f>
        <v>169.8</v>
      </c>
    </row>
    <row r="59" spans="2:11" x14ac:dyDescent="0.25">
      <c r="H59" s="344"/>
      <c r="I59" s="345"/>
      <c r="J59" s="200">
        <f>+J58+J57</f>
        <v>10159</v>
      </c>
      <c r="K59" s="346">
        <f>+J59*0.025</f>
        <v>253.97500000000002</v>
      </c>
    </row>
    <row r="61" spans="2:11" x14ac:dyDescent="0.25">
      <c r="H61" s="237" t="s">
        <v>205</v>
      </c>
      <c r="J61" s="162" t="s">
        <v>177</v>
      </c>
      <c r="K61" s="215" t="s">
        <v>92</v>
      </c>
    </row>
    <row r="62" spans="2:11" x14ac:dyDescent="0.25">
      <c r="H62" s="301">
        <v>45942</v>
      </c>
      <c r="I62" s="129" t="s">
        <v>176</v>
      </c>
      <c r="J62" s="162">
        <v>47</v>
      </c>
      <c r="K62" s="318">
        <f>+J62*1.5</f>
        <v>70.5</v>
      </c>
    </row>
    <row r="63" spans="2:11" x14ac:dyDescent="0.25">
      <c r="I63" s="129"/>
      <c r="K63" s="215"/>
    </row>
    <row r="64" spans="2:11" x14ac:dyDescent="0.25">
      <c r="H64" s="237" t="s">
        <v>167</v>
      </c>
      <c r="J64" s="162" t="s">
        <v>157</v>
      </c>
      <c r="K64" s="215" t="s">
        <v>92</v>
      </c>
    </row>
    <row r="65" spans="8:11" x14ac:dyDescent="0.25">
      <c r="H65" s="301">
        <v>45990</v>
      </c>
      <c r="I65" s="129" t="s">
        <v>176</v>
      </c>
      <c r="J65" s="68">
        <v>43</v>
      </c>
      <c r="K65" s="318">
        <f>+J65*1.5</f>
        <v>64.5</v>
      </c>
    </row>
    <row r="66" spans="8:11" x14ac:dyDescent="0.25">
      <c r="H66" s="301">
        <v>45991</v>
      </c>
      <c r="I66" s="129" t="s">
        <v>175</v>
      </c>
      <c r="J66" s="68">
        <v>222</v>
      </c>
      <c r="K66" s="318">
        <f>+J66*1.5</f>
        <v>333</v>
      </c>
    </row>
    <row r="67" spans="8:11" x14ac:dyDescent="0.25">
      <c r="H67" s="301">
        <v>45991</v>
      </c>
      <c r="I67" s="129" t="s">
        <v>176</v>
      </c>
      <c r="J67" s="68">
        <v>199</v>
      </c>
      <c r="K67" s="318">
        <f>+J67*1.5</f>
        <v>298.5</v>
      </c>
    </row>
    <row r="68" spans="8:11" x14ac:dyDescent="0.25">
      <c r="H68" s="301">
        <v>45992</v>
      </c>
      <c r="I68" s="129" t="s">
        <v>175</v>
      </c>
      <c r="J68" s="68">
        <v>163</v>
      </c>
      <c r="K68" s="318">
        <f>+J68*1.5</f>
        <v>244.5</v>
      </c>
    </row>
    <row r="69" spans="8:11" x14ac:dyDescent="0.25">
      <c r="H69" s="301"/>
      <c r="I69" s="129"/>
      <c r="K69" s="318"/>
    </row>
    <row r="70" spans="8:11" x14ac:dyDescent="0.25">
      <c r="H70" s="344"/>
      <c r="I70" s="345"/>
      <c r="J70" s="200">
        <f>+SUM(J65:J69)</f>
        <v>627</v>
      </c>
      <c r="K70" s="346">
        <f>+J70*1.5</f>
        <v>940.5</v>
      </c>
    </row>
  </sheetData>
  <protectedRanges>
    <protectedRange password="D554" sqref="I41:I43" name="Rango1_1_2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1"/>
  <sheetViews>
    <sheetView topLeftCell="A41" workbookViewId="0">
      <selection activeCell="E44" sqref="E44:E48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7" style="162" customWidth="1"/>
    <col min="6" max="10" width="11.42578125" style="162"/>
    <col min="11" max="11" width="8" style="162" bestFit="1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57"/>
      <c r="C4" s="357"/>
      <c r="D4" s="165">
        <f>D26</f>
        <v>9134.1879999999983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760</v>
      </c>
      <c r="D5" s="172">
        <v>32.451999999999998</v>
      </c>
      <c r="E5" s="80">
        <f>+D5/$D$4</f>
        <v>3.5528062264538461E-3</v>
      </c>
      <c r="F5" s="58" t="s">
        <v>51</v>
      </c>
      <c r="G5" s="59">
        <v>45999</v>
      </c>
      <c r="H5" s="190">
        <v>6908</v>
      </c>
      <c r="I5" s="141">
        <v>5268.15</v>
      </c>
      <c r="J5" s="60">
        <f t="shared" ref="J5:J12" si="0">+I5/H5</f>
        <v>0.76261580775911986</v>
      </c>
    </row>
    <row r="6" spans="1:10" ht="15" customHeight="1" x14ac:dyDescent="0.25">
      <c r="A6" s="164"/>
      <c r="B6" s="169" t="s">
        <v>10</v>
      </c>
      <c r="C6" s="177">
        <v>9314</v>
      </c>
      <c r="D6" s="173">
        <v>398.084</v>
      </c>
      <c r="E6" s="80">
        <f t="shared" ref="E6:E25" si="1">+D6/$D$4</f>
        <v>4.3581761181179991E-2</v>
      </c>
      <c r="F6" s="58" t="s">
        <v>52</v>
      </c>
      <c r="G6" s="59">
        <v>46000</v>
      </c>
      <c r="H6" s="190">
        <v>9316</v>
      </c>
      <c r="I6" s="141">
        <v>7804.62</v>
      </c>
      <c r="J6" s="60">
        <f t="shared" si="0"/>
        <v>0.83776513525118079</v>
      </c>
    </row>
    <row r="7" spans="1:10" ht="15" customHeight="1" x14ac:dyDescent="0.25">
      <c r="A7" s="164"/>
      <c r="B7" s="169" t="s">
        <v>35</v>
      </c>
      <c r="C7" s="177">
        <v>30015</v>
      </c>
      <c r="D7" s="173">
        <v>1279.5899999999999</v>
      </c>
      <c r="E7" s="80">
        <f t="shared" si="1"/>
        <v>0.14008798592715632</v>
      </c>
      <c r="F7" s="58" t="s">
        <v>53</v>
      </c>
      <c r="G7" s="59">
        <v>46001</v>
      </c>
      <c r="H7" s="190">
        <v>9819</v>
      </c>
      <c r="I7" s="141">
        <v>9134.1879999999983</v>
      </c>
      <c r="J7" s="60">
        <f t="shared" si="0"/>
        <v>0.93025644159283005</v>
      </c>
    </row>
    <row r="8" spans="1:10" ht="15" customHeight="1" x14ac:dyDescent="0.25">
      <c r="A8" s="164"/>
      <c r="B8" s="169" t="s">
        <v>4</v>
      </c>
      <c r="C8" s="177">
        <v>7915</v>
      </c>
      <c r="D8" s="173">
        <v>337.88200000000001</v>
      </c>
      <c r="E8" s="80">
        <f t="shared" si="1"/>
        <v>3.699091807613332E-2</v>
      </c>
      <c r="F8" s="58" t="s">
        <v>54</v>
      </c>
      <c r="G8" s="59">
        <v>46002</v>
      </c>
      <c r="H8" s="190">
        <v>9485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40451</v>
      </c>
      <c r="D9" s="173">
        <v>1725.73</v>
      </c>
      <c r="E9" s="245">
        <f t="shared" si="1"/>
        <v>0.18893086063041403</v>
      </c>
      <c r="F9" s="58" t="s">
        <v>55</v>
      </c>
      <c r="G9" s="59">
        <v>46003</v>
      </c>
      <c r="H9" s="190">
        <v>8910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56282</v>
      </c>
      <c r="D10" s="173">
        <v>2403.7260000000001</v>
      </c>
      <c r="E10" s="245">
        <f t="shared" si="1"/>
        <v>0.26315705347864532</v>
      </c>
      <c r="F10" s="58" t="s">
        <v>56</v>
      </c>
      <c r="G10" s="59">
        <v>46004</v>
      </c>
      <c r="H10" s="190">
        <v>7910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10068</v>
      </c>
      <c r="D11" s="173">
        <v>428.70400000000001</v>
      </c>
      <c r="E11" s="80">
        <f t="shared" si="1"/>
        <v>4.6934002234243488E-2</v>
      </c>
      <c r="F11" s="58" t="s">
        <v>57</v>
      </c>
      <c r="G11" s="59">
        <v>46005</v>
      </c>
      <c r="H11" s="190">
        <v>3281.5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218</v>
      </c>
      <c r="C12" s="177"/>
      <c r="D12" s="173"/>
      <c r="E12" s="80">
        <f t="shared" si="1"/>
        <v>0</v>
      </c>
      <c r="H12" s="139">
        <f>+SUM(H5:H11)</f>
        <v>55629.5</v>
      </c>
      <c r="I12" s="142">
        <f>+SUM(I5:I11)</f>
        <v>22206.957999999999</v>
      </c>
      <c r="J12" s="140">
        <f t="shared" si="0"/>
        <v>0.3991939168966106</v>
      </c>
    </row>
    <row r="13" spans="1:10" ht="15" customHeight="1" x14ac:dyDescent="0.25">
      <c r="A13" s="164"/>
      <c r="B13" s="169" t="s">
        <v>196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525</v>
      </c>
      <c r="D14" s="173">
        <v>792.87</v>
      </c>
      <c r="E14" s="80">
        <f t="shared" si="1"/>
        <v>8.6802461258734781E-2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408</v>
      </c>
      <c r="D15" s="173">
        <v>616.66</v>
      </c>
      <c r="E15" s="80">
        <f t="shared" si="1"/>
        <v>6.7511200776686459E-2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44</v>
      </c>
      <c r="C16" s="177">
        <v>20</v>
      </c>
      <c r="D16" s="173">
        <v>30.2</v>
      </c>
      <c r="E16" s="80">
        <f t="shared" si="1"/>
        <v>3.3062599543604758E-3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43</v>
      </c>
      <c r="D17" s="173">
        <v>64.66</v>
      </c>
      <c r="E17" s="80">
        <f t="shared" si="1"/>
        <v>7.0788996241373629E-3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88</v>
      </c>
      <c r="C18" s="177"/>
      <c r="D18" s="173">
        <v>30.41</v>
      </c>
      <c r="E18" s="80">
        <f t="shared" si="1"/>
        <v>3.329250503711989E-3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238</v>
      </c>
      <c r="D20" s="173">
        <v>358.41</v>
      </c>
      <c r="E20" s="80">
        <f t="shared" si="1"/>
        <v>3.9238299014646962E-2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194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184</v>
      </c>
      <c r="C22" s="177"/>
      <c r="D22" s="173">
        <v>32.19</v>
      </c>
      <c r="E22" s="80">
        <f t="shared" si="1"/>
        <v>3.5241227791676724E-3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46</v>
      </c>
      <c r="C23" s="177"/>
      <c r="D23" s="173">
        <v>119.27</v>
      </c>
      <c r="E23" s="80">
        <f t="shared" si="1"/>
        <v>1.3057537243595164E-2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x14ac:dyDescent="0.25">
      <c r="B24" s="169" t="s">
        <v>9</v>
      </c>
      <c r="C24" s="177"/>
      <c r="D24" s="173">
        <v>60.14</v>
      </c>
      <c r="E24" s="80">
        <f t="shared" si="1"/>
        <v>6.5840554190476491E-3</v>
      </c>
      <c r="F24" s="112" t="s">
        <v>198</v>
      </c>
      <c r="G24" s="190">
        <v>215275.19500000001</v>
      </c>
      <c r="H24" s="272">
        <v>242524.66</v>
      </c>
      <c r="I24" s="98">
        <f>+H24/G24</f>
        <v>1.1265796786294864</v>
      </c>
      <c r="J24" s="108">
        <v>32010.999999999534</v>
      </c>
    </row>
    <row r="25" spans="1:10" ht="15" customHeight="1" thickBot="1" x14ac:dyDescent="0.3">
      <c r="B25" s="169" t="s">
        <v>40</v>
      </c>
      <c r="C25" s="177"/>
      <c r="D25" s="173">
        <v>423.21</v>
      </c>
      <c r="E25" s="80">
        <f t="shared" si="1"/>
        <v>4.6332525671685325E-2</v>
      </c>
      <c r="F25" s="112" t="s">
        <v>199</v>
      </c>
      <c r="G25" s="190">
        <v>210045.58799999999</v>
      </c>
      <c r="H25" s="272">
        <f>+D27</f>
        <v>83227.159</v>
      </c>
      <c r="I25" s="98">
        <f t="shared" si="2"/>
        <v>0.3962337880669981</v>
      </c>
      <c r="J25" s="108"/>
    </row>
    <row r="26" spans="1:10" ht="15" customHeight="1" thickBot="1" x14ac:dyDescent="0.3">
      <c r="B26" s="178" t="s">
        <v>0</v>
      </c>
      <c r="C26" s="170"/>
      <c r="D26" s="171">
        <f>SUM(D5:D25)</f>
        <v>9134.1879999999983</v>
      </c>
      <c r="E26" s="80"/>
      <c r="G26" s="68">
        <f>+SUM(G14:G25)</f>
        <v>2547596.0290000001</v>
      </c>
      <c r="H26" s="68">
        <f>+SUM(H14:H25)</f>
        <v>2452788.5999999996</v>
      </c>
      <c r="I26" s="98">
        <f>+H26/G26</f>
        <v>0.96278553274507384</v>
      </c>
      <c r="J26" s="108">
        <f>+H26-G26</f>
        <v>-94807.429000000469</v>
      </c>
    </row>
    <row r="27" spans="1:10" ht="15" customHeight="1" thickBot="1" x14ac:dyDescent="0.3">
      <c r="B27" s="166" t="s">
        <v>1</v>
      </c>
      <c r="C27" s="167"/>
      <c r="D27" s="233">
        <v>83227.159</v>
      </c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+D27/G2</f>
        <v>0.37830834153658327</v>
      </c>
      <c r="F28" s="179"/>
      <c r="G28" s="179"/>
      <c r="J28" s="179"/>
    </row>
    <row r="29" spans="1:10" x14ac:dyDescent="0.25">
      <c r="D29" s="108">
        <f>+(G2/31)*10</f>
        <v>70967.165397713237</v>
      </c>
      <c r="E29" s="314">
        <f>+D29/G2</f>
        <v>0.32258064516129037</v>
      </c>
      <c r="F29" s="352"/>
    </row>
    <row r="30" spans="1:10" x14ac:dyDescent="0.25">
      <c r="D30" s="183">
        <f>+D27-D29</f>
        <v>12259.993602286762</v>
      </c>
      <c r="E30" s="99">
        <f>E28-E29</f>
        <v>5.5727696375292901E-2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1130</v>
      </c>
      <c r="D33" s="108">
        <v>2142</v>
      </c>
      <c r="E33" s="57">
        <f>+C33/D33</f>
        <v>0.52754435107376285</v>
      </c>
      <c r="G33" s="86" t="s">
        <v>86</v>
      </c>
      <c r="H33" s="87">
        <v>9911</v>
      </c>
      <c r="I33" s="88">
        <f>+H33*0.025</f>
        <v>247.77500000000001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1490</v>
      </c>
      <c r="D34" s="108">
        <v>1890</v>
      </c>
      <c r="E34" s="57">
        <f>+C34/D34</f>
        <v>0.78835978835978837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1660</v>
      </c>
      <c r="D35" s="108">
        <v>3006</v>
      </c>
      <c r="E35" s="57">
        <f>+C35/D35</f>
        <v>0.55222887558216904</v>
      </c>
      <c r="G35" s="89" t="s">
        <v>169</v>
      </c>
      <c r="H35" s="87">
        <v>456</v>
      </c>
      <c r="I35" s="88">
        <f>+H35*1.5</f>
        <v>684</v>
      </c>
      <c r="J35" s="298">
        <f>+I35+I33</f>
        <v>931.77499999999998</v>
      </c>
    </row>
    <row r="36" spans="1:11" x14ac:dyDescent="0.25">
      <c r="C36" s="162">
        <f>+SUM(C33:C35)</f>
        <v>4280</v>
      </c>
      <c r="D36" s="110">
        <f>+SUM(D33:D35)</f>
        <v>7038</v>
      </c>
      <c r="E36" s="57">
        <f>+C36/D36</f>
        <v>0.60812730889457234</v>
      </c>
      <c r="G36" s="89" t="s">
        <v>168</v>
      </c>
      <c r="H36" s="87">
        <v>75</v>
      </c>
      <c r="I36" s="88">
        <f>+H36*1.5</f>
        <v>112.5</v>
      </c>
      <c r="J36" s="228" t="s">
        <v>193</v>
      </c>
    </row>
    <row r="37" spans="1:11" x14ac:dyDescent="0.25">
      <c r="G37" s="231" t="s">
        <v>123</v>
      </c>
      <c r="H37" s="138">
        <f>274-1</f>
        <v>273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23</v>
      </c>
      <c r="C40" s="74">
        <v>4</v>
      </c>
      <c r="D40" s="74">
        <v>13</v>
      </c>
      <c r="E40" s="75">
        <f>+SUM(B40:D40)</f>
        <v>40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A42" s="147"/>
      <c r="B42" s="147" t="s">
        <v>214</v>
      </c>
      <c r="C42" s="147" t="s">
        <v>215</v>
      </c>
      <c r="D42" s="147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10.56</v>
      </c>
      <c r="C44" s="199">
        <v>1997</v>
      </c>
      <c r="D44" s="200">
        <v>3600</v>
      </c>
      <c r="E44" s="201">
        <f t="shared" si="3"/>
        <v>0.55472222222222223</v>
      </c>
      <c r="F44" s="201">
        <f t="shared" si="4"/>
        <v>0.44</v>
      </c>
      <c r="G44" s="202">
        <v>12</v>
      </c>
      <c r="H44" s="71"/>
    </row>
    <row r="45" spans="1:11" x14ac:dyDescent="0.25">
      <c r="A45" s="207" t="s">
        <v>72</v>
      </c>
      <c r="B45" s="199">
        <v>10.06</v>
      </c>
      <c r="C45" s="199">
        <v>1347</v>
      </c>
      <c r="D45" s="200">
        <v>3900</v>
      </c>
      <c r="E45" s="201">
        <f t="shared" si="3"/>
        <v>0.3453846153846154</v>
      </c>
      <c r="F45" s="201">
        <f t="shared" si="4"/>
        <v>0.41916666666666669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14.29</v>
      </c>
      <c r="C46" s="199">
        <v>3115</v>
      </c>
      <c r="D46" s="200">
        <v>3900</v>
      </c>
      <c r="E46" s="201">
        <f t="shared" si="3"/>
        <v>0.79871794871794877</v>
      </c>
      <c r="F46" s="201">
        <f t="shared" si="4"/>
        <v>0.59541666666666659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1" si="5">+J46*1.5</f>
        <v>214.5</v>
      </c>
    </row>
    <row r="47" spans="1:11" x14ac:dyDescent="0.25">
      <c r="A47" s="207" t="s">
        <v>74</v>
      </c>
      <c r="B47" s="199">
        <v>16.27</v>
      </c>
      <c r="C47" s="199">
        <v>3052</v>
      </c>
      <c r="D47" s="200">
        <v>3900</v>
      </c>
      <c r="E47" s="201">
        <f t="shared" si="3"/>
        <v>0.78256410256410258</v>
      </c>
      <c r="F47" s="201">
        <f t="shared" si="4"/>
        <v>0.67791666666666661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13.73</v>
      </c>
      <c r="C48" s="261">
        <v>2573</v>
      </c>
      <c r="D48" s="262">
        <v>4300</v>
      </c>
      <c r="E48" s="263">
        <f t="shared" si="3"/>
        <v>0.59837209302325578</v>
      </c>
      <c r="F48" s="201">
        <f t="shared" si="4"/>
        <v>0.57208333333333339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5"/>
        <v>42</v>
      </c>
    </row>
    <row r="49" spans="2:11" x14ac:dyDescent="0.25">
      <c r="B49" s="113">
        <f>+SUM(B43:B48)</f>
        <v>64.91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5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5"/>
        <v>99</v>
      </c>
    </row>
    <row r="51" spans="2:11" x14ac:dyDescent="0.25">
      <c r="C51" s="71">
        <v>1</v>
      </c>
      <c r="D51" s="225" t="s">
        <v>153</v>
      </c>
      <c r="H51" s="301">
        <v>45991</v>
      </c>
      <c r="I51" s="129" t="s">
        <v>175</v>
      </c>
      <c r="J51" s="162">
        <v>47</v>
      </c>
      <c r="K51" s="318">
        <f t="shared" si="5"/>
        <v>70.5</v>
      </c>
    </row>
    <row r="52" spans="2:11" x14ac:dyDescent="0.25">
      <c r="C52" s="71">
        <v>2</v>
      </c>
      <c r="D52" s="225" t="s">
        <v>153</v>
      </c>
      <c r="H52" s="360">
        <v>45998</v>
      </c>
      <c r="I52" s="332" t="s">
        <v>175</v>
      </c>
      <c r="J52" s="333">
        <v>35</v>
      </c>
      <c r="K52" s="361">
        <f>+J52*1.5</f>
        <v>52.5</v>
      </c>
    </row>
    <row r="53" spans="2:11" x14ac:dyDescent="0.25">
      <c r="C53" s="71">
        <v>3</v>
      </c>
      <c r="D53" s="225" t="s">
        <v>154</v>
      </c>
      <c r="H53" s="301">
        <v>45998</v>
      </c>
      <c r="I53" s="129" t="s">
        <v>176</v>
      </c>
      <c r="J53" s="162">
        <v>76</v>
      </c>
      <c r="K53" s="318">
        <f>+J53*1.5</f>
        <v>114</v>
      </c>
    </row>
    <row r="54" spans="2:11" x14ac:dyDescent="0.25">
      <c r="C54" s="71">
        <v>4</v>
      </c>
      <c r="D54" s="108">
        <v>1</v>
      </c>
      <c r="H54" s="301">
        <v>45999</v>
      </c>
      <c r="I54" s="129" t="s">
        <v>175</v>
      </c>
      <c r="J54" s="162">
        <v>125</v>
      </c>
      <c r="K54" s="318">
        <f>+J54*1.5</f>
        <v>187.5</v>
      </c>
    </row>
    <row r="55" spans="2:11" x14ac:dyDescent="0.25">
      <c r="C55" s="71">
        <v>5</v>
      </c>
      <c r="D55" s="108">
        <v>18</v>
      </c>
      <c r="H55" s="359" t="s">
        <v>219</v>
      </c>
      <c r="I55" s="345"/>
      <c r="J55" s="199">
        <f>J52+J53+J54</f>
        <v>236</v>
      </c>
      <c r="K55" s="346">
        <f>+J55*1.5</f>
        <v>354</v>
      </c>
    </row>
    <row r="56" spans="2:11" x14ac:dyDescent="0.25">
      <c r="C56" s="71">
        <v>6</v>
      </c>
      <c r="D56" s="108">
        <v>1</v>
      </c>
    </row>
    <row r="57" spans="2:11" x14ac:dyDescent="0.25">
      <c r="C57" s="71">
        <v>7</v>
      </c>
      <c r="D57" s="225" t="s">
        <v>153</v>
      </c>
      <c r="H57" s="237" t="s">
        <v>197</v>
      </c>
      <c r="J57" s="162" t="s">
        <v>157</v>
      </c>
      <c r="K57" s="215" t="s">
        <v>92</v>
      </c>
    </row>
    <row r="58" spans="2:11" x14ac:dyDescent="0.25">
      <c r="C58" s="71">
        <v>8</v>
      </c>
      <c r="D58" s="225" t="s">
        <v>153</v>
      </c>
      <c r="H58" s="301">
        <v>45970</v>
      </c>
      <c r="I58" s="129" t="s">
        <v>176</v>
      </c>
      <c r="J58" s="162">
        <v>3367</v>
      </c>
      <c r="K58" s="318">
        <f>+J58*0.025</f>
        <v>84.175000000000011</v>
      </c>
    </row>
    <row r="59" spans="2:11" x14ac:dyDescent="0.25">
      <c r="D59" s="162"/>
      <c r="H59" s="301">
        <v>45984</v>
      </c>
      <c r="I59" s="129" t="s">
        <v>175</v>
      </c>
      <c r="J59" s="162">
        <v>6792</v>
      </c>
      <c r="K59" s="318">
        <f>+J59*0.025</f>
        <v>169.8</v>
      </c>
    </row>
    <row r="60" spans="2:11" x14ac:dyDescent="0.25">
      <c r="H60" s="344"/>
      <c r="I60" s="345"/>
      <c r="J60" s="200">
        <f>+J59+J58</f>
        <v>10159</v>
      </c>
      <c r="K60" s="346">
        <f>+J60*0.025</f>
        <v>253.97500000000002</v>
      </c>
    </row>
    <row r="62" spans="2:11" x14ac:dyDescent="0.25">
      <c r="H62" s="237" t="s">
        <v>205</v>
      </c>
      <c r="J62" s="162" t="s">
        <v>177</v>
      </c>
      <c r="K62" s="215" t="s">
        <v>92</v>
      </c>
    </row>
    <row r="63" spans="2:11" x14ac:dyDescent="0.25">
      <c r="H63" s="301">
        <v>45942</v>
      </c>
      <c r="I63" s="129" t="s">
        <v>176</v>
      </c>
      <c r="J63" s="162">
        <v>47</v>
      </c>
      <c r="K63" s="318">
        <f>+J63*1.5</f>
        <v>70.5</v>
      </c>
    </row>
    <row r="64" spans="2:11" x14ac:dyDescent="0.25">
      <c r="I64" s="129"/>
      <c r="K64" s="215"/>
    </row>
    <row r="65" spans="8:11" x14ac:dyDescent="0.25">
      <c r="H65" s="237" t="s">
        <v>167</v>
      </c>
      <c r="J65" s="162" t="s">
        <v>157</v>
      </c>
      <c r="K65" s="215" t="s">
        <v>92</v>
      </c>
    </row>
    <row r="66" spans="8:11" x14ac:dyDescent="0.25">
      <c r="H66" s="301">
        <v>45990</v>
      </c>
      <c r="I66" s="129" t="s">
        <v>176</v>
      </c>
      <c r="J66" s="68">
        <v>43</v>
      </c>
      <c r="K66" s="318">
        <f>+J66*1.5</f>
        <v>64.5</v>
      </c>
    </row>
    <row r="67" spans="8:11" x14ac:dyDescent="0.25">
      <c r="H67" s="301">
        <v>45991</v>
      </c>
      <c r="I67" s="129" t="s">
        <v>175</v>
      </c>
      <c r="J67" s="68">
        <v>222</v>
      </c>
      <c r="K67" s="318">
        <f>+J67*1.5</f>
        <v>333</v>
      </c>
    </row>
    <row r="68" spans="8:11" x14ac:dyDescent="0.25">
      <c r="H68" s="301">
        <v>45991</v>
      </c>
      <c r="I68" s="129" t="s">
        <v>176</v>
      </c>
      <c r="J68" s="68">
        <v>199</v>
      </c>
      <c r="K68" s="318">
        <f>+J68*1.5</f>
        <v>298.5</v>
      </c>
    </row>
    <row r="69" spans="8:11" x14ac:dyDescent="0.25">
      <c r="H69" s="301">
        <v>45992</v>
      </c>
      <c r="I69" s="129" t="s">
        <v>175</v>
      </c>
      <c r="J69" s="68">
        <v>163</v>
      </c>
      <c r="K69" s="318">
        <f>+J69*1.5</f>
        <v>244.5</v>
      </c>
    </row>
    <row r="70" spans="8:11" x14ac:dyDescent="0.25">
      <c r="H70" s="301"/>
      <c r="I70" s="129"/>
      <c r="K70" s="318"/>
    </row>
    <row r="71" spans="8:11" x14ac:dyDescent="0.25">
      <c r="H71" s="344"/>
      <c r="I71" s="345"/>
      <c r="J71" s="200">
        <f>+SUM(J66:J70)</f>
        <v>627</v>
      </c>
      <c r="K71" s="346">
        <f>+J71*1.5</f>
        <v>940.5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  <pageSetup paperSize="9" orientation="portrait" r:id="rId1"/>
  <legacy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1"/>
  <sheetViews>
    <sheetView topLeftCell="A48" workbookViewId="0">
      <selection activeCell="A29" sqref="A29:K71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5.7109375" style="162" customWidth="1"/>
    <col min="6" max="6" width="15.140625" style="162" customWidth="1"/>
    <col min="7" max="7" width="15" style="162" customWidth="1"/>
    <col min="8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58"/>
      <c r="C4" s="358"/>
      <c r="D4" s="165">
        <f>D26</f>
        <v>10607.999999999998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3850</v>
      </c>
      <c r="D5" s="172">
        <v>164.34</v>
      </c>
      <c r="E5" s="80">
        <f>+D5/$D$4</f>
        <v>1.5492081447963804E-2</v>
      </c>
      <c r="F5" s="58" t="s">
        <v>51</v>
      </c>
      <c r="G5" s="59">
        <v>45999</v>
      </c>
      <c r="H5" s="190">
        <v>6908</v>
      </c>
      <c r="I5" s="141">
        <v>5268.15</v>
      </c>
      <c r="J5" s="60">
        <f t="shared" ref="J5:J12" si="0">+I5/H5</f>
        <v>0.76261580775911986</v>
      </c>
    </row>
    <row r="6" spans="1:10" ht="15" customHeight="1" x14ac:dyDescent="0.25">
      <c r="A6" s="164"/>
      <c r="B6" s="169" t="s">
        <v>10</v>
      </c>
      <c r="C6" s="177">
        <v>13549</v>
      </c>
      <c r="D6" s="173">
        <v>578.19200000000001</v>
      </c>
      <c r="E6" s="80">
        <f t="shared" ref="E6:E25" si="1">+D6/$D$4</f>
        <v>5.4505279034690809E-2</v>
      </c>
      <c r="F6" s="58" t="s">
        <v>52</v>
      </c>
      <c r="G6" s="59">
        <v>46000</v>
      </c>
      <c r="H6" s="190">
        <v>9316</v>
      </c>
      <c r="I6" s="141">
        <v>7804.62</v>
      </c>
      <c r="J6" s="60">
        <f t="shared" si="0"/>
        <v>0.83776513525118079</v>
      </c>
    </row>
    <row r="7" spans="1:10" ht="15" customHeight="1" x14ac:dyDescent="0.25">
      <c r="A7" s="164"/>
      <c r="B7" s="169" t="s">
        <v>35</v>
      </c>
      <c r="C7" s="177">
        <v>35825</v>
      </c>
      <c r="D7" s="173">
        <v>1527.3</v>
      </c>
      <c r="E7" s="245">
        <f t="shared" si="1"/>
        <v>0.14397624434389142</v>
      </c>
      <c r="F7" s="58" t="s">
        <v>53</v>
      </c>
      <c r="G7" s="59">
        <v>46001</v>
      </c>
      <c r="H7" s="190">
        <v>9819</v>
      </c>
      <c r="I7" s="141">
        <v>9134.1879999999983</v>
      </c>
      <c r="J7" s="60">
        <f t="shared" si="0"/>
        <v>0.93025644159283005</v>
      </c>
    </row>
    <row r="8" spans="1:10" ht="15" customHeight="1" x14ac:dyDescent="0.25">
      <c r="A8" s="164"/>
      <c r="B8" s="169" t="s">
        <v>4</v>
      </c>
      <c r="C8" s="177">
        <v>790</v>
      </c>
      <c r="D8" s="173">
        <v>33.67</v>
      </c>
      <c r="E8" s="80">
        <f t="shared" si="1"/>
        <v>3.1740196078431379E-3</v>
      </c>
      <c r="F8" s="58" t="s">
        <v>54</v>
      </c>
      <c r="G8" s="59">
        <v>46002</v>
      </c>
      <c r="H8" s="190">
        <v>9485</v>
      </c>
      <c r="I8" s="141">
        <v>10607.999999999998</v>
      </c>
      <c r="J8" s="60">
        <f t="shared" si="0"/>
        <v>1.1183974696889825</v>
      </c>
    </row>
    <row r="9" spans="1:10" ht="15" customHeight="1" x14ac:dyDescent="0.25">
      <c r="A9" s="164"/>
      <c r="B9" s="169" t="s">
        <v>37</v>
      </c>
      <c r="C9" s="177">
        <v>46243</v>
      </c>
      <c r="D9" s="173">
        <v>1972.7940000000001</v>
      </c>
      <c r="E9" s="245">
        <f t="shared" si="1"/>
        <v>0.18597228506787333</v>
      </c>
      <c r="F9" s="58" t="s">
        <v>55</v>
      </c>
      <c r="G9" s="59">
        <v>46003</v>
      </c>
      <c r="H9" s="190">
        <v>8910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67513</v>
      </c>
      <c r="D10" s="173">
        <v>2881.509</v>
      </c>
      <c r="E10" s="245">
        <f t="shared" si="1"/>
        <v>0.27163546380090503</v>
      </c>
      <c r="F10" s="58" t="s">
        <v>56</v>
      </c>
      <c r="G10" s="59">
        <v>46004</v>
      </c>
      <c r="H10" s="190">
        <v>7910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14693</v>
      </c>
      <c r="D11" s="173">
        <v>626.20399999999995</v>
      </c>
      <c r="E11" s="80">
        <f t="shared" si="1"/>
        <v>5.9031297134238318E-2</v>
      </c>
      <c r="F11" s="58" t="s">
        <v>57</v>
      </c>
      <c r="G11" s="59">
        <v>46005</v>
      </c>
      <c r="H11" s="190">
        <v>3281.5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>
        <v>670</v>
      </c>
      <c r="D12" s="173">
        <v>16.890999999999998</v>
      </c>
      <c r="E12" s="80">
        <f t="shared" si="1"/>
        <v>1.5922888386123682E-3</v>
      </c>
      <c r="H12" s="139">
        <f>+SUM(H5:H11)</f>
        <v>55629.5</v>
      </c>
      <c r="I12" s="142">
        <f>+SUM(I5:I11)</f>
        <v>32814.957999999999</v>
      </c>
      <c r="J12" s="140">
        <f t="shared" si="0"/>
        <v>0.58988410825191673</v>
      </c>
    </row>
    <row r="13" spans="1:10" ht="15" customHeight="1" x14ac:dyDescent="0.25">
      <c r="A13" s="164"/>
      <c r="B13" s="169" t="s">
        <v>196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503</v>
      </c>
      <c r="D14" s="173">
        <v>759.47</v>
      </c>
      <c r="E14" s="80">
        <f t="shared" si="1"/>
        <v>7.1594079939668195E-2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397</v>
      </c>
      <c r="D15" s="173">
        <v>599.35</v>
      </c>
      <c r="E15" s="80">
        <f t="shared" si="1"/>
        <v>5.6499811463046772E-2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44</v>
      </c>
      <c r="C16" s="177">
        <v>66</v>
      </c>
      <c r="D16" s="173">
        <v>99.72</v>
      </c>
      <c r="E16" s="80">
        <f t="shared" si="1"/>
        <v>9.4004524886877848E-3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/>
      <c r="D17" s="173"/>
      <c r="E17" s="80">
        <f t="shared" si="1"/>
        <v>0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88</v>
      </c>
      <c r="C18" s="177">
        <v>60</v>
      </c>
      <c r="D18" s="173">
        <v>90.22</v>
      </c>
      <c r="E18" s="80">
        <f t="shared" si="1"/>
        <v>8.5049019607843154E-3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>
        <v>48</v>
      </c>
      <c r="D19" s="173">
        <v>72.17</v>
      </c>
      <c r="E19" s="80">
        <f t="shared" si="1"/>
        <v>6.8033559577677242E-3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294</v>
      </c>
      <c r="D20" s="173">
        <v>443.17</v>
      </c>
      <c r="E20" s="80">
        <f t="shared" si="1"/>
        <v>4.1776960784313734E-2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194</v>
      </c>
      <c r="C21" s="177">
        <v>66</v>
      </c>
      <c r="D21" s="173">
        <v>99.59</v>
      </c>
      <c r="E21" s="80">
        <f t="shared" si="1"/>
        <v>9.3881975867270012E-3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184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46</v>
      </c>
      <c r="C23" s="177"/>
      <c r="D23" s="173">
        <v>30.69</v>
      </c>
      <c r="E23" s="80">
        <f t="shared" si="1"/>
        <v>2.8930995475113129E-3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x14ac:dyDescent="0.25">
      <c r="B24" s="169" t="s">
        <v>9</v>
      </c>
      <c r="C24" s="177"/>
      <c r="D24" s="173">
        <v>61.23</v>
      </c>
      <c r="E24" s="80">
        <f t="shared" si="1"/>
        <v>5.7720588235294122E-3</v>
      </c>
      <c r="F24" s="112" t="s">
        <v>198</v>
      </c>
      <c r="G24" s="190">
        <v>215275.19500000001</v>
      </c>
      <c r="H24" s="272">
        <v>242524.66</v>
      </c>
      <c r="I24" s="98">
        <f>+H24/G24</f>
        <v>1.1265796786294864</v>
      </c>
      <c r="J24" s="108">
        <v>32010.999999999534</v>
      </c>
    </row>
    <row r="25" spans="1:10" ht="15" customHeight="1" thickBot="1" x14ac:dyDescent="0.3">
      <c r="B25" s="169" t="s">
        <v>40</v>
      </c>
      <c r="C25" s="177"/>
      <c r="D25" s="173">
        <v>551.49</v>
      </c>
      <c r="E25" s="80">
        <f t="shared" si="1"/>
        <v>5.1988122171945712E-2</v>
      </c>
      <c r="F25" s="112" t="s">
        <v>199</v>
      </c>
      <c r="G25" s="190">
        <v>210045.58799999999</v>
      </c>
      <c r="H25" s="272">
        <f>+D27</f>
        <v>93731.828999999998</v>
      </c>
      <c r="I25" s="98">
        <f t="shared" si="2"/>
        <v>0.44624516940579584</v>
      </c>
      <c r="J25" s="108"/>
    </row>
    <row r="26" spans="1:10" ht="15" customHeight="1" thickBot="1" x14ac:dyDescent="0.3">
      <c r="B26" s="178" t="s">
        <v>0</v>
      </c>
      <c r="C26" s="170"/>
      <c r="D26" s="171">
        <f>SUM(D5:D25)</f>
        <v>10607.999999999998</v>
      </c>
      <c r="E26" s="80"/>
      <c r="G26" s="68">
        <f>+SUM(G14:G25)</f>
        <v>2547596.0290000001</v>
      </c>
      <c r="H26" s="68">
        <f>+SUM(H14:H25)</f>
        <v>2463293.2699999996</v>
      </c>
      <c r="I26" s="98">
        <f>+H26/G26</f>
        <v>0.96690889841232341</v>
      </c>
      <c r="J26" s="108">
        <f>+H26-G26</f>
        <v>-84302.759000000544</v>
      </c>
    </row>
    <row r="27" spans="1:10" ht="15" customHeight="1" thickBot="1" x14ac:dyDescent="0.3">
      <c r="B27" s="166" t="s">
        <v>1</v>
      </c>
      <c r="C27" s="167"/>
      <c r="D27" s="233">
        <v>93731.828999999998</v>
      </c>
      <c r="E27" s="80"/>
      <c r="F27" s="179"/>
      <c r="G27" s="179"/>
      <c r="H27" s="179"/>
      <c r="I27" s="179"/>
      <c r="J27" s="179"/>
    </row>
    <row r="28" spans="1:10" ht="15" customHeight="1" thickBot="1" x14ac:dyDescent="0.3">
      <c r="E28" s="313">
        <f>+D27/G2</f>
        <v>0.42605722944574642</v>
      </c>
      <c r="F28" s="179"/>
      <c r="G28" s="179"/>
      <c r="J28" s="179"/>
    </row>
    <row r="29" spans="1:10" ht="15" customHeight="1" x14ac:dyDescent="0.25">
      <c r="D29" s="108">
        <f>+(G2/31)*11</f>
        <v>78063.881937484563</v>
      </c>
      <c r="E29" s="314">
        <f>+D29/G2</f>
        <v>0.35483870967741937</v>
      </c>
      <c r="F29" s="352"/>
    </row>
    <row r="30" spans="1:10" ht="15" customHeight="1" x14ac:dyDescent="0.25">
      <c r="D30" s="183">
        <f>+D27-D29</f>
        <v>15667.947062515435</v>
      </c>
      <c r="E30" s="99">
        <f>E28-E29</f>
        <v>7.1218519768327049E-2</v>
      </c>
    </row>
    <row r="31" spans="1:10" ht="15" customHeight="1" x14ac:dyDescent="0.25"/>
    <row r="32" spans="1:10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1432</v>
      </c>
      <c r="D33" s="108">
        <v>2142</v>
      </c>
      <c r="E33" s="57">
        <f>+C33/D33</f>
        <v>0.66853408029878614</v>
      </c>
      <c r="G33" s="86" t="s">
        <v>86</v>
      </c>
      <c r="H33" s="87">
        <v>8874</v>
      </c>
      <c r="I33" s="88">
        <f>+H33*0.025</f>
        <v>221.85000000000002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1158</v>
      </c>
      <c r="D34" s="108">
        <v>1890</v>
      </c>
      <c r="E34" s="57">
        <f>+C34/D34</f>
        <v>0.61269841269841274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1076</v>
      </c>
      <c r="D35" s="108">
        <v>3006</v>
      </c>
      <c r="E35" s="57">
        <f>+C35/D35</f>
        <v>0.3579507651363939</v>
      </c>
      <c r="G35" s="89" t="s">
        <v>169</v>
      </c>
      <c r="H35" s="87">
        <v>389</v>
      </c>
      <c r="I35" s="88">
        <f>+H35*1.5</f>
        <v>583.5</v>
      </c>
      <c r="J35" s="298">
        <f>+I35+I33</f>
        <v>805.35</v>
      </c>
    </row>
    <row r="36" spans="1:11" x14ac:dyDescent="0.25">
      <c r="C36" s="162">
        <f>+SUM(C33:C35)</f>
        <v>3666</v>
      </c>
      <c r="D36" s="110">
        <f>+SUM(D33:D35)</f>
        <v>7038</v>
      </c>
      <c r="E36" s="57">
        <f>+C36/D36</f>
        <v>0.52088661551577153</v>
      </c>
      <c r="G36" s="89" t="s">
        <v>168</v>
      </c>
      <c r="H36" s="87">
        <v>59</v>
      </c>
      <c r="I36" s="88">
        <f>+H36*1.5</f>
        <v>88.5</v>
      </c>
      <c r="J36" s="228" t="s">
        <v>193</v>
      </c>
    </row>
    <row r="37" spans="1:11" x14ac:dyDescent="0.25">
      <c r="G37" s="231" t="s">
        <v>123</v>
      </c>
      <c r="H37" s="138">
        <f>274-1</f>
        <v>273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8</v>
      </c>
      <c r="C40" s="74">
        <v>1</v>
      </c>
      <c r="D40" s="74">
        <v>14</v>
      </c>
      <c r="E40" s="75">
        <f>+SUM(B40:D40)</f>
        <v>23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A42" s="147"/>
      <c r="B42" s="147" t="s">
        <v>214</v>
      </c>
      <c r="C42" s="147" t="s">
        <v>215</v>
      </c>
      <c r="D42" s="147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6.85</v>
      </c>
      <c r="C44" s="199">
        <v>1533</v>
      </c>
      <c r="D44" s="200">
        <v>3600</v>
      </c>
      <c r="E44" s="201">
        <f t="shared" si="3"/>
        <v>0.42583333333333334</v>
      </c>
      <c r="F44" s="201">
        <f t="shared" si="4"/>
        <v>0.28541666666666665</v>
      </c>
      <c r="G44" s="202">
        <v>12</v>
      </c>
      <c r="H44" s="71"/>
    </row>
    <row r="45" spans="1:11" x14ac:dyDescent="0.25">
      <c r="A45" s="207" t="s">
        <v>72</v>
      </c>
      <c r="B45" s="199">
        <v>12.39</v>
      </c>
      <c r="C45" s="199">
        <v>1329</v>
      </c>
      <c r="D45" s="200">
        <v>3900</v>
      </c>
      <c r="E45" s="201">
        <f t="shared" si="3"/>
        <v>0.34076923076923077</v>
      </c>
      <c r="F45" s="201">
        <f t="shared" si="4"/>
        <v>0.51624999999999999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12.44</v>
      </c>
      <c r="C46" s="199">
        <v>3053</v>
      </c>
      <c r="D46" s="200">
        <v>3900</v>
      </c>
      <c r="E46" s="201">
        <f t="shared" si="3"/>
        <v>0.78282051282051279</v>
      </c>
      <c r="F46" s="201">
        <f t="shared" si="4"/>
        <v>0.51833333333333331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4" si="5">+J46*1.5</f>
        <v>214.5</v>
      </c>
    </row>
    <row r="47" spans="1:11" x14ac:dyDescent="0.25">
      <c r="A47" s="207" t="s">
        <v>74</v>
      </c>
      <c r="B47" s="199">
        <v>14.93</v>
      </c>
      <c r="C47" s="199">
        <v>2831</v>
      </c>
      <c r="D47" s="200">
        <v>3900</v>
      </c>
      <c r="E47" s="201">
        <f t="shared" si="3"/>
        <v>0.72589743589743594</v>
      </c>
      <c r="F47" s="201">
        <f t="shared" si="4"/>
        <v>0.62208333333333332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16.79</v>
      </c>
      <c r="C48" s="261">
        <v>2482</v>
      </c>
      <c r="D48" s="262">
        <v>4300</v>
      </c>
      <c r="E48" s="263">
        <f t="shared" si="3"/>
        <v>0.57720930232558143</v>
      </c>
      <c r="F48" s="201">
        <f t="shared" si="4"/>
        <v>0.69958333333333333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5"/>
        <v>42</v>
      </c>
    </row>
    <row r="49" spans="2:11" x14ac:dyDescent="0.25">
      <c r="B49" s="113">
        <f>+SUM(B43:B48)</f>
        <v>63.4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5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5"/>
        <v>99</v>
      </c>
    </row>
    <row r="51" spans="2:11" x14ac:dyDescent="0.25">
      <c r="C51" s="71">
        <v>1</v>
      </c>
      <c r="D51" s="225" t="s">
        <v>153</v>
      </c>
      <c r="H51" s="301">
        <v>45991</v>
      </c>
      <c r="I51" s="129" t="s">
        <v>175</v>
      </c>
      <c r="J51" s="162">
        <v>47</v>
      </c>
      <c r="K51" s="318">
        <f t="shared" si="5"/>
        <v>70.5</v>
      </c>
    </row>
    <row r="52" spans="2:11" x14ac:dyDescent="0.25">
      <c r="C52" s="71">
        <v>2</v>
      </c>
      <c r="D52" s="225" t="s">
        <v>153</v>
      </c>
      <c r="H52" s="360">
        <v>45998</v>
      </c>
      <c r="I52" s="332" t="s">
        <v>175</v>
      </c>
      <c r="J52" s="333">
        <v>35</v>
      </c>
      <c r="K52" s="361">
        <f t="shared" si="5"/>
        <v>52.5</v>
      </c>
    </row>
    <row r="53" spans="2:11" x14ac:dyDescent="0.25">
      <c r="C53" s="71">
        <v>3</v>
      </c>
      <c r="D53" s="225" t="s">
        <v>154</v>
      </c>
      <c r="H53" s="301">
        <v>45998</v>
      </c>
      <c r="I53" s="129" t="s">
        <v>176</v>
      </c>
      <c r="J53" s="162">
        <v>76</v>
      </c>
      <c r="K53" s="318">
        <f t="shared" si="5"/>
        <v>114</v>
      </c>
    </row>
    <row r="54" spans="2:11" x14ac:dyDescent="0.25">
      <c r="C54" s="71">
        <v>4</v>
      </c>
      <c r="D54" s="108">
        <v>1</v>
      </c>
      <c r="H54" s="301">
        <v>45999</v>
      </c>
      <c r="I54" s="129" t="s">
        <v>175</v>
      </c>
      <c r="J54" s="162">
        <v>125</v>
      </c>
      <c r="K54" s="318">
        <f t="shared" si="5"/>
        <v>187.5</v>
      </c>
    </row>
    <row r="55" spans="2:11" x14ac:dyDescent="0.25">
      <c r="C55" s="71">
        <v>5</v>
      </c>
      <c r="D55" s="108">
        <v>12</v>
      </c>
      <c r="H55" s="359" t="s">
        <v>219</v>
      </c>
      <c r="I55" s="345"/>
      <c r="J55" s="199">
        <f>J52+J53+J54</f>
        <v>236</v>
      </c>
      <c r="K55" s="346">
        <f>+J55*1.5</f>
        <v>354</v>
      </c>
    </row>
    <row r="56" spans="2:11" x14ac:dyDescent="0.25">
      <c r="C56" s="71">
        <v>6</v>
      </c>
      <c r="D56" s="108">
        <v>0</v>
      </c>
    </row>
    <row r="57" spans="2:11" x14ac:dyDescent="0.25">
      <c r="C57" s="71">
        <v>7</v>
      </c>
      <c r="D57" s="225" t="s">
        <v>153</v>
      </c>
      <c r="H57" s="237" t="s">
        <v>197</v>
      </c>
      <c r="J57" s="162" t="s">
        <v>157</v>
      </c>
      <c r="K57" s="215" t="s">
        <v>92</v>
      </c>
    </row>
    <row r="58" spans="2:11" x14ac:dyDescent="0.25">
      <c r="C58" s="71">
        <v>8</v>
      </c>
      <c r="D58" s="225" t="s">
        <v>153</v>
      </c>
      <c r="H58" s="301">
        <v>45970</v>
      </c>
      <c r="I58" s="129" t="s">
        <v>176</v>
      </c>
      <c r="J58" s="162">
        <v>3367</v>
      </c>
      <c r="K58" s="318">
        <f>+J58*0.025</f>
        <v>84.175000000000011</v>
      </c>
    </row>
    <row r="59" spans="2:11" x14ac:dyDescent="0.25">
      <c r="D59" s="162"/>
      <c r="H59" s="301">
        <v>45984</v>
      </c>
      <c r="I59" s="129" t="s">
        <v>175</v>
      </c>
      <c r="J59" s="162">
        <v>6792</v>
      </c>
      <c r="K59" s="318">
        <f>+J59*0.025</f>
        <v>169.8</v>
      </c>
    </row>
    <row r="60" spans="2:11" x14ac:dyDescent="0.25">
      <c r="H60" s="344"/>
      <c r="I60" s="345"/>
      <c r="J60" s="200">
        <f>+J59+J58</f>
        <v>10159</v>
      </c>
      <c r="K60" s="346">
        <f>+J60*0.025</f>
        <v>253.97500000000002</v>
      </c>
    </row>
    <row r="62" spans="2:11" x14ac:dyDescent="0.25">
      <c r="H62" s="237" t="s">
        <v>205</v>
      </c>
      <c r="J62" s="162" t="s">
        <v>177</v>
      </c>
      <c r="K62" s="215" t="s">
        <v>92</v>
      </c>
    </row>
    <row r="63" spans="2:11" x14ac:dyDescent="0.25">
      <c r="H63" s="301">
        <v>45942</v>
      </c>
      <c r="I63" s="129" t="s">
        <v>176</v>
      </c>
      <c r="J63" s="162">
        <v>47</v>
      </c>
      <c r="K63" s="318">
        <f>+J63*1.5</f>
        <v>70.5</v>
      </c>
    </row>
    <row r="64" spans="2:11" x14ac:dyDescent="0.25">
      <c r="I64" s="129"/>
      <c r="K64" s="215"/>
    </row>
    <row r="65" spans="8:11" x14ac:dyDescent="0.25">
      <c r="H65" s="237" t="s">
        <v>167</v>
      </c>
      <c r="J65" s="162" t="s">
        <v>157</v>
      </c>
      <c r="K65" s="215" t="s">
        <v>92</v>
      </c>
    </row>
    <row r="66" spans="8:11" x14ac:dyDescent="0.25">
      <c r="H66" s="301">
        <v>45990</v>
      </c>
      <c r="I66" s="129" t="s">
        <v>176</v>
      </c>
      <c r="J66" s="68">
        <v>43</v>
      </c>
      <c r="K66" s="318">
        <f>+J66*1.5</f>
        <v>64.5</v>
      </c>
    </row>
    <row r="67" spans="8:11" x14ac:dyDescent="0.25">
      <c r="H67" s="301">
        <v>45991</v>
      </c>
      <c r="I67" s="129" t="s">
        <v>175</v>
      </c>
      <c r="J67" s="68">
        <v>222</v>
      </c>
      <c r="K67" s="318">
        <f>+J67*1.5</f>
        <v>333</v>
      </c>
    </row>
    <row r="68" spans="8:11" x14ac:dyDescent="0.25">
      <c r="H68" s="301">
        <v>45991</v>
      </c>
      <c r="I68" s="129" t="s">
        <v>176</v>
      </c>
      <c r="J68" s="68">
        <v>199</v>
      </c>
      <c r="K68" s="318">
        <f>+J68*1.5</f>
        <v>298.5</v>
      </c>
    </row>
    <row r="69" spans="8:11" x14ac:dyDescent="0.25">
      <c r="H69" s="301">
        <v>45992</v>
      </c>
      <c r="I69" s="129" t="s">
        <v>175</v>
      </c>
      <c r="J69" s="68">
        <v>163</v>
      </c>
      <c r="K69" s="318">
        <f>+J69*1.5</f>
        <v>244.5</v>
      </c>
    </row>
    <row r="70" spans="8:11" x14ac:dyDescent="0.25">
      <c r="H70" s="301"/>
      <c r="I70" s="129"/>
      <c r="K70" s="318"/>
    </row>
    <row r="71" spans="8:11" x14ac:dyDescent="0.25">
      <c r="H71" s="344"/>
      <c r="I71" s="345"/>
      <c r="J71" s="200">
        <f>+SUM(J66:J70)</f>
        <v>627</v>
      </c>
      <c r="K71" s="346">
        <f>+J71*1.5</f>
        <v>940.5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  <legacy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topLeftCell="A50" workbookViewId="0">
      <selection activeCell="A29" sqref="A29:K73"/>
    </sheetView>
  </sheetViews>
  <sheetFormatPr baseColWidth="10" defaultColWidth="11.42578125" defaultRowHeight="15.75" x14ac:dyDescent="0.25"/>
  <cols>
    <col min="1" max="1" width="2.42578125" style="162" customWidth="1"/>
    <col min="2" max="2" width="43.5703125" style="162" customWidth="1"/>
    <col min="3" max="3" width="13.28515625" style="162" customWidth="1"/>
    <col min="4" max="4" width="14.5703125" style="163" customWidth="1"/>
    <col min="5" max="5" width="14.140625" style="162" customWidth="1"/>
    <col min="6" max="6" width="15.140625" style="162" customWidth="1"/>
    <col min="7" max="7" width="15" style="162" customWidth="1"/>
    <col min="8" max="8" width="15.28515625" style="162" customWidth="1"/>
    <col min="9" max="10" width="11.42578125" style="162"/>
    <col min="11" max="11" width="8" style="162" bestFit="1" customWidth="1"/>
    <col min="12" max="16384" width="11.42578125" style="162"/>
  </cols>
  <sheetData>
    <row r="1" spans="1:10" ht="15" customHeight="1" x14ac:dyDescent="0.25">
      <c r="A1" s="161"/>
      <c r="B1" s="518">
        <v>46005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58"/>
      <c r="C4" s="358"/>
      <c r="D4" s="165">
        <f>D26</f>
        <v>4934.7139999999999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2269</v>
      </c>
      <c r="D5" s="172">
        <v>96.766000000000005</v>
      </c>
      <c r="E5" s="80">
        <f>+D5/$D$4</f>
        <v>1.9609241791925532E-2</v>
      </c>
      <c r="F5" s="58" t="s">
        <v>51</v>
      </c>
      <c r="G5" s="59">
        <v>45999</v>
      </c>
      <c r="H5" s="190">
        <v>6908</v>
      </c>
      <c r="I5" s="141">
        <v>5268.15</v>
      </c>
      <c r="J5" s="60">
        <f t="shared" ref="J5:J12" si="0">+I5/H5</f>
        <v>0.76261580775911986</v>
      </c>
    </row>
    <row r="6" spans="1:10" ht="15" customHeight="1" x14ac:dyDescent="0.25">
      <c r="A6" s="164"/>
      <c r="B6" s="169" t="s">
        <v>10</v>
      </c>
      <c r="C6" s="177">
        <v>8815</v>
      </c>
      <c r="D6" s="173">
        <v>376.07400000000001</v>
      </c>
      <c r="E6" s="80">
        <f t="shared" ref="E6:E25" si="1">+D6/$D$4</f>
        <v>7.6209887746280736E-2</v>
      </c>
      <c r="F6" s="58" t="s">
        <v>52</v>
      </c>
      <c r="G6" s="59">
        <v>46000</v>
      </c>
      <c r="H6" s="190">
        <v>9316</v>
      </c>
      <c r="I6" s="141">
        <v>7804.62</v>
      </c>
      <c r="J6" s="60">
        <f t="shared" si="0"/>
        <v>0.83776513525118079</v>
      </c>
    </row>
    <row r="7" spans="1:10" ht="15" customHeight="1" x14ac:dyDescent="0.25">
      <c r="A7" s="164"/>
      <c r="B7" s="169" t="s">
        <v>35</v>
      </c>
      <c r="C7" s="177">
        <v>13275</v>
      </c>
      <c r="D7" s="173">
        <v>565.91200000000003</v>
      </c>
      <c r="E7" s="245">
        <f t="shared" si="1"/>
        <v>0.11467979704598889</v>
      </c>
      <c r="F7" s="58" t="s">
        <v>53</v>
      </c>
      <c r="G7" s="59">
        <v>46001</v>
      </c>
      <c r="H7" s="190">
        <v>9819</v>
      </c>
      <c r="I7" s="141">
        <v>9134.1879999999983</v>
      </c>
      <c r="J7" s="60">
        <f t="shared" si="0"/>
        <v>0.93025644159283005</v>
      </c>
    </row>
    <row r="8" spans="1:10" ht="15" customHeight="1" x14ac:dyDescent="0.25">
      <c r="A8" s="164"/>
      <c r="B8" s="169" t="s">
        <v>4</v>
      </c>
      <c r="C8" s="177">
        <v>4894</v>
      </c>
      <c r="D8" s="173">
        <v>208.71</v>
      </c>
      <c r="E8" s="80">
        <f t="shared" si="1"/>
        <v>4.2294244408085255E-2</v>
      </c>
      <c r="F8" s="58" t="s">
        <v>54</v>
      </c>
      <c r="G8" s="59">
        <v>46002</v>
      </c>
      <c r="H8" s="190">
        <v>9485</v>
      </c>
      <c r="I8" s="141">
        <v>10607.999999999998</v>
      </c>
      <c r="J8" s="60">
        <f t="shared" si="0"/>
        <v>1.1183974696889825</v>
      </c>
    </row>
    <row r="9" spans="1:10" ht="15" customHeight="1" x14ac:dyDescent="0.25">
      <c r="A9" s="164"/>
      <c r="B9" s="169" t="s">
        <v>37</v>
      </c>
      <c r="C9" s="177">
        <v>22503</v>
      </c>
      <c r="D9" s="173">
        <v>959.44299999999998</v>
      </c>
      <c r="E9" s="245">
        <f t="shared" si="1"/>
        <v>0.19442727582591413</v>
      </c>
      <c r="F9" s="58" t="s">
        <v>55</v>
      </c>
      <c r="G9" s="59">
        <v>46003</v>
      </c>
      <c r="H9" s="190">
        <v>8910</v>
      </c>
      <c r="I9" s="141">
        <v>9276.11</v>
      </c>
      <c r="J9" s="60">
        <f t="shared" si="0"/>
        <v>1.0410897867564535</v>
      </c>
    </row>
    <row r="10" spans="1:10" ht="15" customHeight="1" x14ac:dyDescent="0.25">
      <c r="A10" s="164"/>
      <c r="B10" s="169" t="s">
        <v>38</v>
      </c>
      <c r="C10" s="177">
        <v>16215</v>
      </c>
      <c r="D10" s="173">
        <v>692.43399999999997</v>
      </c>
      <c r="E10" s="245">
        <f t="shared" si="1"/>
        <v>0.14031897289285661</v>
      </c>
      <c r="F10" s="58" t="s">
        <v>56</v>
      </c>
      <c r="G10" s="59">
        <v>46004</v>
      </c>
      <c r="H10" s="190">
        <v>7910</v>
      </c>
      <c r="I10" s="141">
        <v>7275.37</v>
      </c>
      <c r="J10" s="60">
        <f t="shared" si="0"/>
        <v>0.91976864728192165</v>
      </c>
    </row>
    <row r="11" spans="1:10" ht="15" customHeight="1" x14ac:dyDescent="0.25">
      <c r="A11" s="164"/>
      <c r="B11" s="169" t="s">
        <v>42</v>
      </c>
      <c r="C11" s="177">
        <v>4445</v>
      </c>
      <c r="D11" s="173">
        <v>189.38</v>
      </c>
      <c r="E11" s="80">
        <f t="shared" si="1"/>
        <v>3.8377097436649826E-2</v>
      </c>
      <c r="F11" s="58" t="s">
        <v>57</v>
      </c>
      <c r="G11" s="59">
        <v>46005</v>
      </c>
      <c r="H11" s="190">
        <v>3281.5</v>
      </c>
      <c r="I11" s="141">
        <v>4934.7139999999999</v>
      </c>
      <c r="J11" s="60">
        <f t="shared" si="0"/>
        <v>1.5037982629894866</v>
      </c>
    </row>
    <row r="12" spans="1:10" ht="15" customHeight="1" x14ac:dyDescent="0.25">
      <c r="A12" s="164"/>
      <c r="B12" s="169" t="s">
        <v>100</v>
      </c>
      <c r="C12" s="177">
        <v>288</v>
      </c>
      <c r="D12" s="173">
        <v>7.3150000000000004</v>
      </c>
      <c r="E12" s="80">
        <f t="shared" si="1"/>
        <v>1.4823554110734685E-3</v>
      </c>
      <c r="H12" s="139">
        <f>+SUM(H5:H11)</f>
        <v>55629.5</v>
      </c>
      <c r="I12" s="142">
        <f>+SUM(I5:I11)</f>
        <v>54301.152000000002</v>
      </c>
      <c r="J12" s="140">
        <f t="shared" si="0"/>
        <v>0.97612151825919702</v>
      </c>
    </row>
    <row r="13" spans="1:10" ht="15" customHeight="1" x14ac:dyDescent="0.25">
      <c r="A13" s="164"/>
      <c r="B13" s="169" t="s">
        <v>196</v>
      </c>
      <c r="C13" s="177">
        <v>8064</v>
      </c>
      <c r="D13" s="173">
        <v>202.95</v>
      </c>
      <c r="E13" s="80">
        <f t="shared" si="1"/>
        <v>4.1127003510233823E-2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62</v>
      </c>
      <c r="D14" s="173">
        <v>93.52</v>
      </c>
      <c r="E14" s="80">
        <f t="shared" si="1"/>
        <v>1.8951452910948841E-2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20</v>
      </c>
      <c r="D15" s="173">
        <v>30.2</v>
      </c>
      <c r="E15" s="80">
        <f t="shared" si="1"/>
        <v>6.1199088741515717E-3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44</v>
      </c>
      <c r="C16" s="177">
        <v>24</v>
      </c>
      <c r="D16" s="173">
        <v>36.24</v>
      </c>
      <c r="E16" s="80">
        <f t="shared" si="1"/>
        <v>7.3438906489818869E-3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24</v>
      </c>
      <c r="D17" s="173">
        <v>36.340000000000003</v>
      </c>
      <c r="E17" s="80">
        <f t="shared" si="1"/>
        <v>7.3641552479029185E-3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88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>
        <v>48</v>
      </c>
      <c r="D19" s="173">
        <v>72.180000000000007</v>
      </c>
      <c r="E19" s="80">
        <f t="shared" si="1"/>
        <v>1.4626987501200679E-2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>
        <v>212</v>
      </c>
      <c r="D20" s="173">
        <v>318.92</v>
      </c>
      <c r="E20" s="80">
        <f t="shared" si="1"/>
        <v>6.4627858878954281E-2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85</v>
      </c>
      <c r="C21" s="177">
        <v>395</v>
      </c>
      <c r="D21" s="173">
        <v>594.26</v>
      </c>
      <c r="E21" s="80">
        <f t="shared" si="1"/>
        <v>0.12042440554812295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184</v>
      </c>
      <c r="C22" s="177"/>
      <c r="D22" s="173">
        <v>32.380000000000003</v>
      </c>
      <c r="E22" s="80">
        <f t="shared" si="1"/>
        <v>6.5616771306300633E-3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46</v>
      </c>
      <c r="C23" s="177"/>
      <c r="D23" s="173"/>
      <c r="E23" s="80">
        <f t="shared" si="1"/>
        <v>0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x14ac:dyDescent="0.25">
      <c r="B24" s="169" t="s">
        <v>9</v>
      </c>
      <c r="C24" s="177"/>
      <c r="D24" s="173">
        <v>90.8</v>
      </c>
      <c r="E24" s="80">
        <f t="shared" si="1"/>
        <v>1.8400255820296779E-2</v>
      </c>
      <c r="F24" s="112" t="s">
        <v>198</v>
      </c>
      <c r="G24" s="190">
        <v>215275.19500000001</v>
      </c>
      <c r="H24" s="272">
        <v>242524.66</v>
      </c>
      <c r="I24" s="98">
        <f>+H24/G24</f>
        <v>1.1265796786294864</v>
      </c>
      <c r="J24" s="108">
        <v>32010.999999999534</v>
      </c>
    </row>
    <row r="25" spans="1:10" ht="15" customHeight="1" thickBot="1" x14ac:dyDescent="0.3">
      <c r="B25" s="169" t="s">
        <v>40</v>
      </c>
      <c r="C25" s="177"/>
      <c r="D25" s="173">
        <v>330.89</v>
      </c>
      <c r="E25" s="80">
        <f t="shared" si="1"/>
        <v>6.7053531369801772E-2</v>
      </c>
      <c r="F25" s="112" t="s">
        <v>199</v>
      </c>
      <c r="G25" s="190">
        <v>210045.58799999999</v>
      </c>
      <c r="H25" s="272">
        <f>+D27</f>
        <v>115249.799</v>
      </c>
      <c r="I25" s="98">
        <f t="shared" si="2"/>
        <v>0.54868945402461877</v>
      </c>
      <c r="J25" s="108"/>
    </row>
    <row r="26" spans="1:10" ht="15" customHeight="1" thickBot="1" x14ac:dyDescent="0.3">
      <c r="B26" s="178" t="s">
        <v>0</v>
      </c>
      <c r="C26" s="170"/>
      <c r="D26" s="171">
        <f>SUM(D5:D25)</f>
        <v>4934.7139999999999</v>
      </c>
      <c r="E26" s="80"/>
      <c r="G26" s="68">
        <f>+SUM(G14:G25)</f>
        <v>2547596.0290000001</v>
      </c>
      <c r="H26" s="68">
        <f>+SUM(H14:H25)</f>
        <v>2484811.2399999998</v>
      </c>
      <c r="I26" s="98">
        <f>+H26/G26</f>
        <v>0.97535528070961663</v>
      </c>
      <c r="J26" s="108">
        <f>+H26-G26</f>
        <v>-62784.789000000339</v>
      </c>
    </row>
    <row r="27" spans="1:10" ht="15" customHeight="1" thickBot="1" x14ac:dyDescent="0.3">
      <c r="B27" s="166" t="s">
        <v>1</v>
      </c>
      <c r="C27" s="167"/>
      <c r="D27" s="233">
        <v>115249.799</v>
      </c>
      <c r="E27" s="80"/>
      <c r="F27" s="179"/>
      <c r="G27" s="179"/>
      <c r="H27" s="179"/>
      <c r="I27" s="179"/>
      <c r="J27" s="179"/>
    </row>
    <row r="28" spans="1:10" ht="15" customHeight="1" thickBot="1" x14ac:dyDescent="0.3">
      <c r="E28" s="313">
        <f>+D27/G2</f>
        <v>0.52386697859186293</v>
      </c>
      <c r="F28" s="179"/>
      <c r="G28" s="179"/>
      <c r="J28" s="179"/>
    </row>
    <row r="29" spans="1:10" ht="15" customHeight="1" x14ac:dyDescent="0.25">
      <c r="D29" s="108">
        <f>+(G2/31)*14</f>
        <v>99354.031556798524</v>
      </c>
      <c r="E29" s="314">
        <f>+D29/G2</f>
        <v>0.45161290322580644</v>
      </c>
      <c r="F29" s="352"/>
    </row>
    <row r="30" spans="1:10" x14ac:dyDescent="0.25">
      <c r="D30" s="183">
        <f>+D27-D29</f>
        <v>15895.767443201476</v>
      </c>
      <c r="E30" s="99">
        <f>E28-E29</f>
        <v>7.2254075366056492E-2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380</v>
      </c>
      <c r="D33" s="108">
        <v>2142</v>
      </c>
      <c r="E33" s="57">
        <f>+C33/D33</f>
        <v>0.17740429505135388</v>
      </c>
      <c r="G33" s="86" t="s">
        <v>86</v>
      </c>
      <c r="H33" s="87">
        <v>13407</v>
      </c>
      <c r="I33" s="88">
        <f>+H33*0.025</f>
        <v>335.17500000000001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1380</v>
      </c>
      <c r="D34" s="108">
        <v>1890</v>
      </c>
      <c r="E34" s="57">
        <f>+C34/D34</f>
        <v>0.73015873015873012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1160</v>
      </c>
      <c r="D35" s="108">
        <v>3006</v>
      </c>
      <c r="E35" s="57">
        <f>+C35/D35</f>
        <v>0.38589487691284097</v>
      </c>
      <c r="G35" s="89" t="s">
        <v>169</v>
      </c>
      <c r="H35" s="87">
        <v>438</v>
      </c>
      <c r="I35" s="88">
        <f>+H35*1.5</f>
        <v>657</v>
      </c>
      <c r="J35" s="298">
        <f>+I35+I33</f>
        <v>992.17499999999995</v>
      </c>
    </row>
    <row r="36" spans="1:11" x14ac:dyDescent="0.25">
      <c r="C36" s="162">
        <f>+SUM(C33:C35)</f>
        <v>2920</v>
      </c>
      <c r="D36" s="110">
        <f>+SUM(D33:D35)</f>
        <v>7038</v>
      </c>
      <c r="E36" s="57">
        <f>+C36/D36</f>
        <v>0.4148905939187269</v>
      </c>
      <c r="G36" s="89" t="s">
        <v>168</v>
      </c>
      <c r="H36" s="87">
        <v>59</v>
      </c>
      <c r="I36" s="88">
        <f>+H36*1.5</f>
        <v>88.5</v>
      </c>
      <c r="J36" s="228" t="s">
        <v>193</v>
      </c>
    </row>
    <row r="37" spans="1:11" x14ac:dyDescent="0.25">
      <c r="G37" s="231" t="s">
        <v>123</v>
      </c>
      <c r="H37" s="138">
        <f>274-1</f>
        <v>273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30</v>
      </c>
      <c r="C40" s="74">
        <v>5</v>
      </c>
      <c r="D40" s="74">
        <v>10</v>
      </c>
      <c r="E40" s="75">
        <f>+SUM(B40:D40)</f>
        <v>45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A42" s="147"/>
      <c r="B42" s="147" t="s">
        <v>214</v>
      </c>
      <c r="C42" s="147" t="s">
        <v>215</v>
      </c>
      <c r="D42" s="147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1</v>
      </c>
      <c r="C43" s="199">
        <v>1850</v>
      </c>
      <c r="D43" s="200">
        <v>2400</v>
      </c>
      <c r="E43" s="201">
        <f t="shared" ref="E43:E48" si="3">+C43/D43</f>
        <v>0.77083333333333337</v>
      </c>
      <c r="F43" s="201">
        <f t="shared" ref="F43:F48" si="4">+B43/24</f>
        <v>4.1666666666666664E-2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4.3899999999999997</v>
      </c>
      <c r="C44" s="199">
        <v>1733</v>
      </c>
      <c r="D44" s="200">
        <v>3600</v>
      </c>
      <c r="E44" s="201">
        <f t="shared" si="3"/>
        <v>0.48138888888888887</v>
      </c>
      <c r="F44" s="201">
        <f t="shared" si="4"/>
        <v>0.18291666666666664</v>
      </c>
      <c r="G44" s="202">
        <v>12</v>
      </c>
      <c r="H44" s="71"/>
    </row>
    <row r="45" spans="1:11" x14ac:dyDescent="0.25">
      <c r="A45" s="207" t="s">
        <v>72</v>
      </c>
      <c r="B45" s="199">
        <v>5.55</v>
      </c>
      <c r="C45" s="199">
        <v>1296</v>
      </c>
      <c r="D45" s="200">
        <v>3900</v>
      </c>
      <c r="E45" s="201">
        <f t="shared" si="3"/>
        <v>0.3323076923076923</v>
      </c>
      <c r="F45" s="201">
        <f t="shared" si="4"/>
        <v>0.23124999999999998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1.79</v>
      </c>
      <c r="C46" s="199">
        <v>3221</v>
      </c>
      <c r="D46" s="200">
        <v>3900</v>
      </c>
      <c r="E46" s="201">
        <f t="shared" si="3"/>
        <v>0.82589743589743592</v>
      </c>
      <c r="F46" s="201">
        <f t="shared" si="4"/>
        <v>7.4583333333333335E-2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5" si="5">+J46*1.5</f>
        <v>214.5</v>
      </c>
    </row>
    <row r="47" spans="1:11" x14ac:dyDescent="0.25">
      <c r="A47" s="207" t="s">
        <v>74</v>
      </c>
      <c r="B47" s="199">
        <v>9.08</v>
      </c>
      <c r="C47" s="199">
        <v>2844</v>
      </c>
      <c r="D47" s="200">
        <v>3900</v>
      </c>
      <c r="E47" s="201">
        <f t="shared" si="3"/>
        <v>0.72923076923076924</v>
      </c>
      <c r="F47" s="201">
        <f t="shared" si="4"/>
        <v>0.37833333333333335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>
        <v>6.71</v>
      </c>
      <c r="C48" s="261">
        <v>1559</v>
      </c>
      <c r="D48" s="262">
        <v>4300</v>
      </c>
      <c r="E48" s="263">
        <f t="shared" si="3"/>
        <v>0.36255813953488369</v>
      </c>
      <c r="F48" s="201">
        <f t="shared" si="4"/>
        <v>0.27958333333333335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5"/>
        <v>42</v>
      </c>
    </row>
    <row r="49" spans="2:11" x14ac:dyDescent="0.25">
      <c r="B49" s="113">
        <f>+SUM(B43:B48)</f>
        <v>28.520000000000003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5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5"/>
        <v>99</v>
      </c>
    </row>
    <row r="51" spans="2:11" x14ac:dyDescent="0.25">
      <c r="C51" s="71">
        <v>1</v>
      </c>
      <c r="D51" s="225" t="s">
        <v>153</v>
      </c>
      <c r="H51" s="301">
        <v>45991</v>
      </c>
      <c r="I51" s="129" t="s">
        <v>175</v>
      </c>
      <c r="J51" s="162">
        <v>47</v>
      </c>
      <c r="K51" s="318">
        <f t="shared" si="5"/>
        <v>70.5</v>
      </c>
    </row>
    <row r="52" spans="2:11" x14ac:dyDescent="0.25">
      <c r="C52" s="71">
        <v>2</v>
      </c>
      <c r="D52" s="225" t="s">
        <v>153</v>
      </c>
      <c r="H52" s="360">
        <v>45998</v>
      </c>
      <c r="I52" s="332" t="s">
        <v>175</v>
      </c>
      <c r="J52" s="333">
        <v>35</v>
      </c>
      <c r="K52" s="361">
        <f t="shared" si="5"/>
        <v>52.5</v>
      </c>
    </row>
    <row r="53" spans="2:11" x14ac:dyDescent="0.25">
      <c r="C53" s="71">
        <v>3</v>
      </c>
      <c r="D53" s="225" t="s">
        <v>154</v>
      </c>
      <c r="H53" s="301">
        <v>45998</v>
      </c>
      <c r="I53" s="129" t="s">
        <v>176</v>
      </c>
      <c r="J53" s="162">
        <v>76</v>
      </c>
      <c r="K53" s="318">
        <f t="shared" si="5"/>
        <v>114</v>
      </c>
    </row>
    <row r="54" spans="2:11" x14ac:dyDescent="0.25">
      <c r="C54" s="71">
        <v>4</v>
      </c>
      <c r="D54" s="108">
        <v>1</v>
      </c>
      <c r="H54" s="301">
        <v>45999</v>
      </c>
      <c r="I54" s="129" t="s">
        <v>175</v>
      </c>
      <c r="J54" s="162">
        <v>125</v>
      </c>
      <c r="K54" s="318">
        <f t="shared" si="5"/>
        <v>187.5</v>
      </c>
    </row>
    <row r="55" spans="2:11" x14ac:dyDescent="0.25">
      <c r="C55" s="71">
        <v>5</v>
      </c>
      <c r="D55" s="108">
        <v>9</v>
      </c>
      <c r="H55" s="301">
        <v>46005</v>
      </c>
      <c r="I55" s="129" t="s">
        <v>175</v>
      </c>
      <c r="J55" s="162">
        <v>49</v>
      </c>
      <c r="K55" s="318">
        <f t="shared" si="5"/>
        <v>73.5</v>
      </c>
    </row>
    <row r="56" spans="2:11" x14ac:dyDescent="0.25">
      <c r="C56" s="71">
        <v>6</v>
      </c>
      <c r="D56" s="108">
        <v>0</v>
      </c>
      <c r="H56" s="359" t="s">
        <v>219</v>
      </c>
      <c r="I56" s="345"/>
      <c r="J56" s="199">
        <f>+J55</f>
        <v>49</v>
      </c>
      <c r="K56" s="346">
        <f>+J56*1.5</f>
        <v>73.5</v>
      </c>
    </row>
    <row r="57" spans="2:11" x14ac:dyDescent="0.25">
      <c r="C57" s="71">
        <v>7</v>
      </c>
      <c r="D57" s="225" t="s">
        <v>153</v>
      </c>
    </row>
    <row r="58" spans="2:11" x14ac:dyDescent="0.25">
      <c r="C58" s="71">
        <v>8</v>
      </c>
      <c r="D58" s="225" t="s">
        <v>153</v>
      </c>
      <c r="H58" s="237" t="s">
        <v>197</v>
      </c>
      <c r="J58" s="162" t="s">
        <v>157</v>
      </c>
      <c r="K58" s="215" t="s">
        <v>92</v>
      </c>
    </row>
    <row r="59" spans="2:11" x14ac:dyDescent="0.25">
      <c r="D59" s="162"/>
      <c r="H59" s="301">
        <v>45970</v>
      </c>
      <c r="I59" s="129" t="s">
        <v>176</v>
      </c>
      <c r="J59" s="162">
        <v>3367</v>
      </c>
      <c r="K59" s="318">
        <f>+J59*0.025</f>
        <v>84.175000000000011</v>
      </c>
    </row>
    <row r="60" spans="2:11" x14ac:dyDescent="0.25">
      <c r="D60" s="162"/>
      <c r="H60" s="301">
        <v>45984</v>
      </c>
      <c r="I60" s="129" t="s">
        <v>175</v>
      </c>
      <c r="J60" s="162">
        <v>6792</v>
      </c>
      <c r="K60" s="318">
        <f>+J60*0.025</f>
        <v>169.8</v>
      </c>
    </row>
    <row r="61" spans="2:11" x14ac:dyDescent="0.25">
      <c r="D61" s="162"/>
      <c r="H61" s="301">
        <v>46006</v>
      </c>
      <c r="I61" s="129" t="s">
        <v>175</v>
      </c>
      <c r="J61" s="162">
        <v>5733</v>
      </c>
      <c r="K61" s="318">
        <f>+J61*0.025</f>
        <v>143.32500000000002</v>
      </c>
    </row>
    <row r="62" spans="2:11" x14ac:dyDescent="0.25">
      <c r="H62" s="344"/>
      <c r="I62" s="345"/>
      <c r="J62" s="200">
        <f>+J61</f>
        <v>5733</v>
      </c>
      <c r="K62" s="346">
        <f>+J62*0.025</f>
        <v>143.32500000000002</v>
      </c>
    </row>
    <row r="64" spans="2:11" x14ac:dyDescent="0.25">
      <c r="H64" s="237" t="s">
        <v>205</v>
      </c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f>+J65*1.5</f>
        <v>70.5</v>
      </c>
    </row>
    <row r="66" spans="8:11" x14ac:dyDescent="0.25">
      <c r="I66" s="129"/>
      <c r="K66" s="215"/>
    </row>
    <row r="67" spans="8:11" x14ac:dyDescent="0.25">
      <c r="H67" s="237" t="s">
        <v>167</v>
      </c>
      <c r="J67" s="162" t="s">
        <v>157</v>
      </c>
      <c r="K67" s="215" t="s">
        <v>92</v>
      </c>
    </row>
    <row r="68" spans="8:11" x14ac:dyDescent="0.25">
      <c r="H68" s="301">
        <v>45990</v>
      </c>
      <c r="I68" s="129" t="s">
        <v>176</v>
      </c>
      <c r="J68" s="68">
        <v>43</v>
      </c>
      <c r="K68" s="318">
        <f t="shared" ref="K68:K73" si="6">+J68*1.5</f>
        <v>64.5</v>
      </c>
    </row>
    <row r="69" spans="8:11" x14ac:dyDescent="0.25">
      <c r="H69" s="301">
        <v>45991</v>
      </c>
      <c r="I69" s="129" t="s">
        <v>175</v>
      </c>
      <c r="J69" s="68">
        <v>222</v>
      </c>
      <c r="K69" s="318">
        <f t="shared" si="6"/>
        <v>333</v>
      </c>
    </row>
    <row r="70" spans="8:11" x14ac:dyDescent="0.25">
      <c r="H70" s="301">
        <v>45991</v>
      </c>
      <c r="I70" s="129" t="s">
        <v>176</v>
      </c>
      <c r="J70" s="68">
        <v>199</v>
      </c>
      <c r="K70" s="318">
        <f t="shared" si="6"/>
        <v>298.5</v>
      </c>
    </row>
    <row r="71" spans="8:11" x14ac:dyDescent="0.25">
      <c r="H71" s="301">
        <v>45992</v>
      </c>
      <c r="I71" s="129" t="s">
        <v>175</v>
      </c>
      <c r="J71" s="68">
        <v>163</v>
      </c>
      <c r="K71" s="318">
        <f t="shared" si="6"/>
        <v>244.5</v>
      </c>
    </row>
    <row r="72" spans="8:11" x14ac:dyDescent="0.25">
      <c r="H72" s="301">
        <v>46005</v>
      </c>
      <c r="I72" s="129"/>
      <c r="J72" s="162">
        <v>519</v>
      </c>
      <c r="K72" s="318">
        <f t="shared" si="6"/>
        <v>778.5</v>
      </c>
    </row>
    <row r="73" spans="8:11" x14ac:dyDescent="0.25">
      <c r="H73" s="344"/>
      <c r="I73" s="345"/>
      <c r="J73" s="200">
        <f>+J72</f>
        <v>519</v>
      </c>
      <c r="K73" s="346">
        <f t="shared" si="6"/>
        <v>778.5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topLeftCell="A51" workbookViewId="0">
      <selection activeCell="A29" sqref="A29:K73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62"/>
      <c r="C4" s="362"/>
      <c r="D4" s="165">
        <f>D26</f>
        <v>8609.5399999999991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3870</v>
      </c>
      <c r="D5" s="172">
        <v>165.036</v>
      </c>
      <c r="E5" s="80">
        <f>+D5/$D$4</f>
        <v>1.9168968376940002E-2</v>
      </c>
      <c r="F5" s="58" t="s">
        <v>51</v>
      </c>
      <c r="G5" s="59">
        <v>46006</v>
      </c>
      <c r="H5" s="190">
        <v>6792.0000000000009</v>
      </c>
      <c r="I5" s="141">
        <v>8609.5399999999991</v>
      </c>
      <c r="J5" s="60">
        <f t="shared" ref="J5:J12" si="0">+I5/H5</f>
        <v>1.2676001177856298</v>
      </c>
    </row>
    <row r="6" spans="1:10" ht="15" customHeight="1" x14ac:dyDescent="0.25">
      <c r="A6" s="164"/>
      <c r="B6" s="169" t="s">
        <v>10</v>
      </c>
      <c r="C6" s="177">
        <v>18906</v>
      </c>
      <c r="D6" s="173">
        <v>806.42800000000022</v>
      </c>
      <c r="E6" s="80">
        <f t="shared" ref="E6:E25" si="1">+D6/$D$4</f>
        <v>9.3666792883243505E-2</v>
      </c>
      <c r="F6" s="58" t="s">
        <v>52</v>
      </c>
      <c r="G6" s="59">
        <v>46007</v>
      </c>
      <c r="H6" s="190">
        <v>9263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23678</v>
      </c>
      <c r="D7" s="173">
        <v>1010.4100000000002</v>
      </c>
      <c r="E7" s="245">
        <f t="shared" si="1"/>
        <v>0.1173593478861821</v>
      </c>
      <c r="F7" s="58" t="s">
        <v>53</v>
      </c>
      <c r="G7" s="59">
        <v>46008</v>
      </c>
      <c r="H7" s="190">
        <v>9781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3118</v>
      </c>
      <c r="D8" s="173">
        <v>133.07</v>
      </c>
      <c r="E8" s="80">
        <f t="shared" si="1"/>
        <v>1.5456110314836798E-2</v>
      </c>
      <c r="F8" s="58" t="s">
        <v>54</v>
      </c>
      <c r="G8" s="59">
        <v>46009</v>
      </c>
      <c r="H8" s="190">
        <v>9442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35087</v>
      </c>
      <c r="D9" s="173">
        <v>1496.5220000000002</v>
      </c>
      <c r="E9" s="245">
        <f t="shared" si="1"/>
        <v>0.17382136560141428</v>
      </c>
      <c r="F9" s="58" t="s">
        <v>55</v>
      </c>
      <c r="G9" s="59">
        <v>46010</v>
      </c>
      <c r="H9" s="190">
        <v>8882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41189</v>
      </c>
      <c r="D10" s="173">
        <v>1759.2719999999999</v>
      </c>
      <c r="E10" s="245">
        <f t="shared" si="1"/>
        <v>0.20433983697154554</v>
      </c>
      <c r="F10" s="58" t="s">
        <v>56</v>
      </c>
      <c r="G10" s="59">
        <v>46011</v>
      </c>
      <c r="H10" s="190">
        <v>7333.0000000000009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14235</v>
      </c>
      <c r="D11" s="173">
        <v>608.12199999999984</v>
      </c>
      <c r="E11" s="80">
        <f t="shared" si="1"/>
        <v>7.0633506552034125E-2</v>
      </c>
      <c r="F11" s="58" t="s">
        <v>57</v>
      </c>
      <c r="G11" s="59">
        <v>46012</v>
      </c>
      <c r="H11" s="190">
        <v>5143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100</v>
      </c>
      <c r="C12" s="177"/>
      <c r="D12" s="173"/>
      <c r="E12" s="80">
        <f t="shared" si="1"/>
        <v>0</v>
      </c>
      <c r="H12" s="139">
        <f>+SUM(H5:H11)</f>
        <v>56636</v>
      </c>
      <c r="I12" s="142">
        <f>+SUM(I5:I11)</f>
        <v>8609.5399999999991</v>
      </c>
      <c r="J12" s="140">
        <f t="shared" si="0"/>
        <v>0.15201532594109751</v>
      </c>
    </row>
    <row r="13" spans="1:10" ht="15" customHeight="1" x14ac:dyDescent="0.25">
      <c r="A13" s="164"/>
      <c r="B13" s="169" t="s">
        <v>41</v>
      </c>
      <c r="C13" s="177">
        <v>199</v>
      </c>
      <c r="D13" s="173">
        <v>299.78000000000003</v>
      </c>
      <c r="E13" s="80">
        <f t="shared" si="1"/>
        <v>3.4819514166842834E-2</v>
      </c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43</v>
      </c>
      <c r="C14" s="177">
        <v>156</v>
      </c>
      <c r="D14" s="173">
        <v>235.31</v>
      </c>
      <c r="E14" s="80">
        <f t="shared" si="1"/>
        <v>2.7331309222095493E-2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49</v>
      </c>
      <c r="C15" s="177">
        <v>41</v>
      </c>
      <c r="D15" s="173">
        <v>61.7</v>
      </c>
      <c r="E15" s="80">
        <f t="shared" si="1"/>
        <v>7.1664688241183626E-3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45</v>
      </c>
      <c r="C16" s="177">
        <v>23</v>
      </c>
      <c r="D16" s="173">
        <v>34.74</v>
      </c>
      <c r="E16" s="80">
        <f t="shared" si="1"/>
        <v>4.0350587836283942E-3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88</v>
      </c>
      <c r="C17" s="177">
        <v>30.11</v>
      </c>
      <c r="D17" s="173">
        <v>30.11</v>
      </c>
      <c r="E17" s="80">
        <f t="shared" si="1"/>
        <v>3.4972832462593821E-3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39</v>
      </c>
      <c r="C18" s="177">
        <v>695</v>
      </c>
      <c r="D18" s="173">
        <v>1046.4899999999998</v>
      </c>
      <c r="E18" s="80">
        <f t="shared" si="1"/>
        <v>0.12155004797004253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85</v>
      </c>
      <c r="C19" s="177">
        <v>45</v>
      </c>
      <c r="D19" s="173">
        <v>68</v>
      </c>
      <c r="E19" s="80">
        <f t="shared" si="1"/>
        <v>7.89821523565719E-3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41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85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184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94.240000000000009</v>
      </c>
      <c r="E23" s="80">
        <f t="shared" si="1"/>
        <v>1.0945997114828437E-2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x14ac:dyDescent="0.25">
      <c r="B24" s="169" t="s">
        <v>46</v>
      </c>
      <c r="C24" s="177"/>
      <c r="D24" s="173">
        <v>57.839999999999996</v>
      </c>
      <c r="E24" s="80">
        <f t="shared" si="1"/>
        <v>6.7181289592707629E-3</v>
      </c>
      <c r="F24" s="112" t="s">
        <v>198</v>
      </c>
      <c r="G24" s="190">
        <v>215275.19500000001</v>
      </c>
      <c r="H24" s="272">
        <v>242524.66</v>
      </c>
      <c r="I24" s="98">
        <f>+H24/G24</f>
        <v>1.1265796786294864</v>
      </c>
      <c r="J24" s="108">
        <v>32010.999999999534</v>
      </c>
    </row>
    <row r="25" spans="1:10" ht="15" customHeight="1" thickBot="1" x14ac:dyDescent="0.3">
      <c r="B25" s="169" t="s">
        <v>40</v>
      </c>
      <c r="C25" s="177"/>
      <c r="D25" s="173">
        <v>702.46999999999991</v>
      </c>
      <c r="E25" s="80">
        <f t="shared" si="1"/>
        <v>8.1592047891060379E-2</v>
      </c>
      <c r="F25" s="364" t="s">
        <v>199</v>
      </c>
      <c r="G25" s="190">
        <v>210045.58799999999</v>
      </c>
      <c r="H25" s="190">
        <f>+D27</f>
        <v>123859.345</v>
      </c>
      <c r="I25" s="98">
        <f t="shared" si="2"/>
        <v>0.58967839400654298</v>
      </c>
      <c r="J25" s="108"/>
    </row>
    <row r="26" spans="1:10" ht="15" customHeight="1" thickBot="1" x14ac:dyDescent="0.3">
      <c r="B26" s="178" t="s">
        <v>0</v>
      </c>
      <c r="C26" s="170"/>
      <c r="D26" s="171">
        <f>SUM(D5:D25)</f>
        <v>8609.5399999999991</v>
      </c>
      <c r="E26" s="80"/>
      <c r="G26" s="365">
        <f>+SUM(G14:G25)</f>
        <v>2547596.0290000001</v>
      </c>
      <c r="H26" s="365">
        <f>+SUM(H14:H25)</f>
        <v>2493420.7859999998</v>
      </c>
      <c r="I26" s="98">
        <f>+H26/G26</f>
        <v>0.97873475920699038</v>
      </c>
      <c r="J26" s="108">
        <f>+H26-G26</f>
        <v>-54175.24300000025</v>
      </c>
    </row>
    <row r="27" spans="1:10" ht="15" customHeight="1" thickBot="1" x14ac:dyDescent="0.3">
      <c r="B27" s="166" t="s">
        <v>1</v>
      </c>
      <c r="C27" s="167"/>
      <c r="D27" s="233">
        <v>123859.345</v>
      </c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+D27/G2</f>
        <v>0.56300159651920223</v>
      </c>
      <c r="F28" s="179"/>
      <c r="G28" s="179"/>
      <c r="J28" s="179"/>
    </row>
    <row r="29" spans="1:10" x14ac:dyDescent="0.25">
      <c r="D29" s="108">
        <f>+(G2/31)*15</f>
        <v>106450.74809656985</v>
      </c>
      <c r="E29" s="314">
        <f>+D29/G2</f>
        <v>0.4838709677419355</v>
      </c>
      <c r="F29" s="352"/>
    </row>
    <row r="30" spans="1:10" x14ac:dyDescent="0.25">
      <c r="D30" s="183">
        <f>+D27-D29</f>
        <v>17408.596903430152</v>
      </c>
      <c r="E30" s="99">
        <f>E28-E29</f>
        <v>7.9130628777266732E-2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340</v>
      </c>
      <c r="D33" s="108">
        <v>2142</v>
      </c>
      <c r="E33" s="57">
        <f>+C33/D33</f>
        <v>0.15873015873015872</v>
      </c>
      <c r="G33" s="86" t="s">
        <v>86</v>
      </c>
      <c r="H33" s="87">
        <f>13407-1200</f>
        <v>12207</v>
      </c>
      <c r="I33" s="88">
        <f>+H33*0.025</f>
        <v>305.17500000000001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1320</v>
      </c>
      <c r="D34" s="108">
        <v>1890</v>
      </c>
      <c r="E34" s="57">
        <f>+C34/D34</f>
        <v>0.69841269841269837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900</v>
      </c>
      <c r="D35" s="108">
        <v>3006</v>
      </c>
      <c r="E35" s="57">
        <f>+C35/D35</f>
        <v>0.29940119760479039</v>
      </c>
      <c r="G35" s="89" t="s">
        <v>169</v>
      </c>
      <c r="H35" s="87">
        <f>438-40</f>
        <v>398</v>
      </c>
      <c r="I35" s="88">
        <f>+H35*1.5</f>
        <v>597</v>
      </c>
      <c r="J35" s="298">
        <f>+I35+I33</f>
        <v>902.17499999999995</v>
      </c>
    </row>
    <row r="36" spans="1:11" x14ac:dyDescent="0.25">
      <c r="C36" s="162">
        <f>+SUM(C33:C35)</f>
        <v>2560</v>
      </c>
      <c r="D36" s="110">
        <f>+SUM(D33:D35)</f>
        <v>7038</v>
      </c>
      <c r="E36" s="57">
        <f>+C36/D36</f>
        <v>0.36373969877806195</v>
      </c>
      <c r="G36" s="89" t="s">
        <v>168</v>
      </c>
      <c r="H36" s="87">
        <v>59</v>
      </c>
      <c r="I36" s="88">
        <f>+H36*1.5</f>
        <v>88.5</v>
      </c>
      <c r="J36" s="228" t="s">
        <v>193</v>
      </c>
    </row>
    <row r="37" spans="1:11" x14ac:dyDescent="0.25">
      <c r="G37" s="231" t="s">
        <v>123</v>
      </c>
      <c r="H37" s="138">
        <f>274-1</f>
        <v>273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48</v>
      </c>
      <c r="C40" s="74">
        <v>5</v>
      </c>
      <c r="D40" s="74">
        <v>23</v>
      </c>
      <c r="E40" s="75">
        <f>+SUM(B40:D40)</f>
        <v>76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A42" s="147"/>
      <c r="B42" s="147" t="s">
        <v>214</v>
      </c>
      <c r="C42" s="147" t="s">
        <v>215</v>
      </c>
      <c r="D42" s="147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/>
      <c r="C43" s="199"/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/>
      <c r="C44" s="199"/>
      <c r="D44" s="200">
        <v>3600</v>
      </c>
      <c r="E44" s="201">
        <f t="shared" si="3"/>
        <v>0</v>
      </c>
      <c r="F44" s="201">
        <f t="shared" si="4"/>
        <v>0</v>
      </c>
      <c r="G44" s="202">
        <v>12</v>
      </c>
      <c r="H44" s="71"/>
    </row>
    <row r="45" spans="1:11" x14ac:dyDescent="0.25">
      <c r="A45" s="207" t="s">
        <v>72</v>
      </c>
      <c r="B45" s="199"/>
      <c r="C45" s="199"/>
      <c r="D45" s="200">
        <v>3900</v>
      </c>
      <c r="E45" s="201">
        <f t="shared" si="3"/>
        <v>0</v>
      </c>
      <c r="F45" s="201">
        <f t="shared" si="4"/>
        <v>0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/>
      <c r="C46" s="199"/>
      <c r="D46" s="200">
        <v>3900</v>
      </c>
      <c r="E46" s="201">
        <f t="shared" si="3"/>
        <v>0</v>
      </c>
      <c r="F46" s="201">
        <f t="shared" si="4"/>
        <v>0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5" si="5">+J46*1.5</f>
        <v>214.5</v>
      </c>
    </row>
    <row r="47" spans="1:11" x14ac:dyDescent="0.25">
      <c r="A47" s="207" t="s">
        <v>74</v>
      </c>
      <c r="B47" s="199"/>
      <c r="C47" s="199"/>
      <c r="D47" s="200">
        <v>3900</v>
      </c>
      <c r="E47" s="201">
        <f t="shared" si="3"/>
        <v>0</v>
      </c>
      <c r="F47" s="201">
        <f t="shared" si="4"/>
        <v>0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5"/>
        <v>37.5</v>
      </c>
    </row>
    <row r="48" spans="1:11" x14ac:dyDescent="0.25">
      <c r="A48" s="259" t="s">
        <v>75</v>
      </c>
      <c r="B48" s="260"/>
      <c r="C48" s="261"/>
      <c r="D48" s="262">
        <v>4300</v>
      </c>
      <c r="E48" s="263">
        <f t="shared" si="3"/>
        <v>0</v>
      </c>
      <c r="F48" s="201">
        <f t="shared" si="4"/>
        <v>0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5"/>
        <v>42</v>
      </c>
    </row>
    <row r="49" spans="2:11" x14ac:dyDescent="0.25">
      <c r="B49" s="113">
        <f>+SUM(B43:B48)</f>
        <v>0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5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5"/>
        <v>99</v>
      </c>
    </row>
    <row r="51" spans="2:11" x14ac:dyDescent="0.25">
      <c r="C51" s="71">
        <v>1</v>
      </c>
      <c r="D51" s="225" t="s">
        <v>153</v>
      </c>
      <c r="H51" s="301">
        <v>45991</v>
      </c>
      <c r="I51" s="129" t="s">
        <v>175</v>
      </c>
      <c r="J51" s="162">
        <v>47</v>
      </c>
      <c r="K51" s="318">
        <f t="shared" si="5"/>
        <v>70.5</v>
      </c>
    </row>
    <row r="52" spans="2:11" x14ac:dyDescent="0.25">
      <c r="C52" s="71">
        <v>2</v>
      </c>
      <c r="D52" s="225" t="s">
        <v>153</v>
      </c>
      <c r="H52" s="360">
        <v>45998</v>
      </c>
      <c r="I52" s="332" t="s">
        <v>175</v>
      </c>
      <c r="J52" s="333">
        <v>35</v>
      </c>
      <c r="K52" s="361">
        <f t="shared" si="5"/>
        <v>52.5</v>
      </c>
    </row>
    <row r="53" spans="2:11" x14ac:dyDescent="0.25">
      <c r="C53" s="71">
        <v>3</v>
      </c>
      <c r="D53" s="225" t="s">
        <v>154</v>
      </c>
      <c r="H53" s="301">
        <v>45998</v>
      </c>
      <c r="I53" s="129" t="s">
        <v>176</v>
      </c>
      <c r="J53" s="162">
        <v>76</v>
      </c>
      <c r="K53" s="318">
        <f t="shared" si="5"/>
        <v>114</v>
      </c>
    </row>
    <row r="54" spans="2:11" x14ac:dyDescent="0.25">
      <c r="C54" s="71">
        <v>4</v>
      </c>
      <c r="D54" s="108">
        <v>1</v>
      </c>
      <c r="H54" s="301">
        <v>45999</v>
      </c>
      <c r="I54" s="129" t="s">
        <v>175</v>
      </c>
      <c r="J54" s="162">
        <v>125</v>
      </c>
      <c r="K54" s="318">
        <f t="shared" si="5"/>
        <v>187.5</v>
      </c>
    </row>
    <row r="55" spans="2:11" x14ac:dyDescent="0.25">
      <c r="C55" s="71">
        <v>5</v>
      </c>
      <c r="D55" s="108">
        <v>9</v>
      </c>
      <c r="H55" s="301">
        <v>46005</v>
      </c>
      <c r="I55" s="129" t="s">
        <v>175</v>
      </c>
      <c r="J55" s="162">
        <v>49</v>
      </c>
      <c r="K55" s="318">
        <f t="shared" si="5"/>
        <v>73.5</v>
      </c>
    </row>
    <row r="56" spans="2:11" x14ac:dyDescent="0.25">
      <c r="C56" s="71">
        <v>6</v>
      </c>
      <c r="D56" s="108">
        <v>0</v>
      </c>
      <c r="H56" s="359" t="s">
        <v>219</v>
      </c>
      <c r="I56" s="345"/>
      <c r="J56" s="199">
        <f>+J55</f>
        <v>49</v>
      </c>
      <c r="K56" s="346">
        <f>+J56*1.5</f>
        <v>73.5</v>
      </c>
    </row>
    <row r="57" spans="2:11" x14ac:dyDescent="0.25">
      <c r="C57" s="71">
        <v>7</v>
      </c>
      <c r="D57" s="225" t="s">
        <v>153</v>
      </c>
    </row>
    <row r="58" spans="2:11" x14ac:dyDescent="0.25">
      <c r="C58" s="71">
        <v>8</v>
      </c>
      <c r="D58" s="225" t="s">
        <v>153</v>
      </c>
      <c r="H58" s="237" t="s">
        <v>197</v>
      </c>
      <c r="J58" s="162" t="s">
        <v>157</v>
      </c>
      <c r="K58" s="215" t="s">
        <v>92</v>
      </c>
    </row>
    <row r="59" spans="2:11" x14ac:dyDescent="0.25">
      <c r="D59" s="162"/>
      <c r="H59" s="301">
        <v>45970</v>
      </c>
      <c r="I59" s="129" t="s">
        <v>176</v>
      </c>
      <c r="J59" s="162">
        <v>3367</v>
      </c>
      <c r="K59" s="318">
        <f>+J59*0.025</f>
        <v>84.175000000000011</v>
      </c>
    </row>
    <row r="60" spans="2:11" x14ac:dyDescent="0.25">
      <c r="D60" s="162"/>
      <c r="H60" s="301">
        <v>45984</v>
      </c>
      <c r="I60" s="129" t="s">
        <v>175</v>
      </c>
      <c r="J60" s="162">
        <v>6792</v>
      </c>
      <c r="K60" s="318">
        <f>+J60*0.025</f>
        <v>169.8</v>
      </c>
    </row>
    <row r="61" spans="2:11" x14ac:dyDescent="0.25">
      <c r="D61" s="162"/>
      <c r="H61" s="301">
        <v>46006</v>
      </c>
      <c r="I61" s="129" t="s">
        <v>175</v>
      </c>
      <c r="J61" s="162">
        <v>5733</v>
      </c>
      <c r="K61" s="318">
        <f>+J61*0.025</f>
        <v>143.32500000000002</v>
      </c>
    </row>
    <row r="62" spans="2:11" x14ac:dyDescent="0.25">
      <c r="H62" s="344"/>
      <c r="I62" s="345"/>
      <c r="J62" s="200">
        <f>+J61</f>
        <v>5733</v>
      </c>
      <c r="K62" s="346">
        <f>+J62*0.025</f>
        <v>143.32500000000002</v>
      </c>
    </row>
    <row r="64" spans="2:11" x14ac:dyDescent="0.25">
      <c r="H64" s="237" t="s">
        <v>205</v>
      </c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f>+J65*1.5</f>
        <v>70.5</v>
      </c>
    </row>
    <row r="66" spans="8:11" x14ac:dyDescent="0.25">
      <c r="I66" s="129"/>
      <c r="K66" s="215"/>
    </row>
    <row r="67" spans="8:11" x14ac:dyDescent="0.25">
      <c r="H67" s="237" t="s">
        <v>167</v>
      </c>
      <c r="J67" s="162" t="s">
        <v>157</v>
      </c>
      <c r="K67" s="215" t="s">
        <v>92</v>
      </c>
    </row>
    <row r="68" spans="8:11" x14ac:dyDescent="0.25">
      <c r="H68" s="301">
        <v>45990</v>
      </c>
      <c r="I68" s="129" t="s">
        <v>176</v>
      </c>
      <c r="J68" s="68">
        <v>43</v>
      </c>
      <c r="K68" s="318">
        <f t="shared" ref="K68:K73" si="6">+J68*1.5</f>
        <v>64.5</v>
      </c>
    </row>
    <row r="69" spans="8:11" x14ac:dyDescent="0.25">
      <c r="H69" s="301">
        <v>45991</v>
      </c>
      <c r="I69" s="129" t="s">
        <v>175</v>
      </c>
      <c r="J69" s="68">
        <v>222</v>
      </c>
      <c r="K69" s="318">
        <f t="shared" si="6"/>
        <v>333</v>
      </c>
    </row>
    <row r="70" spans="8:11" x14ac:dyDescent="0.25">
      <c r="H70" s="301">
        <v>45991</v>
      </c>
      <c r="I70" s="129" t="s">
        <v>176</v>
      </c>
      <c r="J70" s="68">
        <v>199</v>
      </c>
      <c r="K70" s="318">
        <f t="shared" si="6"/>
        <v>298.5</v>
      </c>
    </row>
    <row r="71" spans="8:11" x14ac:dyDescent="0.25">
      <c r="H71" s="301">
        <v>45992</v>
      </c>
      <c r="I71" s="129" t="s">
        <v>175</v>
      </c>
      <c r="J71" s="68">
        <v>163</v>
      </c>
      <c r="K71" s="318">
        <f t="shared" si="6"/>
        <v>244.5</v>
      </c>
    </row>
    <row r="72" spans="8:11" x14ac:dyDescent="0.25">
      <c r="H72" s="301">
        <v>46005</v>
      </c>
      <c r="I72" s="129"/>
      <c r="J72" s="162">
        <v>519</v>
      </c>
      <c r="K72" s="318">
        <f t="shared" si="6"/>
        <v>778.5</v>
      </c>
    </row>
    <row r="73" spans="8:11" x14ac:dyDescent="0.25">
      <c r="H73" s="344"/>
      <c r="I73" s="345"/>
      <c r="J73" s="200">
        <f>+J72</f>
        <v>519</v>
      </c>
      <c r="K73" s="346">
        <f t="shared" si="6"/>
        <v>778.5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topLeftCell="A45" workbookViewId="0">
      <selection activeCell="A27" sqref="A27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63"/>
      <c r="C4" s="363"/>
      <c r="D4" s="165">
        <f>D26</f>
        <v>11558.318000000001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7720</v>
      </c>
      <c r="D5" s="172">
        <v>329.12</v>
      </c>
      <c r="E5" s="80">
        <f>+D5/$D$4</f>
        <v>2.8474731357970941E-2</v>
      </c>
      <c r="F5" s="58" t="s">
        <v>51</v>
      </c>
      <c r="G5" s="59">
        <v>46006</v>
      </c>
      <c r="H5" s="190">
        <v>6792.0000000000009</v>
      </c>
      <c r="I5" s="141">
        <v>8609.5399999999991</v>
      </c>
      <c r="J5" s="60">
        <f t="shared" ref="J5:J12" si="0">+I5/H5</f>
        <v>1.2676001177856298</v>
      </c>
    </row>
    <row r="6" spans="1:10" ht="15" customHeight="1" x14ac:dyDescent="0.25">
      <c r="A6" s="164"/>
      <c r="B6" s="169" t="s">
        <v>10</v>
      </c>
      <c r="C6" s="177">
        <v>17053</v>
      </c>
      <c r="D6" s="173">
        <v>727.38499999999999</v>
      </c>
      <c r="E6" s="80">
        <f t="shared" ref="E6:E25" si="1">+D6/$D$4</f>
        <v>6.2931734530923961E-2</v>
      </c>
      <c r="F6" s="58" t="s">
        <v>52</v>
      </c>
      <c r="G6" s="59">
        <v>46007</v>
      </c>
      <c r="H6" s="190">
        <v>9263</v>
      </c>
      <c r="I6" s="141">
        <v>11558.318000000001</v>
      </c>
      <c r="J6" s="60">
        <f t="shared" si="0"/>
        <v>1.2477942351290081</v>
      </c>
    </row>
    <row r="7" spans="1:10" ht="15" customHeight="1" x14ac:dyDescent="0.25">
      <c r="A7" s="164"/>
      <c r="B7" s="169" t="s">
        <v>35</v>
      </c>
      <c r="C7" s="177">
        <v>34419</v>
      </c>
      <c r="D7" s="173">
        <v>1466.373</v>
      </c>
      <c r="E7" s="245">
        <f t="shared" si="1"/>
        <v>0.12686733484924018</v>
      </c>
      <c r="F7" s="58" t="s">
        <v>53</v>
      </c>
      <c r="G7" s="59">
        <v>46008</v>
      </c>
      <c r="H7" s="190">
        <v>9781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790</v>
      </c>
      <c r="D8" s="173">
        <v>33.81</v>
      </c>
      <c r="E8" s="80">
        <f t="shared" si="1"/>
        <v>2.9251661011576251E-3</v>
      </c>
      <c r="F8" s="58" t="s">
        <v>54</v>
      </c>
      <c r="G8" s="59">
        <v>46009</v>
      </c>
      <c r="H8" s="190">
        <v>9442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50045</v>
      </c>
      <c r="D9" s="173">
        <v>2135.3859999999995</v>
      </c>
      <c r="E9" s="245">
        <f t="shared" si="1"/>
        <v>0.18474885359617199</v>
      </c>
      <c r="F9" s="58" t="s">
        <v>55</v>
      </c>
      <c r="G9" s="59">
        <v>46010</v>
      </c>
      <c r="H9" s="190">
        <v>8882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63441</v>
      </c>
      <c r="D10" s="173">
        <v>2708.7739999999994</v>
      </c>
      <c r="E10" s="245">
        <f t="shared" si="1"/>
        <v>0.23435710974555288</v>
      </c>
      <c r="F10" s="58" t="s">
        <v>56</v>
      </c>
      <c r="G10" s="59">
        <v>46011</v>
      </c>
      <c r="H10" s="190">
        <v>7333.0000000000009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17862</v>
      </c>
      <c r="D11" s="173">
        <v>762.98000000000013</v>
      </c>
      <c r="E11" s="80">
        <f t="shared" si="1"/>
        <v>6.6011334867235871E-2</v>
      </c>
      <c r="F11" s="58" t="s">
        <v>57</v>
      </c>
      <c r="G11" s="59">
        <v>46012</v>
      </c>
      <c r="H11" s="190">
        <v>5143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>
        <v>1200</v>
      </c>
      <c r="D12" s="173">
        <v>30.17</v>
      </c>
      <c r="E12" s="80">
        <f t="shared" si="1"/>
        <v>2.6102413863332017E-3</v>
      </c>
      <c r="H12" s="139">
        <f>+SUM(H5:H11)</f>
        <v>56636</v>
      </c>
      <c r="I12" s="142">
        <f>+SUM(I5:I11)</f>
        <v>20167.858</v>
      </c>
      <c r="J12" s="140">
        <f t="shared" si="0"/>
        <v>0.35609608729430042</v>
      </c>
    </row>
    <row r="13" spans="1:10" ht="15" customHeight="1" x14ac:dyDescent="0.25">
      <c r="A13" s="164"/>
      <c r="B13" s="169" t="s">
        <v>39</v>
      </c>
      <c r="C13" s="177">
        <v>775</v>
      </c>
      <c r="D13" s="173">
        <v>1170.5600000000002</v>
      </c>
      <c r="E13" s="80">
        <f t="shared" si="1"/>
        <v>0.1012742511496915</v>
      </c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41</v>
      </c>
      <c r="C14" s="177">
        <v>302</v>
      </c>
      <c r="D14" s="173">
        <v>454.72</v>
      </c>
      <c r="E14" s="80">
        <f t="shared" si="1"/>
        <v>3.9341364374989508E-2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339</v>
      </c>
      <c r="D15" s="173">
        <v>511.74999999999994</v>
      </c>
      <c r="E15" s="80">
        <f t="shared" si="1"/>
        <v>4.4275473299834792E-2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85</v>
      </c>
      <c r="C16" s="177">
        <v>25</v>
      </c>
      <c r="D16" s="173">
        <v>37.619999999999997</v>
      </c>
      <c r="E16" s="80">
        <f t="shared" si="1"/>
        <v>3.2547988383776942E-3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44</v>
      </c>
      <c r="C17" s="177">
        <v>46</v>
      </c>
      <c r="D17" s="173">
        <v>69.52</v>
      </c>
      <c r="E17" s="80">
        <f t="shared" si="1"/>
        <v>6.0147159820312943E-3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49</v>
      </c>
      <c r="C18" s="177">
        <v>63</v>
      </c>
      <c r="D18" s="173">
        <v>94.85</v>
      </c>
      <c r="E18" s="80">
        <f t="shared" si="1"/>
        <v>8.206211318982571E-3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88</v>
      </c>
      <c r="C19" s="177">
        <v>60</v>
      </c>
      <c r="D19" s="173">
        <v>90.71</v>
      </c>
      <c r="E19" s="80">
        <f t="shared" si="1"/>
        <v>7.8480277147591881E-3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45</v>
      </c>
      <c r="C20" s="177">
        <v>20</v>
      </c>
      <c r="D20" s="173">
        <v>30.17</v>
      </c>
      <c r="E20" s="80">
        <f t="shared" si="1"/>
        <v>2.6102413863332017E-3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85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46</v>
      </c>
      <c r="C22" s="177"/>
      <c r="D22" s="173">
        <v>28.61</v>
      </c>
      <c r="E22" s="80">
        <f t="shared" si="1"/>
        <v>2.4752736514084485E-3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9</v>
      </c>
      <c r="C23" s="177"/>
      <c r="D23" s="173">
        <v>62.83</v>
      </c>
      <c r="E23" s="80">
        <f t="shared" si="1"/>
        <v>5.4359120418732204E-3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x14ac:dyDescent="0.25">
      <c r="B24" s="169" t="s">
        <v>40</v>
      </c>
      <c r="C24" s="177"/>
      <c r="D24" s="173">
        <v>780.7</v>
      </c>
      <c r="E24" s="80">
        <f t="shared" si="1"/>
        <v>6.7544429907534981E-2</v>
      </c>
      <c r="F24" s="112" t="s">
        <v>198</v>
      </c>
      <c r="G24" s="190">
        <v>215275.19500000001</v>
      </c>
      <c r="H24" s="272">
        <v>242524.66</v>
      </c>
      <c r="I24" s="98">
        <f>+H24/G24</f>
        <v>1.1265796786294864</v>
      </c>
      <c r="J24" s="108">
        <v>32010.999999999534</v>
      </c>
    </row>
    <row r="25" spans="1:10" ht="15" customHeight="1" thickBot="1" x14ac:dyDescent="0.3">
      <c r="B25" s="169" t="s">
        <v>184</v>
      </c>
      <c r="C25" s="177"/>
      <c r="D25" s="173">
        <v>32.28</v>
      </c>
      <c r="E25" s="80">
        <f t="shared" si="1"/>
        <v>2.7927938995968098E-3</v>
      </c>
      <c r="F25" s="364" t="s">
        <v>199</v>
      </c>
      <c r="G25" s="190">
        <v>210045.58799999999</v>
      </c>
      <c r="H25" s="190">
        <f>+D27</f>
        <v>135417.663</v>
      </c>
      <c r="I25" s="98">
        <f t="shared" si="2"/>
        <v>0.64470605781065016</v>
      </c>
      <c r="J25" s="108"/>
    </row>
    <row r="26" spans="1:10" ht="15" customHeight="1" thickBot="1" x14ac:dyDescent="0.3">
      <c r="B26" s="178" t="s">
        <v>0</v>
      </c>
      <c r="C26" s="170"/>
      <c r="D26" s="171">
        <f>SUM(D5:D25)</f>
        <v>11558.318000000001</v>
      </c>
      <c r="E26" s="80"/>
      <c r="G26" s="365">
        <f>+SUM(G14:G25)</f>
        <v>2547596.0290000001</v>
      </c>
      <c r="H26" s="365">
        <f>+SUM(H14:H25)</f>
        <v>2504979.1039999998</v>
      </c>
      <c r="I26" s="98">
        <f>+H26/G26</f>
        <v>0.9832717100690691</v>
      </c>
      <c r="J26" s="108">
        <f>+H26-G26</f>
        <v>-42616.925000000279</v>
      </c>
    </row>
    <row r="27" spans="1:10" ht="15" customHeight="1" thickBot="1" x14ac:dyDescent="0.3">
      <c r="B27" s="166" t="s">
        <v>1</v>
      </c>
      <c r="C27" s="167"/>
      <c r="D27" s="233">
        <v>135417.663</v>
      </c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+D27/G2</f>
        <v>0.61553983242765664</v>
      </c>
      <c r="F28" s="179"/>
      <c r="G28" s="179"/>
      <c r="J28" s="179"/>
    </row>
    <row r="29" spans="1:10" x14ac:dyDescent="0.25">
      <c r="D29" s="108">
        <f>+(G2/31)*16</f>
        <v>113547.46463634117</v>
      </c>
      <c r="E29" s="314">
        <f>+D29/G2</f>
        <v>0.5161290322580645</v>
      </c>
      <c r="F29" s="352"/>
    </row>
    <row r="30" spans="1:10" x14ac:dyDescent="0.25">
      <c r="D30" s="183">
        <f>+D27-D29</f>
        <v>21870.198363658827</v>
      </c>
      <c r="E30" s="99">
        <f>E28-E29</f>
        <v>9.9410800169592139E-2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636</v>
      </c>
      <c r="D33" s="108">
        <v>2142</v>
      </c>
      <c r="E33" s="57">
        <f>+C33/D33</f>
        <v>0.2969187675070028</v>
      </c>
      <c r="G33" s="86" t="s">
        <v>86</v>
      </c>
      <c r="H33" s="87">
        <f>13407-1200</f>
        <v>12207</v>
      </c>
      <c r="I33" s="88">
        <f>+H33*0.025</f>
        <v>305.17500000000001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1270</v>
      </c>
      <c r="D34" s="108">
        <v>1890</v>
      </c>
      <c r="E34" s="57">
        <f>+C34/D34</f>
        <v>0.67195767195767198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1086</v>
      </c>
      <c r="D35" s="108">
        <v>3006</v>
      </c>
      <c r="E35" s="57">
        <f>+C35/D35</f>
        <v>0.36127744510978044</v>
      </c>
      <c r="G35" s="89" t="s">
        <v>169</v>
      </c>
      <c r="H35" s="87">
        <v>358</v>
      </c>
      <c r="I35" s="88">
        <f>+H35*1.5</f>
        <v>537</v>
      </c>
      <c r="J35" s="298">
        <f>+I35+I33</f>
        <v>842.17499999999995</v>
      </c>
    </row>
    <row r="36" spans="1:11" x14ac:dyDescent="0.25">
      <c r="C36" s="162">
        <f>+SUM(C33:C35)</f>
        <v>2992</v>
      </c>
      <c r="D36" s="110">
        <f>+SUM(D33:D35)</f>
        <v>7038</v>
      </c>
      <c r="E36" s="57">
        <f>+C36/D36</f>
        <v>0.4251207729468599</v>
      </c>
      <c r="G36" s="89" t="s">
        <v>168</v>
      </c>
      <c r="H36" s="87">
        <v>59</v>
      </c>
      <c r="I36" s="88">
        <f>+H36*1.5</f>
        <v>88.5</v>
      </c>
      <c r="J36" s="228" t="s">
        <v>193</v>
      </c>
    </row>
    <row r="37" spans="1:11" x14ac:dyDescent="0.25">
      <c r="G37" s="231" t="s">
        <v>123</v>
      </c>
      <c r="H37" s="138">
        <f>274-1</f>
        <v>273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40</v>
      </c>
      <c r="C40" s="74">
        <v>1</v>
      </c>
      <c r="D40" s="74">
        <v>25</v>
      </c>
      <c r="E40" s="75">
        <f>+SUM(B40:D40)</f>
        <v>66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A42" s="147"/>
      <c r="B42" s="147" t="s">
        <v>214</v>
      </c>
      <c r="C42" s="147" t="s">
        <v>215</v>
      </c>
      <c r="D42" s="147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12.53</v>
      </c>
      <c r="C44" s="199">
        <v>1786</v>
      </c>
      <c r="D44" s="200">
        <v>3600</v>
      </c>
      <c r="E44" s="201">
        <f t="shared" si="3"/>
        <v>0.49611111111111111</v>
      </c>
      <c r="F44" s="201">
        <f>+B44/14</f>
        <v>0.89499999999999991</v>
      </c>
      <c r="G44" s="202">
        <v>12</v>
      </c>
      <c r="H44" s="71"/>
    </row>
    <row r="45" spans="1:11" x14ac:dyDescent="0.25">
      <c r="A45" s="207" t="s">
        <v>72</v>
      </c>
      <c r="B45" s="199">
        <v>12.07</v>
      </c>
      <c r="C45" s="199">
        <v>1194</v>
      </c>
      <c r="D45" s="200">
        <v>3900</v>
      </c>
      <c r="E45" s="201">
        <f t="shared" si="3"/>
        <v>0.30615384615384617</v>
      </c>
      <c r="F45" s="201">
        <f>+B45/14</f>
        <v>0.86214285714285721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14.78</v>
      </c>
      <c r="C46" s="199">
        <v>3085</v>
      </c>
      <c r="D46" s="200">
        <v>3900</v>
      </c>
      <c r="E46" s="201">
        <f t="shared" si="3"/>
        <v>0.79102564102564099</v>
      </c>
      <c r="F46" s="201">
        <f>+B46/20</f>
        <v>0.73899999999999999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5" si="4">+J46*1.5</f>
        <v>214.5</v>
      </c>
    </row>
    <row r="47" spans="1:11" x14ac:dyDescent="0.25">
      <c r="A47" s="207" t="s">
        <v>74</v>
      </c>
      <c r="B47" s="199">
        <v>16.41</v>
      </c>
      <c r="C47" s="199">
        <v>2849</v>
      </c>
      <c r="D47" s="200">
        <v>3900</v>
      </c>
      <c r="E47" s="201">
        <f t="shared" si="3"/>
        <v>0.73051282051282052</v>
      </c>
      <c r="F47" s="201">
        <f>+B47/20</f>
        <v>0.82050000000000001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4"/>
        <v>37.5</v>
      </c>
    </row>
    <row r="48" spans="1:11" x14ac:dyDescent="0.25">
      <c r="A48" s="259" t="s">
        <v>75</v>
      </c>
      <c r="B48" s="260">
        <v>14.68</v>
      </c>
      <c r="C48" s="261">
        <v>2931</v>
      </c>
      <c r="D48" s="262">
        <v>4300</v>
      </c>
      <c r="E48" s="263">
        <f t="shared" si="3"/>
        <v>0.68162790697674414</v>
      </c>
      <c r="F48" s="201">
        <f>+B48/20</f>
        <v>0.73399999999999999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4"/>
        <v>42</v>
      </c>
    </row>
    <row r="49" spans="2:11" x14ac:dyDescent="0.25">
      <c r="B49" s="113">
        <f>+SUM(B43:B48)</f>
        <v>70.47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4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4"/>
        <v>99</v>
      </c>
    </row>
    <row r="51" spans="2:11" x14ac:dyDescent="0.25">
      <c r="C51" s="71">
        <v>1</v>
      </c>
      <c r="D51" s="225" t="s">
        <v>153</v>
      </c>
      <c r="H51" s="301">
        <v>45991</v>
      </c>
      <c r="I51" s="129" t="s">
        <v>175</v>
      </c>
      <c r="J51" s="162">
        <v>47</v>
      </c>
      <c r="K51" s="318">
        <f t="shared" si="4"/>
        <v>70.5</v>
      </c>
    </row>
    <row r="52" spans="2:11" x14ac:dyDescent="0.25">
      <c r="C52" s="71">
        <v>2</v>
      </c>
      <c r="D52" s="225" t="s">
        <v>153</v>
      </c>
      <c r="H52" s="360">
        <v>45998</v>
      </c>
      <c r="I52" s="332" t="s">
        <v>175</v>
      </c>
      <c r="J52" s="333">
        <v>35</v>
      </c>
      <c r="K52" s="361">
        <f t="shared" si="4"/>
        <v>52.5</v>
      </c>
    </row>
    <row r="53" spans="2:11" x14ac:dyDescent="0.25">
      <c r="C53" s="71">
        <v>3</v>
      </c>
      <c r="D53" s="225" t="s">
        <v>154</v>
      </c>
      <c r="H53" s="301">
        <v>45998</v>
      </c>
      <c r="I53" s="129" t="s">
        <v>176</v>
      </c>
      <c r="J53" s="162">
        <v>76</v>
      </c>
      <c r="K53" s="318">
        <f t="shared" si="4"/>
        <v>114</v>
      </c>
    </row>
    <row r="54" spans="2:11" x14ac:dyDescent="0.25">
      <c r="C54" s="71">
        <v>4</v>
      </c>
      <c r="D54" s="108">
        <v>0</v>
      </c>
      <c r="H54" s="301">
        <v>45999</v>
      </c>
      <c r="I54" s="129" t="s">
        <v>175</v>
      </c>
      <c r="J54" s="162">
        <v>125</v>
      </c>
      <c r="K54" s="318">
        <f t="shared" si="4"/>
        <v>187.5</v>
      </c>
    </row>
    <row r="55" spans="2:11" x14ac:dyDescent="0.25">
      <c r="C55" s="71">
        <v>5</v>
      </c>
      <c r="D55" s="108">
        <v>13</v>
      </c>
      <c r="H55" s="301">
        <v>46005</v>
      </c>
      <c r="I55" s="129" t="s">
        <v>175</v>
      </c>
      <c r="J55" s="162">
        <v>49</v>
      </c>
      <c r="K55" s="318">
        <f t="shared" si="4"/>
        <v>73.5</v>
      </c>
    </row>
    <row r="56" spans="2:11" x14ac:dyDescent="0.25">
      <c r="C56" s="71">
        <v>6</v>
      </c>
      <c r="D56" s="108">
        <v>0</v>
      </c>
      <c r="H56" s="359" t="s">
        <v>219</v>
      </c>
      <c r="I56" s="345"/>
      <c r="J56" s="199">
        <f>+J55</f>
        <v>49</v>
      </c>
      <c r="K56" s="346">
        <f>+J56*1.5</f>
        <v>73.5</v>
      </c>
    </row>
    <row r="57" spans="2:11" x14ac:dyDescent="0.25">
      <c r="C57" s="71">
        <v>7</v>
      </c>
      <c r="D57" s="225" t="s">
        <v>153</v>
      </c>
    </row>
    <row r="58" spans="2:11" x14ac:dyDescent="0.25">
      <c r="C58" s="71">
        <v>8</v>
      </c>
      <c r="D58" s="225" t="s">
        <v>153</v>
      </c>
      <c r="H58" s="237" t="s">
        <v>197</v>
      </c>
      <c r="J58" s="162" t="s">
        <v>157</v>
      </c>
      <c r="K58" s="215" t="s">
        <v>92</v>
      </c>
    </row>
    <row r="59" spans="2:11" x14ac:dyDescent="0.25">
      <c r="D59" s="162"/>
      <c r="H59" s="301">
        <v>45970</v>
      </c>
      <c r="I59" s="129" t="s">
        <v>176</v>
      </c>
      <c r="J59" s="162">
        <v>3367</v>
      </c>
      <c r="K59" s="318">
        <f>+J59*0.025</f>
        <v>84.175000000000011</v>
      </c>
    </row>
    <row r="60" spans="2:11" x14ac:dyDescent="0.25">
      <c r="D60" s="162"/>
      <c r="H60" s="301">
        <v>45984</v>
      </c>
      <c r="I60" s="129" t="s">
        <v>175</v>
      </c>
      <c r="J60" s="162">
        <v>6792</v>
      </c>
      <c r="K60" s="318">
        <f>+J60*0.025</f>
        <v>169.8</v>
      </c>
    </row>
    <row r="61" spans="2:11" x14ac:dyDescent="0.25">
      <c r="D61" s="162"/>
      <c r="H61" s="301">
        <v>46006</v>
      </c>
      <c r="I61" s="129" t="s">
        <v>175</v>
      </c>
      <c r="J61" s="162">
        <v>5733</v>
      </c>
      <c r="K61" s="318">
        <f>+J61*0.025</f>
        <v>143.32500000000002</v>
      </c>
    </row>
    <row r="62" spans="2:11" x14ac:dyDescent="0.25">
      <c r="H62" s="344"/>
      <c r="I62" s="345"/>
      <c r="J62" s="200">
        <f>+J61</f>
        <v>5733</v>
      </c>
      <c r="K62" s="346">
        <f>+J62*0.025</f>
        <v>143.32500000000002</v>
      </c>
    </row>
    <row r="64" spans="2:11" x14ac:dyDescent="0.25">
      <c r="H64" s="237" t="s">
        <v>205</v>
      </c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f>+J65*1.5</f>
        <v>70.5</v>
      </c>
    </row>
    <row r="66" spans="8:11" x14ac:dyDescent="0.25">
      <c r="I66" s="129"/>
      <c r="K66" s="215"/>
    </row>
    <row r="67" spans="8:11" x14ac:dyDescent="0.25">
      <c r="H67" s="237" t="s">
        <v>167</v>
      </c>
      <c r="J67" s="162" t="s">
        <v>157</v>
      </c>
      <c r="K67" s="215" t="s">
        <v>92</v>
      </c>
    </row>
    <row r="68" spans="8:11" x14ac:dyDescent="0.25">
      <c r="H68" s="301">
        <v>45990</v>
      </c>
      <c r="I68" s="129" t="s">
        <v>176</v>
      </c>
      <c r="J68" s="68">
        <v>43</v>
      </c>
      <c r="K68" s="318">
        <f t="shared" ref="K68:K73" si="5">+J68*1.5</f>
        <v>64.5</v>
      </c>
    </row>
    <row r="69" spans="8:11" x14ac:dyDescent="0.25">
      <c r="H69" s="301">
        <v>45991</v>
      </c>
      <c r="I69" s="129" t="s">
        <v>175</v>
      </c>
      <c r="J69" s="68">
        <v>222</v>
      </c>
      <c r="K69" s="318">
        <f t="shared" si="5"/>
        <v>333</v>
      </c>
    </row>
    <row r="70" spans="8:11" x14ac:dyDescent="0.25">
      <c r="H70" s="301">
        <v>45991</v>
      </c>
      <c r="I70" s="129" t="s">
        <v>176</v>
      </c>
      <c r="J70" s="68">
        <v>199</v>
      </c>
      <c r="K70" s="318">
        <f t="shared" si="5"/>
        <v>298.5</v>
      </c>
    </row>
    <row r="71" spans="8:11" x14ac:dyDescent="0.25">
      <c r="H71" s="301">
        <v>45992</v>
      </c>
      <c r="I71" s="129" t="s">
        <v>175</v>
      </c>
      <c r="J71" s="68">
        <v>163</v>
      </c>
      <c r="K71" s="318">
        <f t="shared" si="5"/>
        <v>244.5</v>
      </c>
    </row>
    <row r="72" spans="8:11" x14ac:dyDescent="0.25">
      <c r="H72" s="301">
        <v>46005</v>
      </c>
      <c r="I72" s="129"/>
      <c r="J72" s="162">
        <v>519</v>
      </c>
      <c r="K72" s="318">
        <f t="shared" si="5"/>
        <v>778.5</v>
      </c>
    </row>
    <row r="73" spans="8:11" x14ac:dyDescent="0.25">
      <c r="H73" s="344"/>
      <c r="I73" s="345"/>
      <c r="J73" s="200">
        <f>+J72</f>
        <v>519</v>
      </c>
      <c r="K73" s="346">
        <f t="shared" si="5"/>
        <v>778.5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topLeftCell="A42" workbookViewId="0">
      <selection activeCell="A29" sqref="A29:K74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63"/>
      <c r="C4" s="363"/>
      <c r="D4" s="165">
        <f>D26</f>
        <v>9780.6549999999988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2331</v>
      </c>
      <c r="D5" s="172">
        <v>99.372</v>
      </c>
      <c r="E5" s="80">
        <f>+D5/$D$4</f>
        <v>1.016005574268799E-2</v>
      </c>
      <c r="F5" s="58" t="s">
        <v>51</v>
      </c>
      <c r="G5" s="59">
        <v>46006</v>
      </c>
      <c r="H5" s="190">
        <v>6792.0000000000009</v>
      </c>
      <c r="I5" s="141">
        <v>8609.5399999999991</v>
      </c>
      <c r="J5" s="60">
        <f t="shared" ref="J5:J12" si="0">+I5/H5</f>
        <v>1.2676001177856298</v>
      </c>
    </row>
    <row r="6" spans="1:10" ht="15" customHeight="1" x14ac:dyDescent="0.25">
      <c r="A6" s="164"/>
      <c r="B6" s="169" t="s">
        <v>10</v>
      </c>
      <c r="C6" s="177">
        <v>20238</v>
      </c>
      <c r="D6" s="173">
        <v>864.10400000000004</v>
      </c>
      <c r="E6" s="80">
        <f t="shared" ref="E6:E25" si="1">+D6/$D$4</f>
        <v>8.8348275243324725E-2</v>
      </c>
      <c r="F6" s="58" t="s">
        <v>52</v>
      </c>
      <c r="G6" s="59">
        <v>46007</v>
      </c>
      <c r="H6" s="190">
        <v>9263</v>
      </c>
      <c r="I6" s="141">
        <v>11558.318000000001</v>
      </c>
      <c r="J6" s="60">
        <f t="shared" si="0"/>
        <v>1.2477942351290081</v>
      </c>
    </row>
    <row r="7" spans="1:10" ht="15" customHeight="1" x14ac:dyDescent="0.25">
      <c r="A7" s="164"/>
      <c r="B7" s="169" t="s">
        <v>35</v>
      </c>
      <c r="C7" s="177">
        <v>28958</v>
      </c>
      <c r="D7" s="173">
        <v>1234.2880000000002</v>
      </c>
      <c r="E7" s="245">
        <f t="shared" si="1"/>
        <v>0.12619686513837777</v>
      </c>
      <c r="F7" s="58" t="s">
        <v>53</v>
      </c>
      <c r="G7" s="59">
        <v>46008</v>
      </c>
      <c r="H7" s="190">
        <v>9781</v>
      </c>
      <c r="I7" s="141">
        <v>9780.6549999999988</v>
      </c>
      <c r="J7" s="60">
        <f t="shared" si="0"/>
        <v>0.99996472753297194</v>
      </c>
    </row>
    <row r="8" spans="1:10" ht="15" customHeight="1" x14ac:dyDescent="0.25">
      <c r="A8" s="164"/>
      <c r="B8" s="169" t="s">
        <v>4</v>
      </c>
      <c r="C8" s="177">
        <v>3915</v>
      </c>
      <c r="D8" s="173">
        <v>166.60000000000002</v>
      </c>
      <c r="E8" s="80">
        <f t="shared" si="1"/>
        <v>1.7033624026202749E-2</v>
      </c>
      <c r="F8" s="58" t="s">
        <v>54</v>
      </c>
      <c r="G8" s="59">
        <v>46009</v>
      </c>
      <c r="H8" s="190">
        <v>9442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31684</v>
      </c>
      <c r="D9" s="173">
        <v>1351.0860000000002</v>
      </c>
      <c r="E9" s="245">
        <f t="shared" si="1"/>
        <v>0.13813860114685575</v>
      </c>
      <c r="F9" s="58" t="s">
        <v>55</v>
      </c>
      <c r="G9" s="59">
        <v>46010</v>
      </c>
      <c r="H9" s="190">
        <v>8882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57258</v>
      </c>
      <c r="D10" s="173">
        <v>2444.6379999999999</v>
      </c>
      <c r="E10" s="245">
        <f t="shared" si="1"/>
        <v>0.24994624593138193</v>
      </c>
      <c r="F10" s="58" t="s">
        <v>56</v>
      </c>
      <c r="G10" s="59">
        <v>46011</v>
      </c>
      <c r="H10" s="190">
        <v>7333.0000000000009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14621</v>
      </c>
      <c r="D11" s="173">
        <v>623.30799999999999</v>
      </c>
      <c r="E11" s="80">
        <f t="shared" si="1"/>
        <v>6.3728656209630141E-2</v>
      </c>
      <c r="F11" s="58" t="s">
        <v>57</v>
      </c>
      <c r="G11" s="59">
        <v>46012</v>
      </c>
      <c r="H11" s="190">
        <v>5143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95</v>
      </c>
      <c r="C12" s="177"/>
      <c r="D12" s="173"/>
      <c r="E12" s="80">
        <f t="shared" si="1"/>
        <v>0</v>
      </c>
      <c r="H12" s="139">
        <f>+SUM(H5:H11)</f>
        <v>56636</v>
      </c>
      <c r="I12" s="142">
        <f>+SUM(I5:I11)</f>
        <v>29948.512999999999</v>
      </c>
      <c r="J12" s="140">
        <f t="shared" si="0"/>
        <v>0.52878933893636559</v>
      </c>
    </row>
    <row r="13" spans="1:10" ht="15" customHeight="1" x14ac:dyDescent="0.25">
      <c r="A13" s="164"/>
      <c r="B13" s="169" t="s">
        <v>41</v>
      </c>
      <c r="C13" s="177">
        <v>272</v>
      </c>
      <c r="D13" s="173">
        <v>409.27100000000002</v>
      </c>
      <c r="E13" s="80">
        <f t="shared" si="1"/>
        <v>4.1844948012173012E-2</v>
      </c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652</v>
      </c>
      <c r="D14" s="173">
        <v>983.39200000000005</v>
      </c>
      <c r="E14" s="80">
        <f t="shared" si="1"/>
        <v>0.1005445954284248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430</v>
      </c>
      <c r="D15" s="173">
        <v>648.49000000000012</v>
      </c>
      <c r="E15" s="80">
        <f t="shared" si="1"/>
        <v>6.6303330400673599E-2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44</v>
      </c>
      <c r="C16" s="177">
        <v>66</v>
      </c>
      <c r="D16" s="173">
        <v>99.62</v>
      </c>
      <c r="E16" s="80">
        <f t="shared" si="1"/>
        <v>1.0185411917708989E-2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49</v>
      </c>
      <c r="C17" s="177">
        <v>43</v>
      </c>
      <c r="D17" s="173">
        <v>64.666000000000011</v>
      </c>
      <c r="E17" s="80">
        <f t="shared" si="1"/>
        <v>6.6116226367252517E-3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88</v>
      </c>
      <c r="C18" s="177">
        <v>40</v>
      </c>
      <c r="D18" s="173">
        <v>60.94</v>
      </c>
      <c r="E18" s="80">
        <f t="shared" si="1"/>
        <v>6.2306665555629968E-3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45</v>
      </c>
      <c r="C19" s="177">
        <v>23</v>
      </c>
      <c r="D19" s="173">
        <v>34.57</v>
      </c>
      <c r="E19" s="80">
        <f t="shared" si="1"/>
        <v>3.5345281067576768E-3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45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85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.75" customHeight="1" x14ac:dyDescent="0.25">
      <c r="A22" s="164"/>
      <c r="B22" s="169" t="s">
        <v>46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9" t="s">
        <v>46</v>
      </c>
      <c r="C23" s="177"/>
      <c r="D23" s="173">
        <v>88.92</v>
      </c>
      <c r="E23" s="80">
        <f t="shared" si="1"/>
        <v>9.0914156567223781E-3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x14ac:dyDescent="0.25">
      <c r="B24" s="169" t="s">
        <v>9</v>
      </c>
      <c r="C24" s="177"/>
      <c r="D24" s="173">
        <v>152.25</v>
      </c>
      <c r="E24" s="80">
        <f t="shared" si="1"/>
        <v>1.5566442124786122E-2</v>
      </c>
      <c r="F24" s="112" t="s">
        <v>198</v>
      </c>
      <c r="G24" s="190">
        <v>215275.19500000001</v>
      </c>
      <c r="H24" s="272">
        <v>242524.66</v>
      </c>
      <c r="I24" s="98">
        <f>+H24/G24</f>
        <v>1.1265796786294864</v>
      </c>
      <c r="J24" s="108">
        <v>32010.999999999534</v>
      </c>
    </row>
    <row r="25" spans="1:10" ht="15" customHeight="1" thickBot="1" x14ac:dyDescent="0.3">
      <c r="B25" s="169" t="s">
        <v>40</v>
      </c>
      <c r="C25" s="177"/>
      <c r="D25" s="173">
        <v>455.14000000000004</v>
      </c>
      <c r="E25" s="80">
        <f t="shared" si="1"/>
        <v>4.6534715722004315E-2</v>
      </c>
      <c r="F25" s="364" t="s">
        <v>199</v>
      </c>
      <c r="G25" s="190">
        <v>210045.58799999999</v>
      </c>
      <c r="H25" s="190">
        <f>+D27</f>
        <v>145198.318</v>
      </c>
      <c r="I25" s="98">
        <f t="shared" si="2"/>
        <v>0.69127049695516574</v>
      </c>
      <c r="J25" s="108"/>
    </row>
    <row r="26" spans="1:10" ht="15" customHeight="1" thickBot="1" x14ac:dyDescent="0.3">
      <c r="B26" s="178" t="s">
        <v>0</v>
      </c>
      <c r="C26" s="170"/>
      <c r="D26" s="171">
        <f>SUM(D5:D25)</f>
        <v>9780.6549999999988</v>
      </c>
      <c r="E26" s="80"/>
      <c r="G26" s="365">
        <f>+SUM(G14:G25)</f>
        <v>2547596.0290000001</v>
      </c>
      <c r="H26" s="365">
        <f>+SUM(H14:H25)</f>
        <v>2514759.7589999996</v>
      </c>
      <c r="I26" s="98">
        <f>+H26/G26</f>
        <v>0.98711088036477679</v>
      </c>
      <c r="J26" s="108">
        <f>+H26-G26</f>
        <v>-32836.270000000484</v>
      </c>
    </row>
    <row r="27" spans="1:10" ht="15" customHeight="1" thickBot="1" x14ac:dyDescent="0.3">
      <c r="B27" s="166" t="s">
        <v>1</v>
      </c>
      <c r="C27" s="167"/>
      <c r="D27" s="233">
        <v>145198.318</v>
      </c>
      <c r="E27" s="80"/>
      <c r="F27" s="179"/>
      <c r="G27" s="179"/>
      <c r="H27" s="179"/>
      <c r="I27" s="179"/>
      <c r="J27" s="179"/>
    </row>
    <row r="28" spans="1:10" ht="15" customHeight="1" thickBot="1" x14ac:dyDescent="0.3">
      <c r="E28" s="313">
        <f>+D27/G2</f>
        <v>0.65999771632816906</v>
      </c>
      <c r="F28" s="179"/>
      <c r="G28" s="179"/>
      <c r="J28" s="179"/>
    </row>
    <row r="29" spans="1:10" x14ac:dyDescent="0.25">
      <c r="D29" s="108">
        <f>+(G2/31)*17</f>
        <v>120644.1811761125</v>
      </c>
      <c r="E29" s="314">
        <f>+D29/G2</f>
        <v>0.54838709677419362</v>
      </c>
      <c r="F29" s="352"/>
    </row>
    <row r="30" spans="1:10" x14ac:dyDescent="0.25">
      <c r="D30" s="183">
        <f>+D27-D29</f>
        <v>24554.1368238875</v>
      </c>
      <c r="E30" s="99">
        <f>E28-E29</f>
        <v>0.11161061955397544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572</v>
      </c>
      <c r="D33" s="108">
        <v>2142</v>
      </c>
      <c r="E33" s="57">
        <f>+C33/D33</f>
        <v>0.26704014939309056</v>
      </c>
      <c r="G33" s="86" t="s">
        <v>86</v>
      </c>
      <c r="H33" s="87">
        <f>13407-1200</f>
        <v>12207</v>
      </c>
      <c r="I33" s="88">
        <f>+H33*0.025</f>
        <v>305.17500000000001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1240</v>
      </c>
      <c r="D34" s="108">
        <v>1890</v>
      </c>
      <c r="E34" s="57">
        <f>+C34/D34</f>
        <v>0.65608465608465605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682</v>
      </c>
      <c r="D35" s="108">
        <v>3006</v>
      </c>
      <c r="E35" s="57">
        <f>+C35/D35</f>
        <v>0.22687957418496341</v>
      </c>
      <c r="G35" s="89" t="s">
        <v>169</v>
      </c>
      <c r="H35" s="87">
        <v>358</v>
      </c>
      <c r="I35" s="88">
        <f>+H35*1.5</f>
        <v>537</v>
      </c>
      <c r="J35" s="298">
        <f>+I35+I33</f>
        <v>842.17499999999995</v>
      </c>
    </row>
    <row r="36" spans="1:11" x14ac:dyDescent="0.25">
      <c r="C36" s="162">
        <f>+SUM(C33:C35)</f>
        <v>2494</v>
      </c>
      <c r="D36" s="110">
        <f>+SUM(D33:D35)</f>
        <v>7038</v>
      </c>
      <c r="E36" s="57">
        <f>+C36/D36</f>
        <v>0.35436203466894006</v>
      </c>
      <c r="G36" s="89" t="s">
        <v>168</v>
      </c>
      <c r="H36" s="87">
        <v>59</v>
      </c>
      <c r="I36" s="88">
        <f>+H36*1.5</f>
        <v>88.5</v>
      </c>
      <c r="J36" s="228" t="s">
        <v>193</v>
      </c>
    </row>
    <row r="37" spans="1:11" x14ac:dyDescent="0.25">
      <c r="G37" s="231" t="s">
        <v>123</v>
      </c>
      <c r="H37" s="138">
        <f>274-1</f>
        <v>273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24</v>
      </c>
      <c r="C40" s="74">
        <v>2</v>
      </c>
      <c r="D40" s="74">
        <v>38</v>
      </c>
      <c r="E40" s="75">
        <f>+SUM(B40:D40)</f>
        <v>64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A42" s="147"/>
      <c r="B42" s="147" t="s">
        <v>214</v>
      </c>
      <c r="C42" s="147" t="s">
        <v>215</v>
      </c>
      <c r="D42" s="147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0.5</v>
      </c>
      <c r="C43" s="199">
        <v>1253</v>
      </c>
      <c r="D43" s="200">
        <v>2400</v>
      </c>
      <c r="E43" s="201">
        <f t="shared" ref="E43:E48" si="3">+C43/D43</f>
        <v>0.52208333333333334</v>
      </c>
      <c r="F43" s="201">
        <f>+B43/24</f>
        <v>2.0833333333333332E-2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12.65</v>
      </c>
      <c r="C44" s="199">
        <v>1902</v>
      </c>
      <c r="D44" s="200">
        <v>3600</v>
      </c>
      <c r="E44" s="201">
        <f t="shared" si="3"/>
        <v>0.52833333333333332</v>
      </c>
      <c r="F44" s="201">
        <f>+B44/14</f>
        <v>0.90357142857142858</v>
      </c>
      <c r="G44" s="202">
        <v>12</v>
      </c>
      <c r="H44" s="71"/>
    </row>
    <row r="45" spans="1:11" x14ac:dyDescent="0.25">
      <c r="A45" s="207" t="s">
        <v>72</v>
      </c>
      <c r="B45" s="199">
        <v>13.31</v>
      </c>
      <c r="C45" s="199">
        <v>1251</v>
      </c>
      <c r="D45" s="200">
        <v>3900</v>
      </c>
      <c r="E45" s="201">
        <f t="shared" si="3"/>
        <v>0.32076923076923075</v>
      </c>
      <c r="F45" s="201">
        <f>+B45/14</f>
        <v>0.95071428571428573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12.3</v>
      </c>
      <c r="C46" s="199">
        <v>3112</v>
      </c>
      <c r="D46" s="200">
        <v>3900</v>
      </c>
      <c r="E46" s="201">
        <f t="shared" si="3"/>
        <v>0.79794871794871791</v>
      </c>
      <c r="F46" s="201">
        <f>+B46/20</f>
        <v>0.61499999999999999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5" si="4">+J46*1.5</f>
        <v>214.5</v>
      </c>
    </row>
    <row r="47" spans="1:11" x14ac:dyDescent="0.25">
      <c r="A47" s="207" t="s">
        <v>74</v>
      </c>
      <c r="B47" s="199">
        <v>17.5</v>
      </c>
      <c r="C47" s="199">
        <v>1833</v>
      </c>
      <c r="D47" s="200">
        <v>3900</v>
      </c>
      <c r="E47" s="201">
        <f t="shared" si="3"/>
        <v>0.47</v>
      </c>
      <c r="F47" s="201">
        <f>+B47/20</f>
        <v>0.875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4"/>
        <v>37.5</v>
      </c>
    </row>
    <row r="48" spans="1:11" x14ac:dyDescent="0.25">
      <c r="A48" s="259" t="s">
        <v>75</v>
      </c>
      <c r="B48" s="260">
        <v>13.37</v>
      </c>
      <c r="C48" s="261">
        <v>2853</v>
      </c>
      <c r="D48" s="262">
        <v>4300</v>
      </c>
      <c r="E48" s="263">
        <f t="shared" si="3"/>
        <v>0.66348837209302325</v>
      </c>
      <c r="F48" s="201">
        <f>+B48/20</f>
        <v>0.66849999999999998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4"/>
        <v>42</v>
      </c>
    </row>
    <row r="49" spans="2:11" x14ac:dyDescent="0.25">
      <c r="B49" s="113">
        <f>+SUM(B43:B48)</f>
        <v>69.63000000000001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4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4"/>
        <v>99</v>
      </c>
    </row>
    <row r="51" spans="2:11" x14ac:dyDescent="0.25">
      <c r="C51" s="71">
        <v>1</v>
      </c>
      <c r="D51" s="225" t="s">
        <v>153</v>
      </c>
      <c r="H51" s="301">
        <v>45991</v>
      </c>
      <c r="I51" s="129" t="s">
        <v>175</v>
      </c>
      <c r="J51" s="162">
        <v>47</v>
      </c>
      <c r="K51" s="318">
        <f t="shared" si="4"/>
        <v>70.5</v>
      </c>
    </row>
    <row r="52" spans="2:11" x14ac:dyDescent="0.25">
      <c r="C52" s="71">
        <v>2</v>
      </c>
      <c r="D52" s="225" t="s">
        <v>153</v>
      </c>
      <c r="H52" s="360">
        <v>45998</v>
      </c>
      <c r="I52" s="332" t="s">
        <v>175</v>
      </c>
      <c r="J52" s="333">
        <v>35</v>
      </c>
      <c r="K52" s="361">
        <f t="shared" si="4"/>
        <v>52.5</v>
      </c>
    </row>
    <row r="53" spans="2:11" x14ac:dyDescent="0.25">
      <c r="C53" s="71">
        <v>3</v>
      </c>
      <c r="D53" s="225" t="s">
        <v>154</v>
      </c>
      <c r="H53" s="301">
        <v>45998</v>
      </c>
      <c r="I53" s="129" t="s">
        <v>176</v>
      </c>
      <c r="J53" s="162">
        <v>76</v>
      </c>
      <c r="K53" s="318">
        <f t="shared" si="4"/>
        <v>114</v>
      </c>
    </row>
    <row r="54" spans="2:11" x14ac:dyDescent="0.25">
      <c r="C54" s="71">
        <v>4</v>
      </c>
      <c r="D54" s="108">
        <v>0</v>
      </c>
      <c r="H54" s="301">
        <v>45999</v>
      </c>
      <c r="I54" s="129" t="s">
        <v>175</v>
      </c>
      <c r="J54" s="162">
        <v>125</v>
      </c>
      <c r="K54" s="318">
        <f t="shared" si="4"/>
        <v>187.5</v>
      </c>
    </row>
    <row r="55" spans="2:11" x14ac:dyDescent="0.25">
      <c r="C55" s="71">
        <v>5</v>
      </c>
      <c r="D55" s="108">
        <v>14</v>
      </c>
      <c r="H55" s="301">
        <v>46005</v>
      </c>
      <c r="I55" s="129" t="s">
        <v>175</v>
      </c>
      <c r="J55" s="162">
        <v>49</v>
      </c>
      <c r="K55" s="318">
        <f t="shared" si="4"/>
        <v>73.5</v>
      </c>
    </row>
    <row r="56" spans="2:11" x14ac:dyDescent="0.25">
      <c r="C56" s="71">
        <v>6</v>
      </c>
      <c r="D56" s="108">
        <v>0</v>
      </c>
      <c r="H56" s="301">
        <v>46008</v>
      </c>
      <c r="I56" s="129" t="s">
        <v>175</v>
      </c>
      <c r="J56" s="162">
        <v>56</v>
      </c>
      <c r="K56" s="318">
        <f>+J56*1.5</f>
        <v>84</v>
      </c>
    </row>
    <row r="57" spans="2:11" x14ac:dyDescent="0.25">
      <c r="C57" s="71">
        <v>7</v>
      </c>
      <c r="D57" s="225" t="s">
        <v>153</v>
      </c>
      <c r="H57" s="359" t="s">
        <v>221</v>
      </c>
      <c r="I57" s="345"/>
      <c r="J57" s="199">
        <f>+J55</f>
        <v>49</v>
      </c>
      <c r="K57" s="346">
        <f>+J57*1.5</f>
        <v>73.5</v>
      </c>
    </row>
    <row r="58" spans="2:11" x14ac:dyDescent="0.25">
      <c r="C58" s="71">
        <v>8</v>
      </c>
      <c r="D58" s="225" t="s">
        <v>153</v>
      </c>
      <c r="H58" s="237" t="s">
        <v>197</v>
      </c>
      <c r="J58" s="162" t="s">
        <v>157</v>
      </c>
      <c r="K58" s="215" t="s">
        <v>92</v>
      </c>
    </row>
    <row r="59" spans="2:11" x14ac:dyDescent="0.25">
      <c r="D59" s="162"/>
      <c r="H59" s="301">
        <v>45970</v>
      </c>
      <c r="I59" s="129" t="s">
        <v>176</v>
      </c>
      <c r="J59" s="162">
        <v>3367</v>
      </c>
      <c r="K59" s="318">
        <f>+J59*0.025</f>
        <v>84.175000000000011</v>
      </c>
    </row>
    <row r="60" spans="2:11" x14ac:dyDescent="0.25">
      <c r="D60" s="162"/>
      <c r="H60" s="301">
        <v>45984</v>
      </c>
      <c r="I60" s="129" t="s">
        <v>175</v>
      </c>
      <c r="J60" s="162">
        <v>6792</v>
      </c>
      <c r="K60" s="318">
        <f>+J60*0.025</f>
        <v>169.8</v>
      </c>
    </row>
    <row r="61" spans="2:11" x14ac:dyDescent="0.25">
      <c r="D61" s="162"/>
      <c r="H61" s="301">
        <v>46006</v>
      </c>
      <c r="I61" s="129" t="s">
        <v>175</v>
      </c>
      <c r="J61" s="162">
        <v>5733</v>
      </c>
      <c r="K61" s="318">
        <f>+J61*0.025</f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f>+J62*0.025</f>
        <v>62.050000000000004</v>
      </c>
    </row>
    <row r="63" spans="2:11" x14ac:dyDescent="0.25">
      <c r="H63" s="359" t="s">
        <v>220</v>
      </c>
      <c r="I63" s="345"/>
      <c r="J63" s="200">
        <f>+J62</f>
        <v>2482</v>
      </c>
      <c r="K63" s="346">
        <f>+J63*0.025</f>
        <v>62.050000000000004</v>
      </c>
    </row>
    <row r="64" spans="2:11" x14ac:dyDescent="0.25">
      <c r="H64" s="237" t="s">
        <v>205</v>
      </c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f>+J65*1.5</f>
        <v>70.5</v>
      </c>
    </row>
    <row r="66" spans="8:11" x14ac:dyDescent="0.25">
      <c r="I66" s="129"/>
      <c r="K66" s="215"/>
    </row>
    <row r="67" spans="8:11" x14ac:dyDescent="0.25">
      <c r="H67" s="237" t="s">
        <v>167</v>
      </c>
      <c r="J67" s="162" t="s">
        <v>157</v>
      </c>
      <c r="K67" s="215" t="s">
        <v>92</v>
      </c>
    </row>
    <row r="68" spans="8:11" x14ac:dyDescent="0.25">
      <c r="H68" s="301">
        <v>45990</v>
      </c>
      <c r="I68" s="129" t="s">
        <v>176</v>
      </c>
      <c r="J68" s="68">
        <v>43</v>
      </c>
      <c r="K68" s="318">
        <f t="shared" ref="K68:K73" si="5">+J68*1.5</f>
        <v>64.5</v>
      </c>
    </row>
    <row r="69" spans="8:11" x14ac:dyDescent="0.25">
      <c r="H69" s="301">
        <v>45991</v>
      </c>
      <c r="I69" s="129" t="s">
        <v>175</v>
      </c>
      <c r="J69" s="68">
        <v>222</v>
      </c>
      <c r="K69" s="318">
        <f t="shared" si="5"/>
        <v>333</v>
      </c>
    </row>
    <row r="70" spans="8:11" x14ac:dyDescent="0.25">
      <c r="H70" s="301">
        <v>45991</v>
      </c>
      <c r="I70" s="129" t="s">
        <v>176</v>
      </c>
      <c r="J70" s="68">
        <v>199</v>
      </c>
      <c r="K70" s="318">
        <f t="shared" si="5"/>
        <v>298.5</v>
      </c>
    </row>
    <row r="71" spans="8:11" x14ac:dyDescent="0.25">
      <c r="H71" s="301">
        <v>45992</v>
      </c>
      <c r="I71" s="129" t="s">
        <v>175</v>
      </c>
      <c r="J71" s="68">
        <v>163</v>
      </c>
      <c r="K71" s="318">
        <f t="shared" si="5"/>
        <v>244.5</v>
      </c>
    </row>
    <row r="72" spans="8:11" x14ac:dyDescent="0.25">
      <c r="H72" s="301">
        <v>46005</v>
      </c>
      <c r="I72" s="129"/>
      <c r="J72" s="162">
        <v>519</v>
      </c>
      <c r="K72" s="318">
        <f t="shared" si="5"/>
        <v>778.5</v>
      </c>
    </row>
    <row r="73" spans="8:11" x14ac:dyDescent="0.25">
      <c r="H73" s="344"/>
      <c r="I73" s="345"/>
      <c r="J73" s="200">
        <f>+J72</f>
        <v>519</v>
      </c>
      <c r="K73" s="346">
        <f t="shared" si="5"/>
        <v>778.5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topLeftCell="A51" workbookViewId="0">
      <selection activeCell="A29" sqref="A29:K73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8.75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8.75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21.75" thickBot="1" x14ac:dyDescent="0.4">
      <c r="A4" s="164"/>
      <c r="B4" s="363"/>
      <c r="C4" s="363"/>
      <c r="D4" s="165">
        <f>D26</f>
        <v>9275.8889999999992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x14ac:dyDescent="0.25">
      <c r="A5" s="164"/>
      <c r="B5" s="168" t="s">
        <v>6</v>
      </c>
      <c r="C5" s="176">
        <v>1545</v>
      </c>
      <c r="D5" s="172">
        <v>65.94</v>
      </c>
      <c r="E5" s="80">
        <f>+D5/$D$4</f>
        <v>7.1087525950342878E-3</v>
      </c>
      <c r="F5" s="58" t="s">
        <v>51</v>
      </c>
      <c r="G5" s="59">
        <v>46006</v>
      </c>
      <c r="H5" s="190">
        <v>6792.0000000000009</v>
      </c>
      <c r="I5" s="141">
        <v>8609.5399999999991</v>
      </c>
      <c r="J5" s="60">
        <f t="shared" ref="J5:J12" si="0">+I5/H5</f>
        <v>1.2676001177856298</v>
      </c>
    </row>
    <row r="6" spans="1:10" x14ac:dyDescent="0.25">
      <c r="A6" s="164"/>
      <c r="B6" s="169" t="s">
        <v>10</v>
      </c>
      <c r="C6" s="177">
        <v>17215</v>
      </c>
      <c r="D6" s="173">
        <v>735.32299999999998</v>
      </c>
      <c r="E6" s="80">
        <f t="shared" ref="E6:E25" si="1">+D6/$D$4</f>
        <v>7.9272509621449772E-2</v>
      </c>
      <c r="F6" s="58" t="s">
        <v>52</v>
      </c>
      <c r="G6" s="59">
        <v>46007</v>
      </c>
      <c r="H6" s="190">
        <v>9263</v>
      </c>
      <c r="I6" s="141">
        <v>11558.318000000001</v>
      </c>
      <c r="J6" s="60">
        <f t="shared" si="0"/>
        <v>1.2477942351290081</v>
      </c>
    </row>
    <row r="7" spans="1:10" x14ac:dyDescent="0.25">
      <c r="A7" s="164"/>
      <c r="B7" s="169" t="s">
        <v>35</v>
      </c>
      <c r="C7" s="177">
        <v>22571</v>
      </c>
      <c r="D7" s="173">
        <v>962.05600000000015</v>
      </c>
      <c r="E7" s="245">
        <f t="shared" si="1"/>
        <v>0.1037157732266956</v>
      </c>
      <c r="F7" s="58" t="s">
        <v>53</v>
      </c>
      <c r="G7" s="59">
        <v>46008</v>
      </c>
      <c r="H7" s="190">
        <v>9781</v>
      </c>
      <c r="I7" s="141">
        <v>9780.6549999999988</v>
      </c>
      <c r="J7" s="60">
        <f t="shared" si="0"/>
        <v>0.99996472753297194</v>
      </c>
    </row>
    <row r="8" spans="1:10" x14ac:dyDescent="0.25">
      <c r="A8" s="164"/>
      <c r="B8" s="169" t="s">
        <v>4</v>
      </c>
      <c r="C8" s="177">
        <v>750</v>
      </c>
      <c r="D8" s="173">
        <v>32.01</v>
      </c>
      <c r="E8" s="80">
        <f t="shared" si="1"/>
        <v>3.4508821742045425E-3</v>
      </c>
      <c r="F8" s="58" t="s">
        <v>54</v>
      </c>
      <c r="G8" s="59">
        <v>46009</v>
      </c>
      <c r="H8" s="190">
        <v>9442</v>
      </c>
      <c r="I8" s="141">
        <v>9275.8889999999992</v>
      </c>
      <c r="J8" s="60">
        <f t="shared" si="0"/>
        <v>0.98240722304596473</v>
      </c>
    </row>
    <row r="9" spans="1:10" x14ac:dyDescent="0.25">
      <c r="A9" s="164"/>
      <c r="B9" s="169" t="s">
        <v>37</v>
      </c>
      <c r="C9" s="177">
        <v>48907</v>
      </c>
      <c r="D9" s="173">
        <v>2088.1760000000004</v>
      </c>
      <c r="E9" s="245">
        <f t="shared" si="1"/>
        <v>0.22511869212751473</v>
      </c>
      <c r="F9" s="58" t="s">
        <v>55</v>
      </c>
      <c r="G9" s="59">
        <v>46010</v>
      </c>
      <c r="H9" s="190">
        <v>8882</v>
      </c>
      <c r="I9" s="141"/>
      <c r="J9" s="60">
        <f t="shared" si="0"/>
        <v>0</v>
      </c>
    </row>
    <row r="10" spans="1:10" x14ac:dyDescent="0.25">
      <c r="A10" s="164"/>
      <c r="B10" s="169" t="s">
        <v>38</v>
      </c>
      <c r="C10" s="177">
        <v>49562</v>
      </c>
      <c r="D10" s="173">
        <v>2115.4839999999999</v>
      </c>
      <c r="E10" s="245">
        <f t="shared" si="1"/>
        <v>0.22806266871024439</v>
      </c>
      <c r="F10" s="58" t="s">
        <v>56</v>
      </c>
      <c r="G10" s="59">
        <v>46011</v>
      </c>
      <c r="H10" s="190">
        <v>7333.0000000000009</v>
      </c>
      <c r="I10" s="141"/>
      <c r="J10" s="60">
        <f t="shared" si="0"/>
        <v>0</v>
      </c>
    </row>
    <row r="11" spans="1:10" x14ac:dyDescent="0.25">
      <c r="A11" s="164"/>
      <c r="B11" s="169" t="s">
        <v>42</v>
      </c>
      <c r="C11" s="177">
        <v>13150</v>
      </c>
      <c r="D11" s="173">
        <v>560.66</v>
      </c>
      <c r="E11" s="80">
        <f t="shared" si="1"/>
        <v>6.0442724142128049E-2</v>
      </c>
      <c r="F11" s="58" t="s">
        <v>57</v>
      </c>
      <c r="G11" s="59">
        <v>46012</v>
      </c>
      <c r="H11" s="190">
        <v>5143</v>
      </c>
      <c r="I11" s="141"/>
      <c r="J11" s="60">
        <f t="shared" si="0"/>
        <v>0</v>
      </c>
    </row>
    <row r="12" spans="1:10" x14ac:dyDescent="0.25">
      <c r="A12" s="164"/>
      <c r="B12" s="169" t="s">
        <v>95</v>
      </c>
      <c r="C12" s="177">
        <v>1306</v>
      </c>
      <c r="D12" s="173">
        <v>33.049999999999997</v>
      </c>
      <c r="E12" s="80">
        <f t="shared" si="1"/>
        <v>3.5630008077931936E-3</v>
      </c>
      <c r="H12" s="139">
        <f>+SUM(H5:H11)</f>
        <v>56636</v>
      </c>
      <c r="I12" s="142">
        <f>+SUM(I5:I11)</f>
        <v>39224.402000000002</v>
      </c>
      <c r="J12" s="140">
        <f t="shared" si="0"/>
        <v>0.692570132071474</v>
      </c>
    </row>
    <row r="13" spans="1:10" x14ac:dyDescent="0.25">
      <c r="A13" s="164"/>
      <c r="B13" s="169" t="s">
        <v>41</v>
      </c>
      <c r="C13" s="177"/>
      <c r="D13" s="173"/>
      <c r="E13" s="80">
        <f t="shared" si="1"/>
        <v>0</v>
      </c>
      <c r="G13" s="113">
        <v>2024</v>
      </c>
      <c r="H13" s="113">
        <v>2025</v>
      </c>
      <c r="I13" s="71"/>
    </row>
    <row r="14" spans="1:10" x14ac:dyDescent="0.25">
      <c r="A14" s="164"/>
      <c r="B14" s="169" t="s">
        <v>39</v>
      </c>
      <c r="C14" s="177">
        <v>573</v>
      </c>
      <c r="D14" s="173">
        <v>864.84999999999991</v>
      </c>
      <c r="E14" s="80">
        <f t="shared" si="1"/>
        <v>9.3236346403024015E-2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x14ac:dyDescent="0.25">
      <c r="A15" s="164"/>
      <c r="B15" s="169" t="s">
        <v>43</v>
      </c>
      <c r="C15" s="177">
        <v>232</v>
      </c>
      <c r="D15" s="173">
        <v>350.04999999999995</v>
      </c>
      <c r="E15" s="80">
        <f t="shared" si="1"/>
        <v>3.773762277664168E-2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x14ac:dyDescent="0.25">
      <c r="A16" s="164"/>
      <c r="B16" s="169" t="s">
        <v>44</v>
      </c>
      <c r="C16" s="177">
        <v>21</v>
      </c>
      <c r="D16" s="173">
        <v>31.77</v>
      </c>
      <c r="E16" s="80">
        <f t="shared" si="1"/>
        <v>3.4250086433763923E-3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x14ac:dyDescent="0.25">
      <c r="A17" s="164"/>
      <c r="B17" s="169" t="s">
        <v>49</v>
      </c>
      <c r="C17" s="177">
        <v>87</v>
      </c>
      <c r="D17" s="173">
        <v>130.81</v>
      </c>
      <c r="E17" s="80">
        <f t="shared" si="1"/>
        <v>1.4102152365126406E-2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x14ac:dyDescent="0.25">
      <c r="A18" s="164"/>
      <c r="B18" s="169" t="s">
        <v>88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x14ac:dyDescent="0.25">
      <c r="A19" s="164"/>
      <c r="B19" s="169" t="s">
        <v>41</v>
      </c>
      <c r="C19" s="177">
        <v>197</v>
      </c>
      <c r="D19" s="173">
        <v>296.19</v>
      </c>
      <c r="E19" s="80">
        <f t="shared" si="1"/>
        <v>3.1931171233290957E-2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x14ac:dyDescent="0.25">
      <c r="A20" s="164"/>
      <c r="B20" s="169" t="s">
        <v>45</v>
      </c>
      <c r="C20" s="177">
        <v>23</v>
      </c>
      <c r="D20" s="173">
        <v>34.549999999999997</v>
      </c>
      <c r="E20" s="80">
        <f t="shared" si="1"/>
        <v>3.7247103754691328E-3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x14ac:dyDescent="0.25">
      <c r="A21" s="164"/>
      <c r="B21" s="169" t="s">
        <v>184</v>
      </c>
      <c r="C21" s="177"/>
      <c r="D21" s="173">
        <v>32.65</v>
      </c>
      <c r="E21" s="80">
        <f t="shared" si="1"/>
        <v>3.5198782564129436E-3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x14ac:dyDescent="0.25">
      <c r="A22" s="164"/>
      <c r="B22" s="169" t="s">
        <v>88</v>
      </c>
      <c r="C22" s="177">
        <v>40</v>
      </c>
      <c r="D22" s="173">
        <v>60.519999999999996</v>
      </c>
      <c r="E22" s="80">
        <f t="shared" si="1"/>
        <v>6.524442023831894E-3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x14ac:dyDescent="0.25">
      <c r="B23" s="169" t="s">
        <v>46</v>
      </c>
      <c r="C23" s="177"/>
      <c r="D23" s="173">
        <v>59.82</v>
      </c>
      <c r="E23" s="80">
        <f t="shared" si="1"/>
        <v>6.4489775589164555E-3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x14ac:dyDescent="0.25">
      <c r="B24" s="169" t="s">
        <v>9</v>
      </c>
      <c r="C24" s="177"/>
      <c r="D24" s="173">
        <v>60.480000000000004</v>
      </c>
      <c r="E24" s="80">
        <f t="shared" si="1"/>
        <v>6.5201297686938694E-3</v>
      </c>
      <c r="F24" s="112" t="s">
        <v>198</v>
      </c>
      <c r="G24" s="190">
        <v>215275.19500000001</v>
      </c>
      <c r="H24" s="272">
        <v>242524.66</v>
      </c>
      <c r="I24" s="98">
        <f>+H24/G24</f>
        <v>1.1265796786294864</v>
      </c>
      <c r="J24" s="108">
        <v>32010.999999999534</v>
      </c>
    </row>
    <row r="25" spans="1:10" ht="16.5" thickBot="1" x14ac:dyDescent="0.3">
      <c r="B25" s="169" t="s">
        <v>40</v>
      </c>
      <c r="C25" s="177"/>
      <c r="D25" s="173">
        <v>761.50000000000011</v>
      </c>
      <c r="E25" s="80">
        <f t="shared" si="1"/>
        <v>8.2094557190151823E-2</v>
      </c>
      <c r="F25" s="364" t="s">
        <v>199</v>
      </c>
      <c r="G25" s="190">
        <v>210045.58799999999</v>
      </c>
      <c r="H25" s="190">
        <f>+D27</f>
        <v>154504.617</v>
      </c>
      <c r="I25" s="98">
        <f t="shared" si="2"/>
        <v>0.73557658825949734</v>
      </c>
      <c r="J25" s="108"/>
    </row>
    <row r="26" spans="1:10" ht="16.5" thickBot="1" x14ac:dyDescent="0.3">
      <c r="B26" s="178" t="s">
        <v>0</v>
      </c>
      <c r="C26" s="170"/>
      <c r="D26" s="171">
        <f>SUM(D5:D25)</f>
        <v>9275.8889999999992</v>
      </c>
      <c r="E26" s="80"/>
      <c r="G26" s="365">
        <f>+SUM(G14:G25)</f>
        <v>2547596.0290000001</v>
      </c>
      <c r="H26" s="365">
        <f>+SUM(H14:H25)</f>
        <v>2524066.0579999997</v>
      </c>
      <c r="I26" s="98">
        <f>+H26/G26</f>
        <v>0.99076385316504179</v>
      </c>
      <c r="J26" s="108">
        <f>+H26-G26</f>
        <v>-23529.971000000369</v>
      </c>
    </row>
    <row r="27" spans="1:10" ht="16.5" thickBot="1" x14ac:dyDescent="0.3">
      <c r="B27" s="166" t="s">
        <v>1</v>
      </c>
      <c r="C27" s="167"/>
      <c r="D27" s="233">
        <v>154504.617</v>
      </c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+D27/G2</f>
        <v>0.70229941907562876</v>
      </c>
      <c r="F28" s="179"/>
      <c r="G28" s="179"/>
      <c r="J28" s="179"/>
    </row>
    <row r="29" spans="1:10" x14ac:dyDescent="0.25">
      <c r="D29" s="108">
        <f>+(G2/31)*18</f>
        <v>127740.89771588382</v>
      </c>
      <c r="E29" s="314">
        <f>+D29/G2</f>
        <v>0.58064516129032262</v>
      </c>
      <c r="F29" s="352"/>
    </row>
    <row r="30" spans="1:10" x14ac:dyDescent="0.25">
      <c r="D30" s="183">
        <f>+D27-D29</f>
        <v>26763.719284116174</v>
      </c>
      <c r="E30" s="99">
        <f>E28-E29</f>
        <v>0.12165425778530614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274</v>
      </c>
      <c r="D33" s="108">
        <v>2142</v>
      </c>
      <c r="E33" s="57">
        <f>+C33/D33</f>
        <v>0.12791783380018673</v>
      </c>
      <c r="G33" s="86" t="s">
        <v>86</v>
      </c>
      <c r="H33" s="87">
        <f>13407-1200</f>
        <v>12207</v>
      </c>
      <c r="I33" s="88">
        <f>+H33*0.025</f>
        <v>305.17500000000001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1457</v>
      </c>
      <c r="D34" s="108">
        <v>1890</v>
      </c>
      <c r="E34" s="57">
        <f>+C34/D34</f>
        <v>0.77089947089947086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650</v>
      </c>
      <c r="D35" s="108">
        <v>3006</v>
      </c>
      <c r="E35" s="57">
        <f>+C35/D35</f>
        <v>0.21623419827012641</v>
      </c>
      <c r="G35" s="89" t="s">
        <v>169</v>
      </c>
      <c r="H35" s="87">
        <v>337</v>
      </c>
      <c r="I35" s="88">
        <f>+H35*1.5</f>
        <v>505.5</v>
      </c>
      <c r="J35" s="298">
        <f>+I35+I33</f>
        <v>810.67499999999995</v>
      </c>
    </row>
    <row r="36" spans="1:11" x14ac:dyDescent="0.25">
      <c r="C36" s="162">
        <f>+SUM(C33:C35)</f>
        <v>2381</v>
      </c>
      <c r="D36" s="110">
        <f>+SUM(D33:D35)</f>
        <v>7038</v>
      </c>
      <c r="E36" s="57">
        <f>+C36/D36</f>
        <v>0.33830633702756463</v>
      </c>
      <c r="G36" s="89" t="s">
        <v>168</v>
      </c>
      <c r="H36" s="87">
        <v>55</v>
      </c>
      <c r="I36" s="88">
        <f>+H36*1.5</f>
        <v>82.5</v>
      </c>
      <c r="J36" s="228" t="s">
        <v>193</v>
      </c>
    </row>
    <row r="37" spans="1:11" x14ac:dyDescent="0.25">
      <c r="G37" s="231" t="s">
        <v>123</v>
      </c>
      <c r="H37" s="138">
        <f>274-1</f>
        <v>273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51</v>
      </c>
      <c r="C40" s="74">
        <v>2</v>
      </c>
      <c r="D40" s="74">
        <v>17</v>
      </c>
      <c r="E40" s="75">
        <f>+SUM(B40:D40)</f>
        <v>70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A42" s="147"/>
      <c r="B42" s="147" t="s">
        <v>214</v>
      </c>
      <c r="C42" s="147" t="s">
        <v>215</v>
      </c>
      <c r="D42" s="147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1</v>
      </c>
      <c r="C43" s="199">
        <v>1588</v>
      </c>
      <c r="D43" s="200">
        <v>2400</v>
      </c>
      <c r="E43" s="201">
        <f t="shared" ref="E43:E48" si="3">+C43/D43</f>
        <v>0.66166666666666663</v>
      </c>
      <c r="F43" s="201">
        <f>+B43/24</f>
        <v>4.1666666666666664E-2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13.28</v>
      </c>
      <c r="C44" s="199">
        <v>1658</v>
      </c>
      <c r="D44" s="200">
        <v>3600</v>
      </c>
      <c r="E44" s="201">
        <f t="shared" si="3"/>
        <v>0.46055555555555555</v>
      </c>
      <c r="F44" s="201">
        <f>+B44/14</f>
        <v>0.94857142857142851</v>
      </c>
      <c r="G44" s="202">
        <v>12</v>
      </c>
      <c r="H44" s="71"/>
    </row>
    <row r="45" spans="1:11" x14ac:dyDescent="0.25">
      <c r="A45" s="207" t="s">
        <v>72</v>
      </c>
      <c r="B45" s="199">
        <v>11.29</v>
      </c>
      <c r="C45" s="199">
        <v>1054</v>
      </c>
      <c r="D45" s="200">
        <v>3900</v>
      </c>
      <c r="E45" s="201">
        <f t="shared" si="3"/>
        <v>0.27025641025641023</v>
      </c>
      <c r="F45" s="201">
        <f>+B45/14</f>
        <v>0.80642857142857138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13.16</v>
      </c>
      <c r="C46" s="199">
        <v>2617</v>
      </c>
      <c r="D46" s="200">
        <v>3900</v>
      </c>
      <c r="E46" s="201">
        <f t="shared" si="3"/>
        <v>0.671025641025641</v>
      </c>
      <c r="F46" s="201">
        <f>+B46/20</f>
        <v>0.65800000000000003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6" si="4">+J46*1.5</f>
        <v>214.5</v>
      </c>
    </row>
    <row r="47" spans="1:11" x14ac:dyDescent="0.25">
      <c r="A47" s="207" t="s">
        <v>74</v>
      </c>
      <c r="B47" s="199">
        <v>5.9</v>
      </c>
      <c r="C47" s="199">
        <v>2278</v>
      </c>
      <c r="D47" s="200">
        <v>3900</v>
      </c>
      <c r="E47" s="201">
        <f t="shared" si="3"/>
        <v>0.58410256410256411</v>
      </c>
      <c r="F47" s="201">
        <f>+B47/20</f>
        <v>0.29500000000000004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4"/>
        <v>37.5</v>
      </c>
    </row>
    <row r="48" spans="1:11" x14ac:dyDescent="0.25">
      <c r="A48" s="259" t="s">
        <v>75</v>
      </c>
      <c r="B48" s="260">
        <v>16.170000000000002</v>
      </c>
      <c r="C48" s="261">
        <v>3098</v>
      </c>
      <c r="D48" s="262">
        <v>4300</v>
      </c>
      <c r="E48" s="263">
        <f t="shared" si="3"/>
        <v>0.72046511627906973</v>
      </c>
      <c r="F48" s="201">
        <f>+B48/20</f>
        <v>0.80850000000000011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4"/>
        <v>42</v>
      </c>
    </row>
    <row r="49" spans="2:11" x14ac:dyDescent="0.25">
      <c r="B49" s="113">
        <f>+SUM(B43:B48)</f>
        <v>60.800000000000004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4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4"/>
        <v>99</v>
      </c>
    </row>
    <row r="51" spans="2:11" x14ac:dyDescent="0.25">
      <c r="C51" s="71">
        <v>1</v>
      </c>
      <c r="D51" s="225" t="s">
        <v>153</v>
      </c>
      <c r="H51" s="301">
        <v>45991</v>
      </c>
      <c r="I51" s="129" t="s">
        <v>175</v>
      </c>
      <c r="J51" s="162">
        <v>47</v>
      </c>
      <c r="K51" s="318">
        <f t="shared" si="4"/>
        <v>70.5</v>
      </c>
    </row>
    <row r="52" spans="2:11" x14ac:dyDescent="0.25">
      <c r="C52" s="71">
        <v>2</v>
      </c>
      <c r="D52" s="225" t="s">
        <v>153</v>
      </c>
      <c r="H52" s="360">
        <v>45998</v>
      </c>
      <c r="I52" s="332" t="s">
        <v>175</v>
      </c>
      <c r="J52" s="333">
        <v>35</v>
      </c>
      <c r="K52" s="361">
        <f t="shared" si="4"/>
        <v>52.5</v>
      </c>
    </row>
    <row r="53" spans="2:11" x14ac:dyDescent="0.25">
      <c r="C53" s="71">
        <v>3</v>
      </c>
      <c r="D53" s="225" t="s">
        <v>154</v>
      </c>
      <c r="H53" s="301">
        <v>45998</v>
      </c>
      <c r="I53" s="129" t="s">
        <v>176</v>
      </c>
      <c r="J53" s="162">
        <v>76</v>
      </c>
      <c r="K53" s="318">
        <f t="shared" si="4"/>
        <v>114</v>
      </c>
    </row>
    <row r="54" spans="2:11" x14ac:dyDescent="0.25">
      <c r="C54" s="71">
        <v>4</v>
      </c>
      <c r="D54" s="108">
        <v>0</v>
      </c>
      <c r="H54" s="301">
        <v>45999</v>
      </c>
      <c r="I54" s="129" t="s">
        <v>175</v>
      </c>
      <c r="J54" s="162">
        <v>125</v>
      </c>
      <c r="K54" s="318">
        <f t="shared" si="4"/>
        <v>187.5</v>
      </c>
    </row>
    <row r="55" spans="2:11" x14ac:dyDescent="0.25">
      <c r="C55" s="71">
        <v>5</v>
      </c>
      <c r="D55" s="108">
        <v>8</v>
      </c>
      <c r="H55" s="301">
        <v>46005</v>
      </c>
      <c r="I55" s="129" t="s">
        <v>175</v>
      </c>
      <c r="J55" s="162">
        <v>49</v>
      </c>
      <c r="K55" s="318">
        <f t="shared" si="4"/>
        <v>73.5</v>
      </c>
    </row>
    <row r="56" spans="2:11" x14ac:dyDescent="0.25">
      <c r="C56" s="71">
        <v>6</v>
      </c>
      <c r="D56" s="108">
        <v>0</v>
      </c>
      <c r="H56" s="301">
        <v>46008</v>
      </c>
      <c r="I56" s="129" t="s">
        <v>175</v>
      </c>
      <c r="J56" s="162">
        <v>56</v>
      </c>
      <c r="K56" s="318">
        <f t="shared" si="4"/>
        <v>84</v>
      </c>
    </row>
    <row r="57" spans="2:11" x14ac:dyDescent="0.25">
      <c r="C57" s="71">
        <v>7</v>
      </c>
      <c r="D57" s="225" t="s">
        <v>153</v>
      </c>
      <c r="H57" s="359" t="s">
        <v>221</v>
      </c>
      <c r="I57" s="345"/>
      <c r="J57" s="199">
        <f>+J55</f>
        <v>49</v>
      </c>
      <c r="K57" s="346">
        <f>+J57*1.5</f>
        <v>73.5</v>
      </c>
    </row>
    <row r="58" spans="2:11" x14ac:dyDescent="0.25">
      <c r="C58" s="71">
        <v>8</v>
      </c>
      <c r="D58" s="225" t="s">
        <v>153</v>
      </c>
      <c r="H58" s="237" t="s">
        <v>197</v>
      </c>
      <c r="J58" s="162" t="s">
        <v>157</v>
      </c>
      <c r="K58" s="215" t="s">
        <v>92</v>
      </c>
    </row>
    <row r="59" spans="2:11" x14ac:dyDescent="0.25">
      <c r="D59" s="162"/>
      <c r="H59" s="301">
        <v>45970</v>
      </c>
      <c r="I59" s="129" t="s">
        <v>176</v>
      </c>
      <c r="J59" s="162">
        <v>3367</v>
      </c>
      <c r="K59" s="318">
        <f>+J59*0.025</f>
        <v>84.175000000000011</v>
      </c>
    </row>
    <row r="60" spans="2:11" x14ac:dyDescent="0.25">
      <c r="D60" s="162"/>
      <c r="H60" s="301">
        <v>45984</v>
      </c>
      <c r="I60" s="129" t="s">
        <v>175</v>
      </c>
      <c r="J60" s="162">
        <v>6792</v>
      </c>
      <c r="K60" s="318">
        <f>+J60*0.025</f>
        <v>169.8</v>
      </c>
    </row>
    <row r="61" spans="2:11" x14ac:dyDescent="0.25">
      <c r="D61" s="162"/>
      <c r="H61" s="301">
        <v>46006</v>
      </c>
      <c r="I61" s="129" t="s">
        <v>175</v>
      </c>
      <c r="J61" s="162">
        <v>5733</v>
      </c>
      <c r="K61" s="318">
        <f>+J61*0.025</f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f>+J62*0.025</f>
        <v>62.050000000000004</v>
      </c>
    </row>
    <row r="63" spans="2:11" x14ac:dyDescent="0.25">
      <c r="H63" s="359" t="s">
        <v>220</v>
      </c>
      <c r="I63" s="345"/>
      <c r="J63" s="200">
        <f>+J62</f>
        <v>2482</v>
      </c>
      <c r="K63" s="346">
        <f>+J63*0.025</f>
        <v>62.050000000000004</v>
      </c>
    </row>
    <row r="64" spans="2:11" x14ac:dyDescent="0.25">
      <c r="H64" s="237" t="s">
        <v>205</v>
      </c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f>+J65*1.5</f>
        <v>70.5</v>
      </c>
    </row>
    <row r="66" spans="8:11" x14ac:dyDescent="0.25">
      <c r="I66" s="129"/>
      <c r="K66" s="215"/>
    </row>
    <row r="67" spans="8:11" x14ac:dyDescent="0.25">
      <c r="H67" s="237" t="s">
        <v>167</v>
      </c>
      <c r="J67" s="162" t="s">
        <v>157</v>
      </c>
      <c r="K67" s="215" t="s">
        <v>92</v>
      </c>
    </row>
    <row r="68" spans="8:11" x14ac:dyDescent="0.25">
      <c r="H68" s="301">
        <v>45990</v>
      </c>
      <c r="I68" s="129" t="s">
        <v>176</v>
      </c>
      <c r="J68" s="68">
        <v>43</v>
      </c>
      <c r="K68" s="318">
        <f t="shared" ref="K68:K73" si="5">+J68*1.5</f>
        <v>64.5</v>
      </c>
    </row>
    <row r="69" spans="8:11" x14ac:dyDescent="0.25">
      <c r="H69" s="301">
        <v>45991</v>
      </c>
      <c r="I69" s="129" t="s">
        <v>175</v>
      </c>
      <c r="J69" s="68">
        <v>222</v>
      </c>
      <c r="K69" s="318">
        <f t="shared" si="5"/>
        <v>333</v>
      </c>
    </row>
    <row r="70" spans="8:11" x14ac:dyDescent="0.25">
      <c r="H70" s="301">
        <v>45991</v>
      </c>
      <c r="I70" s="129" t="s">
        <v>176</v>
      </c>
      <c r="J70" s="68">
        <v>199</v>
      </c>
      <c r="K70" s="318">
        <f t="shared" si="5"/>
        <v>298.5</v>
      </c>
    </row>
    <row r="71" spans="8:11" x14ac:dyDescent="0.25">
      <c r="H71" s="301">
        <v>45992</v>
      </c>
      <c r="I71" s="129" t="s">
        <v>175</v>
      </c>
      <c r="J71" s="68">
        <v>163</v>
      </c>
      <c r="K71" s="318">
        <f t="shared" si="5"/>
        <v>244.5</v>
      </c>
    </row>
    <row r="72" spans="8:11" x14ac:dyDescent="0.25">
      <c r="H72" s="301">
        <v>46005</v>
      </c>
      <c r="I72" s="129"/>
      <c r="J72" s="162">
        <v>519</v>
      </c>
      <c r="K72" s="318">
        <f t="shared" si="5"/>
        <v>778.5</v>
      </c>
    </row>
    <row r="73" spans="8:11" x14ac:dyDescent="0.25">
      <c r="H73" s="344"/>
      <c r="I73" s="345"/>
      <c r="J73" s="200">
        <f>+J72</f>
        <v>519</v>
      </c>
      <c r="K73" s="346">
        <f t="shared" si="5"/>
        <v>778.5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topLeftCell="A40" workbookViewId="0">
      <selection activeCell="A29" sqref="A29:K73"/>
    </sheetView>
  </sheetViews>
  <sheetFormatPr baseColWidth="10" defaultColWidth="11.42578125" defaultRowHeight="15.75" x14ac:dyDescent="0.25"/>
  <cols>
    <col min="1" max="1" width="2.42578125" style="162" customWidth="1"/>
    <col min="2" max="2" width="42.140625" style="162" customWidth="1"/>
    <col min="3" max="3" width="13.28515625" style="162" customWidth="1"/>
    <col min="4" max="4" width="14.5703125" style="163" customWidth="1"/>
    <col min="5" max="5" width="20.5703125" style="162" customWidth="1"/>
    <col min="6" max="7" width="11.42578125" style="162"/>
    <col min="8" max="8" width="17.42578125" style="162" bestFit="1" customWidth="1"/>
    <col min="9" max="10" width="11.42578125" style="162"/>
    <col min="11" max="11" width="8" style="162" bestFit="1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66"/>
      <c r="C4" s="366"/>
      <c r="D4" s="165">
        <f>D22</f>
        <v>5104.5209999999997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3130</v>
      </c>
      <c r="D5" s="172">
        <v>133.69399999999999</v>
      </c>
      <c r="E5" s="80">
        <f>+D5/$D$4</f>
        <v>2.6191291993901092E-2</v>
      </c>
      <c r="F5" s="58" t="s">
        <v>51</v>
      </c>
      <c r="G5" s="59">
        <v>46006</v>
      </c>
      <c r="H5" s="190">
        <v>6792.0000000000009</v>
      </c>
      <c r="I5" s="141">
        <v>8609.5399999999991</v>
      </c>
      <c r="J5" s="60">
        <f t="shared" ref="J5:J12" si="0">+I5/H5</f>
        <v>1.2676001177856298</v>
      </c>
    </row>
    <row r="6" spans="1:10" ht="15" customHeight="1" x14ac:dyDescent="0.25">
      <c r="A6" s="164"/>
      <c r="B6" s="169" t="s">
        <v>10</v>
      </c>
      <c r="C6" s="177">
        <v>7945</v>
      </c>
      <c r="D6" s="173">
        <v>339.149</v>
      </c>
      <c r="E6" s="80">
        <f t="shared" ref="E6:E21" si="1">+D6/$D$4</f>
        <v>6.6440906012532816E-2</v>
      </c>
      <c r="F6" s="58" t="s">
        <v>52</v>
      </c>
      <c r="G6" s="59">
        <v>46007</v>
      </c>
      <c r="H6" s="190">
        <v>9263</v>
      </c>
      <c r="I6" s="141">
        <v>11558.318000000001</v>
      </c>
      <c r="J6" s="60">
        <f t="shared" si="0"/>
        <v>1.2477942351290081</v>
      </c>
    </row>
    <row r="7" spans="1:10" ht="15" customHeight="1" x14ac:dyDescent="0.25">
      <c r="A7" s="164"/>
      <c r="B7" s="169" t="s">
        <v>35</v>
      </c>
      <c r="C7" s="177">
        <v>13029</v>
      </c>
      <c r="D7" s="173">
        <v>555.11199999999997</v>
      </c>
      <c r="E7" s="245">
        <f t="shared" si="1"/>
        <v>0.10874908732866413</v>
      </c>
      <c r="F7" s="58" t="s">
        <v>53</v>
      </c>
      <c r="G7" s="59">
        <v>46008</v>
      </c>
      <c r="H7" s="190">
        <v>9781</v>
      </c>
      <c r="I7" s="141">
        <v>9780.6549999999988</v>
      </c>
      <c r="J7" s="60">
        <f t="shared" si="0"/>
        <v>0.99996472753297194</v>
      </c>
    </row>
    <row r="8" spans="1:10" ht="15" customHeight="1" x14ac:dyDescent="0.25">
      <c r="A8" s="164"/>
      <c r="B8" s="169" t="s">
        <v>4</v>
      </c>
      <c r="C8" s="177">
        <v>2530</v>
      </c>
      <c r="D8" s="173">
        <v>108</v>
      </c>
      <c r="E8" s="80">
        <f t="shared" si="1"/>
        <v>2.1157714896265487E-2</v>
      </c>
      <c r="F8" s="58" t="s">
        <v>54</v>
      </c>
      <c r="G8" s="59">
        <v>46009</v>
      </c>
      <c r="H8" s="190">
        <v>9442</v>
      </c>
      <c r="I8" s="141">
        <v>9275.8889999999992</v>
      </c>
      <c r="J8" s="60">
        <f t="shared" si="0"/>
        <v>0.98240722304596473</v>
      </c>
    </row>
    <row r="9" spans="1:10" ht="15" customHeight="1" x14ac:dyDescent="0.25">
      <c r="A9" s="164"/>
      <c r="B9" s="169" t="s">
        <v>37</v>
      </c>
      <c r="C9" s="177">
        <v>14446</v>
      </c>
      <c r="D9" s="173">
        <v>616.34799999999996</v>
      </c>
      <c r="E9" s="245">
        <f t="shared" si="1"/>
        <v>0.12074551167484666</v>
      </c>
      <c r="F9" s="58" t="s">
        <v>55</v>
      </c>
      <c r="G9" s="59">
        <v>46010</v>
      </c>
      <c r="H9" s="190">
        <v>8882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20784</v>
      </c>
      <c r="D10" s="173">
        <v>886.72799999999995</v>
      </c>
      <c r="E10" s="245">
        <f t="shared" si="1"/>
        <v>0.17371424272718244</v>
      </c>
      <c r="F10" s="58" t="s">
        <v>56</v>
      </c>
      <c r="G10" s="59">
        <v>46011</v>
      </c>
      <c r="H10" s="190">
        <v>7333.0000000000009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5540</v>
      </c>
      <c r="D11" s="173">
        <v>236.36199999999999</v>
      </c>
      <c r="E11" s="80">
        <f t="shared" si="1"/>
        <v>4.6304442669547252E-2</v>
      </c>
      <c r="F11" s="58" t="s">
        <v>57</v>
      </c>
      <c r="G11" s="59">
        <v>46012</v>
      </c>
      <c r="H11" s="190">
        <v>5143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196</v>
      </c>
      <c r="C12" s="177">
        <v>5328</v>
      </c>
      <c r="D12" s="173">
        <v>133.99</v>
      </c>
      <c r="E12" s="80">
        <f t="shared" si="1"/>
        <v>2.624927980509827E-2</v>
      </c>
      <c r="H12" s="139">
        <f>+SUM(H5:H11)</f>
        <v>56636</v>
      </c>
      <c r="I12" s="142">
        <f>+SUM(I5:I11)</f>
        <v>39224.402000000002</v>
      </c>
      <c r="J12" s="140">
        <f t="shared" si="0"/>
        <v>0.692570132071474</v>
      </c>
    </row>
    <row r="13" spans="1:10" ht="15" customHeight="1" x14ac:dyDescent="0.25">
      <c r="A13" s="164"/>
      <c r="B13" s="169" t="s">
        <v>34</v>
      </c>
      <c r="C13" s="177">
        <v>1224</v>
      </c>
      <c r="D13" s="173">
        <v>30.8</v>
      </c>
      <c r="E13" s="80">
        <f t="shared" si="1"/>
        <v>6.0338668407868244E-3</v>
      </c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24</v>
      </c>
      <c r="D14" s="173">
        <v>36.29</v>
      </c>
      <c r="E14" s="80">
        <f t="shared" si="1"/>
        <v>7.1093840146803202E-3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587</v>
      </c>
      <c r="D15" s="173">
        <v>886.524</v>
      </c>
      <c r="E15" s="245">
        <f t="shared" si="1"/>
        <v>0.1736742781546006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337</v>
      </c>
      <c r="D16" s="173">
        <v>509.78</v>
      </c>
      <c r="E16" s="245">
        <f t="shared" si="1"/>
        <v>9.9868332405724264E-2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41</v>
      </c>
      <c r="C17" s="177">
        <v>28</v>
      </c>
      <c r="D17" s="173">
        <v>42.103999999999999</v>
      </c>
      <c r="E17" s="80">
        <f t="shared" si="1"/>
        <v>8.2483743332626112E-3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49</v>
      </c>
      <c r="C18" s="177">
        <v>65</v>
      </c>
      <c r="D18" s="173">
        <v>97.73</v>
      </c>
      <c r="E18" s="80">
        <f t="shared" si="1"/>
        <v>1.9145772933444688E-2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40</v>
      </c>
      <c r="C19" s="177"/>
      <c r="D19" s="173">
        <v>336.62</v>
      </c>
      <c r="E19" s="80">
        <f t="shared" si="1"/>
        <v>6.5945462855378598E-2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9</v>
      </c>
      <c r="C20" s="177"/>
      <c r="D20" s="173">
        <v>122.95</v>
      </c>
      <c r="E20" s="80">
        <f t="shared" si="1"/>
        <v>2.4086491171257794E-2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thickBot="1" x14ac:dyDescent="0.3">
      <c r="A21" s="164"/>
      <c r="B21" s="169" t="s">
        <v>184</v>
      </c>
      <c r="C21" s="177"/>
      <c r="D21" s="173">
        <v>32.340000000000003</v>
      </c>
      <c r="E21" s="80">
        <f t="shared" si="1"/>
        <v>6.3355601828261662E-3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thickBot="1" x14ac:dyDescent="0.3">
      <c r="B22" s="178" t="s">
        <v>0</v>
      </c>
      <c r="C22" s="170"/>
      <c r="D22" s="171">
        <f>SUM(D5:D21)</f>
        <v>5104.5209999999997</v>
      </c>
      <c r="E22" s="80">
        <f>+D22/$D$4</f>
        <v>1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6" t="s">
        <v>1</v>
      </c>
      <c r="C23" s="167"/>
      <c r="D23" s="233">
        <v>177571.50200000001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x14ac:dyDescent="0.25">
      <c r="E24" s="80"/>
      <c r="F24" s="112" t="s">
        <v>198</v>
      </c>
      <c r="G24" s="190">
        <v>215275.19500000001</v>
      </c>
      <c r="H24" s="272">
        <v>242524.66</v>
      </c>
      <c r="I24" s="98">
        <f>+H24/G24</f>
        <v>1.1265796786294864</v>
      </c>
      <c r="J24" s="108">
        <v>32010.999999999502</v>
      </c>
    </row>
    <row r="25" spans="1:10" x14ac:dyDescent="0.25">
      <c r="E25" s="80"/>
      <c r="F25" s="364" t="s">
        <v>199</v>
      </c>
      <c r="G25" s="190">
        <v>210045.58799999999</v>
      </c>
      <c r="H25" s="190">
        <f>+D23</f>
        <v>177571.50200000001</v>
      </c>
      <c r="I25" s="98">
        <f t="shared" si="2"/>
        <v>0.84539505776241308</v>
      </c>
      <c r="J25" s="108"/>
    </row>
    <row r="26" spans="1:10" x14ac:dyDescent="0.25">
      <c r="E26" s="80"/>
      <c r="G26" s="365">
        <f>+SUM(G14:G25)</f>
        <v>2547596.0290000001</v>
      </c>
      <c r="H26" s="365">
        <f>+SUM(H14:H25)</f>
        <v>2547132.9429999995</v>
      </c>
      <c r="I26" s="98">
        <f>+H26/G26</f>
        <v>0.999818226282845</v>
      </c>
      <c r="J26" s="108">
        <f>+H26-G26</f>
        <v>-463.08600000059232</v>
      </c>
    </row>
    <row r="27" spans="1:10" ht="16.5" thickBot="1" x14ac:dyDescent="0.3"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+D23/G2</f>
        <v>0.80714974814627616</v>
      </c>
      <c r="F28" s="179"/>
      <c r="G28" s="179" t="s">
        <v>222</v>
      </c>
      <c r="H28" s="68">
        <f>+SUM(H14:H24)+G2</f>
        <v>2589559.6537329108</v>
      </c>
      <c r="I28" s="68">
        <f>+H28-H26</f>
        <v>42426.710732911248</v>
      </c>
      <c r="J28" s="179"/>
    </row>
    <row r="29" spans="1:10" x14ac:dyDescent="0.25">
      <c r="D29" s="108">
        <f>+(G2/31)*21</f>
        <v>149031.0473351978</v>
      </c>
      <c r="E29" s="314">
        <f>+D29/G2</f>
        <v>0.67741935483870974</v>
      </c>
      <c r="F29" s="352"/>
      <c r="G29" s="162" t="s">
        <v>223</v>
      </c>
      <c r="H29" s="68">
        <f>+D23-G2</f>
        <v>-42426.710732911015</v>
      </c>
    </row>
    <row r="30" spans="1:10" x14ac:dyDescent="0.25">
      <c r="D30" s="183">
        <f>+D23-D29</f>
        <v>28540.454664802208</v>
      </c>
      <c r="E30" s="99">
        <f>E28-E29</f>
        <v>0.12973039330756642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544</v>
      </c>
      <c r="D33" s="108">
        <v>2142</v>
      </c>
      <c r="E33" s="57">
        <f>+C33/D33</f>
        <v>0.25396825396825395</v>
      </c>
      <c r="G33" s="86" t="s">
        <v>86</v>
      </c>
      <c r="H33" s="87">
        <v>20331</v>
      </c>
      <c r="I33" s="88">
        <f>+H33*0.025</f>
        <v>508.27500000000003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1430</v>
      </c>
      <c r="D34" s="108">
        <v>1890</v>
      </c>
      <c r="E34" s="57">
        <f>+C34/D34</f>
        <v>0.75661375661375663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887</v>
      </c>
      <c r="D35" s="108">
        <v>3006</v>
      </c>
      <c r="E35" s="57">
        <f>+C35/D35</f>
        <v>0.29507651363938792</v>
      </c>
      <c r="G35" s="89" t="s">
        <v>169</v>
      </c>
      <c r="H35" s="87">
        <v>346</v>
      </c>
      <c r="I35" s="88">
        <f>+H35*1.5</f>
        <v>519</v>
      </c>
      <c r="J35" s="298">
        <f>+I35+I33</f>
        <v>1027.2750000000001</v>
      </c>
    </row>
    <row r="36" spans="1:11" x14ac:dyDescent="0.25">
      <c r="C36" s="162">
        <f>+SUM(C33:C35)</f>
        <v>2861</v>
      </c>
      <c r="D36" s="110">
        <f>+SUM(D33:D35)</f>
        <v>7038</v>
      </c>
      <c r="E36" s="57">
        <f>+C36/D36</f>
        <v>0.40650753054845129</v>
      </c>
      <c r="G36" s="89" t="s">
        <v>168</v>
      </c>
      <c r="H36" s="87">
        <v>49</v>
      </c>
      <c r="I36" s="88">
        <f>+H36*1.5</f>
        <v>73.5</v>
      </c>
      <c r="J36" s="228" t="s">
        <v>193</v>
      </c>
    </row>
    <row r="37" spans="1:11" x14ac:dyDescent="0.25">
      <c r="G37" s="231" t="s">
        <v>123</v>
      </c>
      <c r="H37" s="138">
        <f>274-1</f>
        <v>273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22</v>
      </c>
      <c r="C40" s="74">
        <v>0</v>
      </c>
      <c r="D40" s="74">
        <v>3</v>
      </c>
      <c r="E40" s="75">
        <f>+SUM(B40:D40)</f>
        <v>25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A42" s="147"/>
      <c r="B42" s="147" t="s">
        <v>214</v>
      </c>
      <c r="C42" s="147" t="s">
        <v>215</v>
      </c>
      <c r="D42" s="147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2.6</v>
      </c>
      <c r="C43" s="199">
        <v>5676</v>
      </c>
      <c r="D43" s="200">
        <v>2400</v>
      </c>
      <c r="E43" s="201">
        <f t="shared" ref="E43:E48" si="3">+C43/D43</f>
        <v>2.3650000000000002</v>
      </c>
      <c r="F43" s="201">
        <f>+B43/24</f>
        <v>0.10833333333333334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6.93</v>
      </c>
      <c r="C44" s="199">
        <v>1349</v>
      </c>
      <c r="D44" s="200">
        <v>3600</v>
      </c>
      <c r="E44" s="201">
        <f t="shared" si="3"/>
        <v>0.37472222222222223</v>
      </c>
      <c r="F44" s="201">
        <f>+B44/14</f>
        <v>0.495</v>
      </c>
      <c r="G44" s="202">
        <v>12</v>
      </c>
      <c r="H44" s="71"/>
    </row>
    <row r="45" spans="1:11" x14ac:dyDescent="0.25">
      <c r="A45" s="207" t="s">
        <v>72</v>
      </c>
      <c r="B45" s="199">
        <v>6.31</v>
      </c>
      <c r="C45" s="199">
        <v>1439</v>
      </c>
      <c r="D45" s="200">
        <v>3900</v>
      </c>
      <c r="E45" s="201">
        <f t="shared" si="3"/>
        <v>0.36897435897435898</v>
      </c>
      <c r="F45" s="201">
        <f>+B45/14</f>
        <v>0.45071428571428568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3.04</v>
      </c>
      <c r="C46" s="199">
        <v>2551</v>
      </c>
      <c r="D46" s="200">
        <v>3900</v>
      </c>
      <c r="E46" s="201">
        <f t="shared" si="3"/>
        <v>0.65410256410256407</v>
      </c>
      <c r="F46" s="201">
        <f>+B46/20</f>
        <v>0.152</v>
      </c>
      <c r="G46" s="202">
        <v>12</v>
      </c>
      <c r="H46" s="301">
        <v>45969</v>
      </c>
      <c r="I46" s="129" t="s">
        <v>175</v>
      </c>
      <c r="J46" s="162">
        <v>143</v>
      </c>
      <c r="K46" s="318">
        <f t="shared" ref="K46:K56" si="4">+J46*1.5</f>
        <v>214.5</v>
      </c>
    </row>
    <row r="47" spans="1:11" x14ac:dyDescent="0.25">
      <c r="A47" s="207" t="s">
        <v>74</v>
      </c>
      <c r="B47" s="199">
        <v>7.71</v>
      </c>
      <c r="C47" s="199">
        <v>2432</v>
      </c>
      <c r="D47" s="200">
        <v>3900</v>
      </c>
      <c r="E47" s="201">
        <f t="shared" si="3"/>
        <v>0.62358974358974362</v>
      </c>
      <c r="F47" s="201">
        <f>+B47/20</f>
        <v>0.38550000000000001</v>
      </c>
      <c r="G47" s="202">
        <v>12</v>
      </c>
      <c r="H47" s="301">
        <v>45969</v>
      </c>
      <c r="I47" s="129" t="s">
        <v>176</v>
      </c>
      <c r="J47" s="162">
        <v>25</v>
      </c>
      <c r="K47" s="318">
        <f t="shared" si="4"/>
        <v>37.5</v>
      </c>
    </row>
    <row r="48" spans="1:11" x14ac:dyDescent="0.25">
      <c r="A48" s="259" t="s">
        <v>75</v>
      </c>
      <c r="B48" s="260">
        <v>7.62</v>
      </c>
      <c r="C48" s="261">
        <v>2943</v>
      </c>
      <c r="D48" s="262">
        <v>4300</v>
      </c>
      <c r="E48" s="263">
        <f t="shared" si="3"/>
        <v>0.68441860465116278</v>
      </c>
      <c r="F48" s="201">
        <f>+B48/20</f>
        <v>0.38100000000000001</v>
      </c>
      <c r="G48" s="202">
        <v>16</v>
      </c>
      <c r="H48" s="301">
        <v>45986</v>
      </c>
      <c r="I48" s="129" t="s">
        <v>175</v>
      </c>
      <c r="J48" s="162">
        <v>28</v>
      </c>
      <c r="K48" s="318">
        <f t="shared" si="4"/>
        <v>42</v>
      </c>
    </row>
    <row r="49" spans="2:11" x14ac:dyDescent="0.25">
      <c r="B49" s="113">
        <f>+SUM(B43:B48)</f>
        <v>34.21</v>
      </c>
      <c r="C49" s="71"/>
      <c r="D49" s="72"/>
      <c r="H49" s="301">
        <v>45987</v>
      </c>
      <c r="I49" s="129" t="s">
        <v>175</v>
      </c>
      <c r="J49" s="162">
        <v>121</v>
      </c>
      <c r="K49" s="318">
        <f t="shared" si="4"/>
        <v>181.5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45987</v>
      </c>
      <c r="I50" s="129" t="s">
        <v>176</v>
      </c>
      <c r="J50" s="162">
        <v>66</v>
      </c>
      <c r="K50" s="318">
        <f t="shared" si="4"/>
        <v>99</v>
      </c>
    </row>
    <row r="51" spans="2:11" x14ac:dyDescent="0.25">
      <c r="C51" s="71">
        <v>1</v>
      </c>
      <c r="D51" s="225" t="s">
        <v>153</v>
      </c>
      <c r="H51" s="301">
        <v>45991</v>
      </c>
      <c r="I51" s="129" t="s">
        <v>175</v>
      </c>
      <c r="J51" s="162">
        <v>47</v>
      </c>
      <c r="K51" s="318">
        <f t="shared" si="4"/>
        <v>70.5</v>
      </c>
    </row>
    <row r="52" spans="2:11" x14ac:dyDescent="0.25">
      <c r="C52" s="71">
        <v>2</v>
      </c>
      <c r="D52" s="225" t="s">
        <v>153</v>
      </c>
      <c r="H52" s="360">
        <v>45998</v>
      </c>
      <c r="I52" s="332" t="s">
        <v>175</v>
      </c>
      <c r="J52" s="333">
        <v>35</v>
      </c>
      <c r="K52" s="361">
        <f t="shared" si="4"/>
        <v>52.5</v>
      </c>
    </row>
    <row r="53" spans="2:11" x14ac:dyDescent="0.25">
      <c r="C53" s="71">
        <v>3</v>
      </c>
      <c r="D53" s="225" t="s">
        <v>154</v>
      </c>
      <c r="H53" s="301">
        <v>45998</v>
      </c>
      <c r="I53" s="129" t="s">
        <v>176</v>
      </c>
      <c r="J53" s="162">
        <v>76</v>
      </c>
      <c r="K53" s="318">
        <f t="shared" si="4"/>
        <v>114</v>
      </c>
    </row>
    <row r="54" spans="2:11" x14ac:dyDescent="0.25">
      <c r="C54" s="71">
        <v>4</v>
      </c>
      <c r="D54" s="108">
        <v>0</v>
      </c>
      <c r="H54" s="301">
        <v>45999</v>
      </c>
      <c r="I54" s="129" t="s">
        <v>175</v>
      </c>
      <c r="J54" s="162">
        <v>125</v>
      </c>
      <c r="K54" s="318">
        <f t="shared" si="4"/>
        <v>187.5</v>
      </c>
    </row>
    <row r="55" spans="2:11" x14ac:dyDescent="0.25">
      <c r="C55" s="71">
        <v>5</v>
      </c>
      <c r="D55" s="108">
        <v>7</v>
      </c>
      <c r="H55" s="301">
        <v>46005</v>
      </c>
      <c r="I55" s="129" t="s">
        <v>175</v>
      </c>
      <c r="J55" s="162">
        <v>49</v>
      </c>
      <c r="K55" s="318">
        <f t="shared" si="4"/>
        <v>73.5</v>
      </c>
    </row>
    <row r="56" spans="2:11" x14ac:dyDescent="0.25">
      <c r="C56" s="71">
        <v>6</v>
      </c>
      <c r="D56" s="108">
        <v>0</v>
      </c>
      <c r="H56" s="301">
        <v>46008</v>
      </c>
      <c r="I56" s="129" t="s">
        <v>175</v>
      </c>
      <c r="J56" s="162">
        <v>56</v>
      </c>
      <c r="K56" s="318">
        <f t="shared" si="4"/>
        <v>84</v>
      </c>
    </row>
    <row r="57" spans="2:11" x14ac:dyDescent="0.25">
      <c r="C57" s="71">
        <v>7</v>
      </c>
      <c r="D57" s="225" t="s">
        <v>153</v>
      </c>
      <c r="H57" s="359" t="s">
        <v>221</v>
      </c>
      <c r="I57" s="345"/>
      <c r="J57" s="199">
        <f>+J55</f>
        <v>49</v>
      </c>
      <c r="K57" s="346">
        <f>+J57*1.5</f>
        <v>73.5</v>
      </c>
    </row>
    <row r="58" spans="2:11" x14ac:dyDescent="0.25">
      <c r="C58" s="71">
        <v>8</v>
      </c>
      <c r="D58" s="225" t="s">
        <v>153</v>
      </c>
      <c r="H58" s="237" t="s">
        <v>197</v>
      </c>
      <c r="J58" s="162" t="s">
        <v>157</v>
      </c>
      <c r="K58" s="215" t="s">
        <v>92</v>
      </c>
    </row>
    <row r="59" spans="2:11" x14ac:dyDescent="0.25">
      <c r="D59" s="162"/>
      <c r="H59" s="301">
        <v>45970</v>
      </c>
      <c r="I59" s="129" t="s">
        <v>176</v>
      </c>
      <c r="J59" s="162">
        <v>3367</v>
      </c>
      <c r="K59" s="318">
        <f>+J59*0.025</f>
        <v>84.175000000000011</v>
      </c>
    </row>
    <row r="60" spans="2:11" x14ac:dyDescent="0.25">
      <c r="D60" s="162"/>
      <c r="H60" s="301">
        <v>45984</v>
      </c>
      <c r="I60" s="129" t="s">
        <v>175</v>
      </c>
      <c r="J60" s="162">
        <v>6792</v>
      </c>
      <c r="K60" s="318">
        <f>+J60*0.025</f>
        <v>169.8</v>
      </c>
    </row>
    <row r="61" spans="2:11" x14ac:dyDescent="0.25">
      <c r="D61" s="162"/>
      <c r="H61" s="301">
        <v>46006</v>
      </c>
      <c r="I61" s="129" t="s">
        <v>175</v>
      </c>
      <c r="J61" s="162">
        <v>5733</v>
      </c>
      <c r="K61" s="318">
        <f>+J61*0.025</f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f>+J62*0.025</f>
        <v>62.050000000000004</v>
      </c>
    </row>
    <row r="63" spans="2:11" x14ac:dyDescent="0.25">
      <c r="H63" s="359" t="s">
        <v>220</v>
      </c>
      <c r="I63" s="345"/>
      <c r="J63" s="200">
        <f>+J62</f>
        <v>2482</v>
      </c>
      <c r="K63" s="346">
        <f>+J63*0.025</f>
        <v>62.050000000000004</v>
      </c>
    </row>
    <row r="64" spans="2:11" x14ac:dyDescent="0.25">
      <c r="H64" s="237" t="s">
        <v>205</v>
      </c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f>+J65*1.5</f>
        <v>70.5</v>
      </c>
    </row>
    <row r="66" spans="8:11" x14ac:dyDescent="0.25">
      <c r="I66" s="129"/>
      <c r="K66" s="215"/>
    </row>
    <row r="67" spans="8:11" x14ac:dyDescent="0.25">
      <c r="H67" s="237" t="s">
        <v>167</v>
      </c>
      <c r="J67" s="162" t="s">
        <v>157</v>
      </c>
      <c r="K67" s="215" t="s">
        <v>92</v>
      </c>
    </row>
    <row r="68" spans="8:11" x14ac:dyDescent="0.25">
      <c r="H68" s="301">
        <v>45990</v>
      </c>
      <c r="I68" s="129" t="s">
        <v>176</v>
      </c>
      <c r="J68" s="68">
        <v>43</v>
      </c>
      <c r="K68" s="318">
        <f t="shared" ref="K68:K73" si="5">+J68*1.5</f>
        <v>64.5</v>
      </c>
    </row>
    <row r="69" spans="8:11" x14ac:dyDescent="0.25">
      <c r="H69" s="301">
        <v>45991</v>
      </c>
      <c r="I69" s="129" t="s">
        <v>175</v>
      </c>
      <c r="J69" s="68">
        <v>222</v>
      </c>
      <c r="K69" s="318">
        <f t="shared" si="5"/>
        <v>333</v>
      </c>
    </row>
    <row r="70" spans="8:11" x14ac:dyDescent="0.25">
      <c r="H70" s="301">
        <v>45991</v>
      </c>
      <c r="I70" s="129" t="s">
        <v>176</v>
      </c>
      <c r="J70" s="68">
        <v>199</v>
      </c>
      <c r="K70" s="318">
        <f t="shared" si="5"/>
        <v>298.5</v>
      </c>
    </row>
    <row r="71" spans="8:11" x14ac:dyDescent="0.25">
      <c r="H71" s="301">
        <v>45992</v>
      </c>
      <c r="I71" s="129" t="s">
        <v>175</v>
      </c>
      <c r="J71" s="68">
        <v>163</v>
      </c>
      <c r="K71" s="318">
        <f t="shared" si="5"/>
        <v>244.5</v>
      </c>
    </row>
    <row r="72" spans="8:11" x14ac:dyDescent="0.25">
      <c r="H72" s="301">
        <v>46005</v>
      </c>
      <c r="I72" s="129"/>
      <c r="J72" s="162">
        <v>519</v>
      </c>
      <c r="K72" s="318">
        <f t="shared" si="5"/>
        <v>778.5</v>
      </c>
    </row>
    <row r="73" spans="8:11" x14ac:dyDescent="0.25">
      <c r="H73" s="344"/>
      <c r="I73" s="345"/>
      <c r="J73" s="200">
        <f>+J72</f>
        <v>519</v>
      </c>
      <c r="K73" s="346">
        <f t="shared" si="5"/>
        <v>778.5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topLeftCell="A37" workbookViewId="0">
      <selection activeCell="C2" sqref="C2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0" style="162" bestFit="1" customWidth="1"/>
    <col min="6" max="16384" width="11.42578125" style="162"/>
  </cols>
  <sheetData>
    <row r="1" spans="1:10" ht="15" customHeight="1" x14ac:dyDescent="0.25">
      <c r="A1" s="161"/>
      <c r="B1" s="518">
        <v>46013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67"/>
      <c r="C4" s="367"/>
      <c r="D4" s="165">
        <f>D23</f>
        <v>9080.6779999999981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4725</v>
      </c>
      <c r="D5" s="172">
        <v>201.58</v>
      </c>
      <c r="E5" s="80">
        <f>+D5/$D$4</f>
        <v>2.2198782954312449E-2</v>
      </c>
      <c r="F5" s="58" t="s">
        <v>51</v>
      </c>
      <c r="G5" s="59">
        <v>46013</v>
      </c>
      <c r="H5" s="190">
        <v>7070</v>
      </c>
      <c r="I5" s="141">
        <v>9080.6779999999981</v>
      </c>
      <c r="J5" s="60">
        <f t="shared" ref="J5:J12" si="0">+I5/H5</f>
        <v>1.2843957567185287</v>
      </c>
    </row>
    <row r="6" spans="1:10" ht="15" customHeight="1" x14ac:dyDescent="0.25">
      <c r="A6" s="164"/>
      <c r="B6" s="169" t="s">
        <v>10</v>
      </c>
      <c r="C6" s="177">
        <v>15724</v>
      </c>
      <c r="D6" s="173">
        <v>670.75400000000002</v>
      </c>
      <c r="E6" s="80">
        <f t="shared" ref="E6:E21" si="1">+D6/$D$4</f>
        <v>7.3866070352896579E-2</v>
      </c>
      <c r="F6" s="58" t="s">
        <v>52</v>
      </c>
      <c r="G6" s="59">
        <v>46014</v>
      </c>
      <c r="H6" s="190">
        <v>9604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19647</v>
      </c>
      <c r="D7" s="173">
        <v>836.45399999999995</v>
      </c>
      <c r="E7" s="245">
        <f t="shared" si="1"/>
        <v>9.2113606495021635E-2</v>
      </c>
      <c r="F7" s="58" t="s">
        <v>53</v>
      </c>
      <c r="G7" s="59">
        <v>46015</v>
      </c>
      <c r="H7" s="190">
        <v>4953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3109</v>
      </c>
      <c r="D8" s="173">
        <v>132.55000000000001</v>
      </c>
      <c r="E8" s="80">
        <f t="shared" si="1"/>
        <v>1.4596927674343264E-2</v>
      </c>
      <c r="F8" s="58" t="s">
        <v>54</v>
      </c>
      <c r="G8" s="59">
        <v>46016</v>
      </c>
      <c r="H8" s="190">
        <v>3794.7999999999997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44105</v>
      </c>
      <c r="D9" s="173">
        <v>1882.84</v>
      </c>
      <c r="E9" s="245">
        <f t="shared" si="1"/>
        <v>0.20734575105515252</v>
      </c>
      <c r="F9" s="58" t="s">
        <v>55</v>
      </c>
      <c r="G9" s="59">
        <v>46017</v>
      </c>
      <c r="H9" s="190">
        <v>8969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46979</v>
      </c>
      <c r="D10" s="173">
        <v>2005.06</v>
      </c>
      <c r="E10" s="245">
        <f t="shared" si="1"/>
        <v>0.22080509847392457</v>
      </c>
      <c r="F10" s="58" t="s">
        <v>56</v>
      </c>
      <c r="G10" s="59">
        <v>46018</v>
      </c>
      <c r="H10" s="190">
        <v>7924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15005</v>
      </c>
      <c r="D11" s="173">
        <v>640.26</v>
      </c>
      <c r="E11" s="80">
        <f t="shared" si="1"/>
        <v>7.0507951058280019E-2</v>
      </c>
      <c r="F11" s="58" t="s">
        <v>57</v>
      </c>
      <c r="G11" s="59">
        <v>46019</v>
      </c>
      <c r="H11" s="190">
        <v>5473.0000000000009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196</v>
      </c>
      <c r="C12" s="177">
        <v>1224</v>
      </c>
      <c r="D12" s="173">
        <v>30.75</v>
      </c>
      <c r="E12" s="80">
        <f t="shared" si="1"/>
        <v>3.3863110221505495E-3</v>
      </c>
      <c r="H12" s="139">
        <f>+SUM(H5:H11)</f>
        <v>47787.8</v>
      </c>
      <c r="I12" s="142">
        <f>+SUM(I5:I11)</f>
        <v>9080.6779999999981</v>
      </c>
      <c r="J12" s="140">
        <f t="shared" si="0"/>
        <v>0.19002084213962556</v>
      </c>
    </row>
    <row r="13" spans="1:10" ht="15" customHeight="1" x14ac:dyDescent="0.25">
      <c r="A13" s="164"/>
      <c r="B13" s="169" t="s">
        <v>34</v>
      </c>
      <c r="C13" s="177"/>
      <c r="D13" s="173"/>
      <c r="E13" s="80">
        <f t="shared" si="1"/>
        <v>0</v>
      </c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60</v>
      </c>
      <c r="D14" s="173">
        <v>90.58</v>
      </c>
      <c r="E14" s="80">
        <f t="shared" si="1"/>
        <v>9.9750260938665618E-3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594</v>
      </c>
      <c r="D15" s="173">
        <v>895.06</v>
      </c>
      <c r="E15" s="245">
        <f t="shared" si="1"/>
        <v>9.8567529869465709E-2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303</v>
      </c>
      <c r="D16" s="173">
        <v>456.63</v>
      </c>
      <c r="E16" s="245">
        <f t="shared" si="1"/>
        <v>5.0285892749418061E-2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41</v>
      </c>
      <c r="C17" s="177">
        <v>256</v>
      </c>
      <c r="D17" s="173">
        <v>385.17</v>
      </c>
      <c r="E17" s="80">
        <f t="shared" si="1"/>
        <v>4.2416436305747228E-2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49</v>
      </c>
      <c r="C18" s="177">
        <v>124</v>
      </c>
      <c r="D18" s="173">
        <v>186.47</v>
      </c>
      <c r="E18" s="80">
        <f t="shared" si="1"/>
        <v>2.0534810286192289E-2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88</v>
      </c>
      <c r="C19" s="177"/>
      <c r="D19" s="173">
        <v>90.99</v>
      </c>
      <c r="E19" s="80">
        <f t="shared" si="1"/>
        <v>1.0020176907495236E-2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40</v>
      </c>
      <c r="C20" s="177"/>
      <c r="D20" s="173">
        <v>488.17</v>
      </c>
      <c r="E20" s="80">
        <f t="shared" si="1"/>
        <v>5.3759201680755569E-2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9</v>
      </c>
      <c r="C21" s="177"/>
      <c r="D21" s="173">
        <v>29.11</v>
      </c>
      <c r="E21" s="80">
        <f t="shared" si="1"/>
        <v>3.2057077676358532E-3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thickBot="1" x14ac:dyDescent="0.3">
      <c r="A22" s="164"/>
      <c r="B22" s="169" t="s">
        <v>46</v>
      </c>
      <c r="C22" s="177"/>
      <c r="D22" s="173">
        <v>58.25</v>
      </c>
      <c r="E22" s="80">
        <f>+D22/$D$4</f>
        <v>6.4147192533420975E-3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thickBot="1" x14ac:dyDescent="0.3">
      <c r="B23" s="178" t="s">
        <v>0</v>
      </c>
      <c r="C23" s="170"/>
      <c r="D23" s="171">
        <f>SUM(D5:D22)</f>
        <v>9080.6779999999981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x14ac:dyDescent="0.25">
      <c r="B24" s="166" t="s">
        <v>1</v>
      </c>
      <c r="C24" s="167"/>
      <c r="D24" s="233">
        <v>186682.18</v>
      </c>
      <c r="E24" s="80"/>
      <c r="F24" s="112" t="s">
        <v>198</v>
      </c>
      <c r="G24" s="190">
        <v>215275.19500000001</v>
      </c>
      <c r="H24" s="272">
        <v>242524.66</v>
      </c>
      <c r="I24" s="98">
        <f>+H24/G24</f>
        <v>1.1265796786294864</v>
      </c>
      <c r="J24" s="108">
        <v>32010.999999999502</v>
      </c>
    </row>
    <row r="25" spans="1:10" x14ac:dyDescent="0.25">
      <c r="E25" s="80"/>
      <c r="F25" s="364" t="s">
        <v>199</v>
      </c>
      <c r="G25" s="190">
        <v>210045.58799999999</v>
      </c>
      <c r="H25" s="190">
        <f>+D24</f>
        <v>186682.18</v>
      </c>
      <c r="I25" s="98">
        <f t="shared" si="2"/>
        <v>0.88876982267297133</v>
      </c>
      <c r="J25" s="108"/>
    </row>
    <row r="26" spans="1:10" x14ac:dyDescent="0.25">
      <c r="E26" s="80"/>
      <c r="G26" s="365">
        <f>+SUM(G14:G25)</f>
        <v>2547596.0290000001</v>
      </c>
      <c r="H26" s="365">
        <f>+SUM(H14:H25)</f>
        <v>2556243.6209999998</v>
      </c>
      <c r="I26" s="98">
        <f>+H26/G26</f>
        <v>1.0033944125762333</v>
      </c>
      <c r="J26" s="108">
        <f>+H26-G26</f>
        <v>8647.5919999997132</v>
      </c>
    </row>
    <row r="27" spans="1:10" ht="16.5" thickBot="1" x14ac:dyDescent="0.3"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+D24/G2</f>
        <v>0.84856225730634283</v>
      </c>
      <c r="F28" s="179"/>
      <c r="G28" s="179" t="s">
        <v>222</v>
      </c>
      <c r="H28" s="68">
        <f>+SUM(H14:H24)+G2</f>
        <v>2589559.6537329108</v>
      </c>
      <c r="I28" s="68">
        <f>H26-H28</f>
        <v>-33316.032732910942</v>
      </c>
      <c r="J28" s="179"/>
    </row>
    <row r="29" spans="1:10" x14ac:dyDescent="0.25">
      <c r="D29" s="108">
        <f>+(G2/31)*22</f>
        <v>156127.76387496913</v>
      </c>
      <c r="E29" s="314">
        <f>+D29/G2</f>
        <v>0.70967741935483875</v>
      </c>
      <c r="F29" s="352"/>
      <c r="G29" s="162" t="s">
        <v>223</v>
      </c>
      <c r="H29" s="68">
        <f>+D23-G2</f>
        <v>-210917.53473291104</v>
      </c>
    </row>
    <row r="30" spans="1:10" x14ac:dyDescent="0.25">
      <c r="D30" s="183">
        <f>+D24-D29</f>
        <v>30554.416125030868</v>
      </c>
      <c r="E30" s="99">
        <f>E28-E29</f>
        <v>0.13888483795150408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894</v>
      </c>
      <c r="D33" s="108">
        <v>2142</v>
      </c>
      <c r="E33" s="57">
        <f>+C33/D33</f>
        <v>0.4173669467787115</v>
      </c>
      <c r="G33" s="86" t="s">
        <v>86</v>
      </c>
      <c r="H33" s="87">
        <v>19700</v>
      </c>
      <c r="I33" s="88">
        <f>+H33*0.025</f>
        <v>492.5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1311</v>
      </c>
      <c r="D34" s="108">
        <v>1890</v>
      </c>
      <c r="E34" s="57">
        <f>+C34/D34</f>
        <v>0.69365079365079363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500</v>
      </c>
      <c r="D35" s="108">
        <v>3006</v>
      </c>
      <c r="E35" s="57">
        <f>+C35/D35</f>
        <v>0.16633399866932802</v>
      </c>
      <c r="G35" s="89" t="s">
        <v>169</v>
      </c>
      <c r="H35" s="87">
        <v>259</v>
      </c>
      <c r="I35" s="88">
        <f>+H35*1.5</f>
        <v>388.5</v>
      </c>
      <c r="J35" s="298">
        <f>+I35+I33</f>
        <v>881</v>
      </c>
    </row>
    <row r="36" spans="1:11" x14ac:dyDescent="0.25">
      <c r="C36" s="162">
        <f>+SUM(C33:C35)</f>
        <v>2705</v>
      </c>
      <c r="D36" s="110">
        <f>+SUM(D33:D35)</f>
        <v>7038</v>
      </c>
      <c r="E36" s="57">
        <f>+C36/D36</f>
        <v>0.38434214265416311</v>
      </c>
      <c r="G36" s="89" t="s">
        <v>168</v>
      </c>
      <c r="H36" s="87">
        <v>49</v>
      </c>
      <c r="I36" s="88">
        <f>+H36*1.5</f>
        <v>73.5</v>
      </c>
      <c r="J36" s="228" t="s">
        <v>193</v>
      </c>
    </row>
    <row r="37" spans="1:11" x14ac:dyDescent="0.25">
      <c r="G37" s="231" t="s">
        <v>123</v>
      </c>
      <c r="H37" s="138">
        <f>274-1</f>
        <v>273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17</v>
      </c>
      <c r="C40" s="74">
        <v>5</v>
      </c>
      <c r="D40" s="74">
        <v>14</v>
      </c>
      <c r="E40" s="75">
        <f>+SUM(B40:D40)</f>
        <v>36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A42" s="147"/>
      <c r="B42" s="147" t="s">
        <v>214</v>
      </c>
      <c r="C42" s="147" t="s">
        <v>215</v>
      </c>
      <c r="D42" s="147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11.26</v>
      </c>
      <c r="C44" s="199">
        <v>1759</v>
      </c>
      <c r="D44" s="200">
        <v>3600</v>
      </c>
      <c r="E44" s="201">
        <f t="shared" si="3"/>
        <v>0.48861111111111111</v>
      </c>
      <c r="F44" s="201">
        <f>+B44/14</f>
        <v>0.80428571428571427</v>
      </c>
      <c r="G44" s="202">
        <v>12</v>
      </c>
      <c r="H44" s="71"/>
    </row>
    <row r="45" spans="1:11" x14ac:dyDescent="0.25">
      <c r="A45" s="207" t="s">
        <v>72</v>
      </c>
      <c r="B45" s="199">
        <v>10</v>
      </c>
      <c r="C45" s="199">
        <v>1386</v>
      </c>
      <c r="D45" s="200">
        <v>3900</v>
      </c>
      <c r="E45" s="201">
        <f t="shared" si="3"/>
        <v>0.35538461538461541</v>
      </c>
      <c r="F45" s="201">
        <f>+B45/14</f>
        <v>0.7142857142857143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11.96</v>
      </c>
      <c r="C46" s="199">
        <v>2905</v>
      </c>
      <c r="D46" s="200">
        <v>3900</v>
      </c>
      <c r="E46" s="201">
        <f t="shared" si="3"/>
        <v>0.74487179487179489</v>
      </c>
      <c r="F46" s="201">
        <f>+B46/20</f>
        <v>0.59800000000000009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f t="shared" ref="K46:K51" si="4">+J46*1.5</f>
        <v>52.5</v>
      </c>
    </row>
    <row r="47" spans="1:11" x14ac:dyDescent="0.25">
      <c r="A47" s="207" t="s">
        <v>74</v>
      </c>
      <c r="B47" s="199">
        <v>15.27</v>
      </c>
      <c r="C47" s="199">
        <v>2440</v>
      </c>
      <c r="D47" s="200">
        <v>3900</v>
      </c>
      <c r="E47" s="201">
        <f t="shared" si="3"/>
        <v>0.62564102564102564</v>
      </c>
      <c r="F47" s="201">
        <f>+B47/20</f>
        <v>0.76349999999999996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f t="shared" si="4"/>
        <v>114</v>
      </c>
    </row>
    <row r="48" spans="1:11" x14ac:dyDescent="0.25">
      <c r="A48" s="259" t="s">
        <v>75</v>
      </c>
      <c r="B48" s="260">
        <v>5.85</v>
      </c>
      <c r="C48" s="261">
        <v>3836</v>
      </c>
      <c r="D48" s="262">
        <v>4300</v>
      </c>
      <c r="E48" s="263">
        <f t="shared" si="3"/>
        <v>0.89209302325581397</v>
      </c>
      <c r="F48" s="201">
        <f>+B48/20</f>
        <v>0.29249999999999998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f t="shared" si="4"/>
        <v>187.5</v>
      </c>
    </row>
    <row r="49" spans="2:11" x14ac:dyDescent="0.25">
      <c r="B49" s="113">
        <f>+SUM(B43:B48)</f>
        <v>54.339999999999996</v>
      </c>
      <c r="C49" s="71"/>
      <c r="D49" s="72"/>
      <c r="H49" s="301">
        <v>46005</v>
      </c>
      <c r="I49" s="129" t="s">
        <v>175</v>
      </c>
      <c r="J49" s="162">
        <v>49</v>
      </c>
      <c r="K49" s="318">
        <f t="shared" si="4"/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f t="shared" si="4"/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f t="shared" si="4"/>
        <v>73.5</v>
      </c>
    </row>
    <row r="52" spans="2:11" x14ac:dyDescent="0.25">
      <c r="C52" s="71">
        <v>2</v>
      </c>
      <c r="D52" s="225" t="s">
        <v>153</v>
      </c>
      <c r="H52" s="360"/>
      <c r="I52" s="332"/>
      <c r="J52" s="333"/>
      <c r="K52" s="361"/>
    </row>
    <row r="53" spans="2:11" x14ac:dyDescent="0.25">
      <c r="C53" s="71">
        <v>3</v>
      </c>
      <c r="D53" s="225" t="s">
        <v>154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11</v>
      </c>
      <c r="H55" s="359" t="s">
        <v>224</v>
      </c>
      <c r="I55" s="345"/>
      <c r="J55" s="199">
        <f>+J51</f>
        <v>49</v>
      </c>
      <c r="K55" s="346">
        <f>+J55*1.5</f>
        <v>73.5</v>
      </c>
    </row>
    <row r="56" spans="2:11" x14ac:dyDescent="0.25">
      <c r="C56" s="71">
        <v>6</v>
      </c>
      <c r="D56" s="108">
        <v>0</v>
      </c>
      <c r="H56" s="237" t="s">
        <v>197</v>
      </c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f>+J57*0.025</f>
        <v>84.175000000000011</v>
      </c>
    </row>
    <row r="58" spans="2:11" x14ac:dyDescent="0.25">
      <c r="C58" s="71">
        <v>8</v>
      </c>
      <c r="D58" s="225" t="s">
        <v>153</v>
      </c>
      <c r="H58" s="301">
        <v>45984</v>
      </c>
      <c r="I58" s="129" t="s">
        <v>175</v>
      </c>
      <c r="J58" s="162">
        <v>6792</v>
      </c>
      <c r="K58" s="318">
        <f>+J58*0.025</f>
        <v>169.8</v>
      </c>
    </row>
    <row r="59" spans="2:11" x14ac:dyDescent="0.25">
      <c r="D59" s="162"/>
      <c r="H59" s="301">
        <v>46006</v>
      </c>
      <c r="I59" s="129" t="s">
        <v>175</v>
      </c>
      <c r="J59" s="162">
        <v>5733</v>
      </c>
      <c r="K59" s="318">
        <f>+J59*0.025</f>
        <v>143.32500000000002</v>
      </c>
    </row>
    <row r="60" spans="2:11" x14ac:dyDescent="0.25">
      <c r="D60" s="162"/>
      <c r="H60" s="301">
        <v>46008</v>
      </c>
      <c r="I60" s="129" t="s">
        <v>176</v>
      </c>
      <c r="J60" s="162">
        <v>2482</v>
      </c>
      <c r="K60" s="318">
        <f>+J60*0.025</f>
        <v>62.050000000000004</v>
      </c>
    </row>
    <row r="61" spans="2:11" x14ac:dyDescent="0.25">
      <c r="D61" s="162"/>
      <c r="H61" s="301">
        <v>46012</v>
      </c>
      <c r="I61" s="129" t="s">
        <v>175</v>
      </c>
      <c r="J61" s="162">
        <v>6042</v>
      </c>
      <c r="K61" s="318">
        <f>+J61*0.025</f>
        <v>151.05000000000001</v>
      </c>
    </row>
    <row r="63" spans="2:11" x14ac:dyDescent="0.25">
      <c r="H63" s="359" t="s">
        <v>224</v>
      </c>
      <c r="I63" s="345"/>
      <c r="J63" s="200">
        <f>+J61</f>
        <v>6042</v>
      </c>
      <c r="K63" s="346">
        <f>+J63*0.025</f>
        <v>151.05000000000001</v>
      </c>
    </row>
    <row r="64" spans="2:11" x14ac:dyDescent="0.25">
      <c r="H64" s="237" t="s">
        <v>205</v>
      </c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f>+J65*1.5</f>
        <v>70.5</v>
      </c>
    </row>
    <row r="66" spans="8:11" x14ac:dyDescent="0.25">
      <c r="I66" s="129"/>
      <c r="K66" s="215"/>
    </row>
    <row r="67" spans="8:11" x14ac:dyDescent="0.25">
      <c r="H67" s="237" t="s">
        <v>167</v>
      </c>
      <c r="J67" s="162" t="s">
        <v>157</v>
      </c>
      <c r="K67" s="215" t="s">
        <v>92</v>
      </c>
    </row>
    <row r="68" spans="8:11" x14ac:dyDescent="0.25">
      <c r="H68" s="301">
        <v>45990</v>
      </c>
      <c r="I68" s="129" t="s">
        <v>176</v>
      </c>
      <c r="J68" s="68">
        <v>43</v>
      </c>
      <c r="K68" s="318">
        <f t="shared" ref="K68:K73" si="5">+J68*1.5</f>
        <v>64.5</v>
      </c>
    </row>
    <row r="69" spans="8:11" x14ac:dyDescent="0.25">
      <c r="H69" s="301">
        <v>45991</v>
      </c>
      <c r="I69" s="129" t="s">
        <v>175</v>
      </c>
      <c r="J69" s="68">
        <v>222</v>
      </c>
      <c r="K69" s="318">
        <f t="shared" si="5"/>
        <v>333</v>
      </c>
    </row>
    <row r="70" spans="8:11" x14ac:dyDescent="0.25">
      <c r="H70" s="301">
        <v>45991</v>
      </c>
      <c r="I70" s="129" t="s">
        <v>176</v>
      </c>
      <c r="J70" s="68">
        <v>199</v>
      </c>
      <c r="K70" s="318">
        <f t="shared" si="5"/>
        <v>298.5</v>
      </c>
    </row>
    <row r="71" spans="8:11" x14ac:dyDescent="0.25">
      <c r="H71" s="301">
        <v>45992</v>
      </c>
      <c r="I71" s="129" t="s">
        <v>175</v>
      </c>
      <c r="J71" s="68">
        <v>163</v>
      </c>
      <c r="K71" s="318">
        <f t="shared" si="5"/>
        <v>244.5</v>
      </c>
    </row>
    <row r="72" spans="8:11" x14ac:dyDescent="0.25">
      <c r="H72" s="301">
        <v>46005</v>
      </c>
      <c r="I72" s="129"/>
      <c r="J72" s="162">
        <v>519</v>
      </c>
      <c r="K72" s="318">
        <f t="shared" si="5"/>
        <v>778.5</v>
      </c>
    </row>
    <row r="73" spans="8:11" x14ac:dyDescent="0.25">
      <c r="H73" s="344"/>
      <c r="I73" s="345"/>
      <c r="J73" s="200">
        <f>+J72</f>
        <v>519</v>
      </c>
      <c r="K73" s="346">
        <f t="shared" si="5"/>
        <v>778.5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7" workbookViewId="0">
      <selection activeCell="A29" sqref="A29:K73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v>46014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68"/>
      <c r="C4" s="368"/>
      <c r="D4" s="165">
        <f>D25</f>
        <v>9117.148000000001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1530</v>
      </c>
      <c r="D5" s="172">
        <v>65.38</v>
      </c>
      <c r="E5" s="80">
        <f>+D5/$D$4</f>
        <v>7.171102191167675E-3</v>
      </c>
      <c r="F5" s="58" t="s">
        <v>51</v>
      </c>
      <c r="G5" s="59">
        <v>46014</v>
      </c>
      <c r="H5" s="190">
        <v>7070</v>
      </c>
      <c r="I5" s="141">
        <v>8461.7559999999994</v>
      </c>
      <c r="J5" s="60">
        <f t="shared" ref="J5:J12" si="0">+I5/H5</f>
        <v>1.1968537482319659</v>
      </c>
    </row>
    <row r="6" spans="1:10" ht="15" customHeight="1" x14ac:dyDescent="0.25">
      <c r="A6" s="164"/>
      <c r="B6" s="169" t="s">
        <v>10</v>
      </c>
      <c r="C6" s="177">
        <v>9549</v>
      </c>
      <c r="D6" s="173">
        <v>407.04599999999999</v>
      </c>
      <c r="E6" s="80">
        <f t="shared" ref="E6:E25" si="1">+D6/$D$4</f>
        <v>4.4646198569991399E-2</v>
      </c>
      <c r="F6" s="58" t="s">
        <v>52</v>
      </c>
      <c r="G6" s="59">
        <v>46015</v>
      </c>
      <c r="H6" s="190">
        <v>9604</v>
      </c>
      <c r="I6" s="141">
        <v>9117.148000000001</v>
      </c>
      <c r="J6" s="60">
        <f t="shared" si="0"/>
        <v>0.94930737192836334</v>
      </c>
    </row>
    <row r="7" spans="1:10" ht="15" customHeight="1" x14ac:dyDescent="0.25">
      <c r="A7" s="164"/>
      <c r="B7" s="169" t="s">
        <v>35</v>
      </c>
      <c r="C7" s="177">
        <v>30947</v>
      </c>
      <c r="D7" s="173">
        <v>1318.2439999999999</v>
      </c>
      <c r="E7" s="80">
        <f t="shared" si="1"/>
        <v>0.14458951417702112</v>
      </c>
      <c r="F7" s="58" t="s">
        <v>53</v>
      </c>
      <c r="G7" s="59">
        <v>46016</v>
      </c>
      <c r="H7" s="190">
        <v>4953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4</v>
      </c>
      <c r="C8" s="177">
        <v>3938</v>
      </c>
      <c r="D8" s="173">
        <v>167.9</v>
      </c>
      <c r="E8" s="80">
        <f t="shared" si="1"/>
        <v>1.8415846709957981E-2</v>
      </c>
      <c r="F8" s="58" t="s">
        <v>54</v>
      </c>
      <c r="G8" s="59">
        <v>46017</v>
      </c>
      <c r="H8" s="190">
        <v>3794.7999999999997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37</v>
      </c>
      <c r="C9" s="177">
        <v>34882</v>
      </c>
      <c r="D9" s="173">
        <v>1488.6780000000001</v>
      </c>
      <c r="E9" s="245">
        <f t="shared" si="1"/>
        <v>0.16328329868068392</v>
      </c>
      <c r="F9" s="58" t="s">
        <v>55</v>
      </c>
      <c r="G9" s="59">
        <v>46018</v>
      </c>
      <c r="H9" s="190">
        <v>8969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38</v>
      </c>
      <c r="C10" s="177">
        <v>50944</v>
      </c>
      <c r="D10" s="173">
        <v>2175.4</v>
      </c>
      <c r="E10" s="245">
        <f t="shared" si="1"/>
        <v>0.23860531824206427</v>
      </c>
      <c r="F10" s="58" t="s">
        <v>56</v>
      </c>
      <c r="G10" s="59">
        <v>46019</v>
      </c>
      <c r="H10" s="190">
        <v>7924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>
        <v>19871</v>
      </c>
      <c r="D11" s="173">
        <v>847.69</v>
      </c>
      <c r="E11" s="80">
        <f t="shared" si="1"/>
        <v>9.2977540783587137E-2</v>
      </c>
      <c r="F11" s="58" t="s">
        <v>57</v>
      </c>
      <c r="G11" s="59">
        <v>46020</v>
      </c>
      <c r="H11" s="190">
        <v>5473.0000000000009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196</v>
      </c>
      <c r="C12" s="177"/>
      <c r="D12" s="173"/>
      <c r="E12" s="80">
        <f t="shared" si="1"/>
        <v>0</v>
      </c>
      <c r="H12" s="139">
        <f>+SUM(H5:H11)</f>
        <v>47787.8</v>
      </c>
      <c r="I12" s="142">
        <f>+SUM(I5:I11)</f>
        <v>17578.904000000002</v>
      </c>
      <c r="J12" s="140">
        <f t="shared" si="0"/>
        <v>0.36785338517362176</v>
      </c>
    </row>
    <row r="13" spans="1:10" ht="15" customHeight="1" x14ac:dyDescent="0.25">
      <c r="A13" s="164"/>
      <c r="B13" s="169" t="s">
        <v>85</v>
      </c>
      <c r="C13" s="177">
        <v>41</v>
      </c>
      <c r="D13" s="173">
        <v>61.73</v>
      </c>
      <c r="E13" s="80">
        <f t="shared" si="1"/>
        <v>6.7707576974729367E-3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44</v>
      </c>
      <c r="C14" s="177">
        <v>43</v>
      </c>
      <c r="D14" s="173">
        <v>64.97</v>
      </c>
      <c r="E14" s="80">
        <f t="shared" si="1"/>
        <v>7.1261319877663487E-3</v>
      </c>
      <c r="F14" s="112" t="s">
        <v>108</v>
      </c>
      <c r="G14" s="190">
        <v>204007.80300000001</v>
      </c>
      <c r="H14" s="190">
        <v>190629.128</v>
      </c>
      <c r="I14" s="57">
        <f t="shared" ref="I14:I26" si="2">+H14/G14</f>
        <v>0.93442076820953746</v>
      </c>
    </row>
    <row r="15" spans="1:10" ht="15" customHeight="1" x14ac:dyDescent="0.25">
      <c r="A15" s="164"/>
      <c r="B15" s="169" t="s">
        <v>39</v>
      </c>
      <c r="C15" s="177">
        <v>482</v>
      </c>
      <c r="D15" s="173">
        <v>728.05</v>
      </c>
      <c r="E15" s="80">
        <f t="shared" si="1"/>
        <v>7.9855016064234105E-2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43</v>
      </c>
      <c r="C16" s="177">
        <v>467</v>
      </c>
      <c r="D16" s="173">
        <v>705.62</v>
      </c>
      <c r="E16" s="80">
        <f t="shared" si="1"/>
        <v>7.7394816887912748E-2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1" ht="15" customHeight="1" x14ac:dyDescent="0.25">
      <c r="A17" s="164"/>
      <c r="B17" s="169" t="s">
        <v>41</v>
      </c>
      <c r="C17" s="177">
        <v>281</v>
      </c>
      <c r="D17" s="173">
        <v>423.4</v>
      </c>
      <c r="E17" s="80">
        <f t="shared" si="1"/>
        <v>4.6439961268589687E-2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1" ht="15" customHeight="1" x14ac:dyDescent="0.25">
      <c r="A18" s="164"/>
      <c r="B18" s="169" t="s">
        <v>49</v>
      </c>
      <c r="C18" s="177">
        <v>21</v>
      </c>
      <c r="D18" s="173">
        <v>31.58</v>
      </c>
      <c r="E18" s="80">
        <f t="shared" si="1"/>
        <v>3.4638024961314651E-3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1" ht="15" customHeight="1" x14ac:dyDescent="0.25">
      <c r="A19" s="164"/>
      <c r="B19" s="169" t="s">
        <v>88</v>
      </c>
      <c r="C19" s="177"/>
      <c r="D19" s="173">
        <v>30.2</v>
      </c>
      <c r="E19" s="80">
        <f t="shared" si="1"/>
        <v>3.3124393724879748E-3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1" ht="15" customHeight="1" x14ac:dyDescent="0.25">
      <c r="A20" s="164"/>
      <c r="B20" s="169" t="s">
        <v>40</v>
      </c>
      <c r="C20" s="177"/>
      <c r="D20" s="173">
        <v>572.82000000000005</v>
      </c>
      <c r="E20" s="80">
        <f t="shared" si="1"/>
        <v>6.2828858322800066E-2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1" ht="15" customHeight="1" x14ac:dyDescent="0.25">
      <c r="A21" s="164"/>
      <c r="B21" s="169" t="s">
        <v>46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1" ht="15.75" customHeight="1" x14ac:dyDescent="0.25">
      <c r="A22" s="164"/>
      <c r="B22" s="169" t="s">
        <v>9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1" ht="15" customHeight="1" x14ac:dyDescent="0.25">
      <c r="B23" s="169" t="s">
        <v>46</v>
      </c>
      <c r="C23" s="177"/>
      <c r="D23" s="173"/>
      <c r="E23" s="80">
        <f t="shared" si="1"/>
        <v>0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  <c r="K23" s="68"/>
    </row>
    <row r="24" spans="1:11" ht="15" customHeight="1" thickBot="1" x14ac:dyDescent="0.3">
      <c r="B24" s="169" t="s">
        <v>46</v>
      </c>
      <c r="C24" s="177"/>
      <c r="D24" s="173">
        <v>28.44</v>
      </c>
      <c r="E24" s="80">
        <f t="shared" si="1"/>
        <v>3.11939654813106E-3</v>
      </c>
      <c r="F24" s="112" t="s">
        <v>198</v>
      </c>
      <c r="G24" s="190">
        <v>215275.19500000001</v>
      </c>
      <c r="H24" s="272">
        <v>242524.66</v>
      </c>
      <c r="I24" s="98">
        <f t="shared" si="2"/>
        <v>1.1265796786294864</v>
      </c>
      <c r="J24" s="108">
        <v>32010.999999999534</v>
      </c>
      <c r="K24" s="68"/>
    </row>
    <row r="25" spans="1:11" ht="15" customHeight="1" thickBot="1" x14ac:dyDescent="0.3">
      <c r="B25" s="178" t="s">
        <v>0</v>
      </c>
      <c r="C25" s="170"/>
      <c r="D25" s="171">
        <f>SUM(D5:D24)</f>
        <v>9117.148000000001</v>
      </c>
      <c r="E25" s="80">
        <f t="shared" si="1"/>
        <v>1</v>
      </c>
      <c r="F25" s="112" t="s">
        <v>199</v>
      </c>
      <c r="G25" s="190">
        <v>210045.58799999999</v>
      </c>
      <c r="H25" s="272">
        <f>+D26</f>
        <v>195799.32800000001</v>
      </c>
      <c r="I25" s="98">
        <f t="shared" si="2"/>
        <v>0.93217539042048347</v>
      </c>
      <c r="J25" s="108"/>
    </row>
    <row r="26" spans="1:11" ht="15" customHeight="1" x14ac:dyDescent="0.25">
      <c r="B26" s="166" t="s">
        <v>1</v>
      </c>
      <c r="C26" s="167"/>
      <c r="D26" s="233">
        <v>195799.32800000001</v>
      </c>
      <c r="E26" s="80"/>
      <c r="G26" s="68">
        <f>+SUM(G14:G25)</f>
        <v>2547596.0290000001</v>
      </c>
      <c r="H26" s="68">
        <f>+SUM(H14:H25)</f>
        <v>2565360.7689999999</v>
      </c>
      <c r="I26" s="98">
        <f t="shared" si="2"/>
        <v>1.0069731385187364</v>
      </c>
      <c r="J26" s="108">
        <f>+H26-G26</f>
        <v>17764.739999999758</v>
      </c>
    </row>
    <row r="27" spans="1:11" ht="16.5" thickBot="1" x14ac:dyDescent="0.3">
      <c r="E27" s="80"/>
      <c r="F27" s="179"/>
      <c r="G27" s="179"/>
      <c r="H27" s="179"/>
      <c r="I27" s="179"/>
      <c r="J27" s="179"/>
    </row>
    <row r="28" spans="1:11" ht="19.5" thickBot="1" x14ac:dyDescent="0.3">
      <c r="E28" s="313">
        <f>+D26/G2</f>
        <v>0.89000417579623847</v>
      </c>
      <c r="F28" s="179"/>
      <c r="G28" s="179"/>
      <c r="J28" s="179"/>
    </row>
    <row r="29" spans="1:11" x14ac:dyDescent="0.25">
      <c r="D29" s="108">
        <f>+(G2/31)*23</f>
        <v>163224.48041474045</v>
      </c>
      <c r="E29" s="314">
        <f>+D29/G2</f>
        <v>0.74193548387096786</v>
      </c>
      <c r="F29" s="352"/>
    </row>
    <row r="30" spans="1:11" x14ac:dyDescent="0.25">
      <c r="D30" s="183">
        <f>+D26-D29</f>
        <v>32574.847585259558</v>
      </c>
      <c r="E30" s="99">
        <f>E28-E29</f>
        <v>0.14806869192527061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626.15</v>
      </c>
      <c r="D33" s="108">
        <v>2142</v>
      </c>
      <c r="E33" s="57">
        <f>+C33/D33</f>
        <v>0.29232026143790851</v>
      </c>
      <c r="G33" s="86" t="s">
        <v>86</v>
      </c>
      <c r="H33" s="87">
        <v>19700</v>
      </c>
      <c r="I33" s="88">
        <f>+H33*0.025</f>
        <v>492.5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1393.6</v>
      </c>
      <c r="D34" s="108">
        <v>1890</v>
      </c>
      <c r="E34" s="57">
        <f>+C34/D34</f>
        <v>0.73735449735449732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346.74</v>
      </c>
      <c r="D35" s="108">
        <v>3006</v>
      </c>
      <c r="E35" s="57">
        <f>+C35/D35</f>
        <v>0.11534930139720559</v>
      </c>
      <c r="G35" s="89" t="s">
        <v>169</v>
      </c>
      <c r="H35" s="87">
        <v>239</v>
      </c>
      <c r="I35" s="88">
        <f>+H35*1.5</f>
        <v>358.5</v>
      </c>
      <c r="J35" s="298">
        <f>+I35+I33</f>
        <v>851</v>
      </c>
    </row>
    <row r="36" spans="1:11" x14ac:dyDescent="0.25">
      <c r="C36" s="162">
        <f>+SUM(C33:C35)</f>
        <v>2366.4899999999998</v>
      </c>
      <c r="D36" s="110">
        <f>+SUM(D33:D35)</f>
        <v>7038</v>
      </c>
      <c r="E36" s="57">
        <f>+C36/D36</f>
        <v>0.33624467178175615</v>
      </c>
      <c r="G36" s="89" t="s">
        <v>168</v>
      </c>
      <c r="H36" s="87">
        <v>8</v>
      </c>
      <c r="I36" s="88">
        <f>+H36*1.5</f>
        <v>12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14</v>
      </c>
      <c r="C40" s="74">
        <v>4</v>
      </c>
      <c r="D40" s="74">
        <v>18</v>
      </c>
      <c r="E40" s="75">
        <f>+SUM(B40:D40)</f>
        <v>36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8.6999999999999993</v>
      </c>
      <c r="C44" s="199">
        <v>1909</v>
      </c>
      <c r="D44" s="200">
        <v>3600</v>
      </c>
      <c r="E44" s="201">
        <f t="shared" si="3"/>
        <v>0.53027777777777774</v>
      </c>
      <c r="F44" s="201">
        <f t="shared" si="4"/>
        <v>0.36249999999999999</v>
      </c>
      <c r="G44" s="202">
        <v>12</v>
      </c>
      <c r="H44" s="71"/>
    </row>
    <row r="45" spans="1:11" x14ac:dyDescent="0.25">
      <c r="A45" s="207" t="s">
        <v>72</v>
      </c>
      <c r="B45" s="199">
        <v>14.13</v>
      </c>
      <c r="C45" s="199">
        <v>1300</v>
      </c>
      <c r="D45" s="200">
        <v>3900</v>
      </c>
      <c r="E45" s="201">
        <f t="shared" si="3"/>
        <v>0.33333333333333331</v>
      </c>
      <c r="F45" s="201">
        <f t="shared" si="4"/>
        <v>0.58875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12.26</v>
      </c>
      <c r="C46" s="199">
        <v>2807</v>
      </c>
      <c r="D46" s="200">
        <v>3900</v>
      </c>
      <c r="E46" s="201">
        <f t="shared" si="3"/>
        <v>0.71974358974358976</v>
      </c>
      <c r="F46" s="201">
        <f t="shared" si="4"/>
        <v>0.51083333333333336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17.989999999999998</v>
      </c>
      <c r="C47" s="199">
        <v>2329</v>
      </c>
      <c r="D47" s="200">
        <v>3900</v>
      </c>
      <c r="E47" s="201">
        <f t="shared" si="3"/>
        <v>0.59717948717948721</v>
      </c>
      <c r="F47" s="201">
        <f t="shared" si="4"/>
        <v>0.74958333333333327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8.56</v>
      </c>
      <c r="C48" s="261">
        <v>4606</v>
      </c>
      <c r="D48" s="262">
        <v>4300</v>
      </c>
      <c r="E48" s="263">
        <f t="shared" si="3"/>
        <v>1.0711627906976744</v>
      </c>
      <c r="F48" s="201">
        <f t="shared" si="4"/>
        <v>0.35666666666666669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61.64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60"/>
      <c r="I52" s="332"/>
      <c r="J52" s="333"/>
      <c r="K52" s="361"/>
    </row>
    <row r="53" spans="2:11" x14ac:dyDescent="0.25">
      <c r="C53" s="71">
        <v>3</v>
      </c>
      <c r="D53" s="225" t="s">
        <v>154</v>
      </c>
      <c r="H53" s="301"/>
      <c r="I53" s="129"/>
      <c r="J53"/>
      <c r="K53" s="318"/>
    </row>
    <row r="54" spans="2:11" x14ac:dyDescent="0.25">
      <c r="C54" s="71">
        <v>4</v>
      </c>
      <c r="D54" s="225" t="s">
        <v>153</v>
      </c>
      <c r="H54" s="301"/>
      <c r="I54" s="129"/>
      <c r="J54"/>
      <c r="K54" s="318"/>
    </row>
    <row r="55" spans="2:11" x14ac:dyDescent="0.25">
      <c r="C55" s="71">
        <v>5</v>
      </c>
      <c r="D55" s="108">
        <v>16</v>
      </c>
      <c r="H55" s="359" t="s">
        <v>224</v>
      </c>
      <c r="I55" s="345"/>
      <c r="J55" s="199">
        <v>49</v>
      </c>
      <c r="K55" s="346">
        <v>73.5</v>
      </c>
    </row>
    <row r="56" spans="2:11" x14ac:dyDescent="0.25">
      <c r="C56" s="71">
        <v>6</v>
      </c>
      <c r="D56" s="225" t="s">
        <v>153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225" t="s">
        <v>153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H63" s="359" t="s">
        <v>224</v>
      </c>
      <c r="I63" s="345"/>
      <c r="J63" s="200">
        <v>6042</v>
      </c>
      <c r="K63" s="346">
        <v>151.05000000000001</v>
      </c>
    </row>
    <row r="64" spans="2:11" x14ac:dyDescent="0.25">
      <c r="H64" s="237" t="s">
        <v>205</v>
      </c>
      <c r="I64"/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v>70.5</v>
      </c>
    </row>
    <row r="66" spans="8:11" x14ac:dyDescent="0.25">
      <c r="H66"/>
      <c r="I66" s="129"/>
      <c r="J66"/>
      <c r="K66" s="215"/>
    </row>
    <row r="67" spans="8:11" x14ac:dyDescent="0.25">
      <c r="H67" s="237" t="s">
        <v>167</v>
      </c>
      <c r="I67"/>
      <c r="J67" s="162" t="s">
        <v>157</v>
      </c>
      <c r="K67" s="215" t="s">
        <v>92</v>
      </c>
    </row>
    <row r="68" spans="8:11" x14ac:dyDescent="0.25">
      <c r="H68" s="301">
        <v>45990</v>
      </c>
      <c r="I68" s="129" t="s">
        <v>176</v>
      </c>
      <c r="J68" s="68">
        <v>43</v>
      </c>
      <c r="K68" s="318">
        <v>64.5</v>
      </c>
    </row>
    <row r="69" spans="8:11" x14ac:dyDescent="0.25">
      <c r="H69" s="301">
        <v>45991</v>
      </c>
      <c r="I69" s="129" t="s">
        <v>175</v>
      </c>
      <c r="J69" s="68">
        <v>222</v>
      </c>
      <c r="K69" s="318">
        <v>333</v>
      </c>
    </row>
    <row r="70" spans="8:11" x14ac:dyDescent="0.25">
      <c r="H70" s="301">
        <v>45991</v>
      </c>
      <c r="I70" s="129" t="s">
        <v>176</v>
      </c>
      <c r="J70" s="68">
        <v>199</v>
      </c>
      <c r="K70" s="318">
        <v>298.5</v>
      </c>
    </row>
    <row r="71" spans="8:11" x14ac:dyDescent="0.25">
      <c r="H71" s="301">
        <v>45992</v>
      </c>
      <c r="I71" s="129" t="s">
        <v>175</v>
      </c>
      <c r="J71" s="68">
        <v>163</v>
      </c>
      <c r="K71" s="318">
        <v>244.5</v>
      </c>
    </row>
    <row r="72" spans="8:11" x14ac:dyDescent="0.25">
      <c r="H72" s="301">
        <v>46005</v>
      </c>
      <c r="I72" s="129"/>
      <c r="J72" s="162">
        <v>519</v>
      </c>
      <c r="K72" s="318">
        <v>778.5</v>
      </c>
    </row>
    <row r="73" spans="8:11" x14ac:dyDescent="0.25">
      <c r="H73" s="344"/>
      <c r="I73" s="345"/>
      <c r="J73" s="200">
        <v>519</v>
      </c>
      <c r="K73" s="346">
        <v>778.5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3" workbookViewId="0">
      <selection activeCell="A29" sqref="A29:K75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v>46019</v>
      </c>
      <c r="C1" s="518"/>
      <c r="D1" s="518"/>
      <c r="E1" s="61" t="s">
        <v>161</v>
      </c>
      <c r="F1" s="307" t="s">
        <v>198</v>
      </c>
      <c r="G1" s="307" t="s">
        <v>199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</row>
    <row r="4" spans="1:10" ht="19.5" customHeight="1" thickBot="1" x14ac:dyDescent="0.4">
      <c r="A4" s="164"/>
      <c r="B4" s="369"/>
      <c r="C4" s="369"/>
      <c r="D4" s="165">
        <f>D23</f>
        <v>4776.4869999999983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2346</v>
      </c>
      <c r="D5" s="172">
        <v>100.04500000000002</v>
      </c>
      <c r="E5" s="80">
        <f>+D5/$D$4</f>
        <v>2.0945309806139963E-2</v>
      </c>
      <c r="F5" s="58" t="s">
        <v>51</v>
      </c>
      <c r="G5" s="59">
        <v>46014</v>
      </c>
      <c r="H5" s="190">
        <v>7070</v>
      </c>
      <c r="I5" s="141">
        <v>8461.7559999999994</v>
      </c>
      <c r="J5" s="60">
        <f t="shared" ref="J5:J12" si="0">+I5/H5</f>
        <v>1.1968537482319659</v>
      </c>
    </row>
    <row r="6" spans="1:10" ht="15" customHeight="1" x14ac:dyDescent="0.25">
      <c r="A6" s="164"/>
      <c r="B6" s="169" t="s">
        <v>10</v>
      </c>
      <c r="C6" s="177">
        <v>5275</v>
      </c>
      <c r="D6" s="173">
        <v>225.37799999999999</v>
      </c>
      <c r="E6" s="80">
        <f t="shared" ref="E6:E23" si="1">+D6/$D$4</f>
        <v>4.7184887135671059E-2</v>
      </c>
      <c r="F6" s="58" t="s">
        <v>52</v>
      </c>
      <c r="G6" s="59">
        <v>46015</v>
      </c>
      <c r="H6" s="190">
        <v>9604</v>
      </c>
      <c r="I6" s="141">
        <v>9117.148000000001</v>
      </c>
      <c r="J6" s="60">
        <f t="shared" si="0"/>
        <v>0.94930737192836334</v>
      </c>
    </row>
    <row r="7" spans="1:10" ht="15" customHeight="1" x14ac:dyDescent="0.25">
      <c r="A7" s="164"/>
      <c r="B7" s="169" t="s">
        <v>35</v>
      </c>
      <c r="C7" s="177">
        <v>18635</v>
      </c>
      <c r="D7" s="173">
        <v>794.30399999999986</v>
      </c>
      <c r="E7" s="80">
        <f t="shared" si="1"/>
        <v>0.16629460103209748</v>
      </c>
      <c r="F7" s="58" t="s">
        <v>53</v>
      </c>
      <c r="G7" s="59">
        <v>46016</v>
      </c>
      <c r="H7" s="190">
        <v>4953</v>
      </c>
      <c r="I7" s="141">
        <v>5302.55</v>
      </c>
      <c r="J7" s="60">
        <f t="shared" si="0"/>
        <v>1.0705733898647285</v>
      </c>
    </row>
    <row r="8" spans="1:10" ht="15" customHeight="1" x14ac:dyDescent="0.25">
      <c r="A8" s="164"/>
      <c r="B8" s="169" t="s">
        <v>4</v>
      </c>
      <c r="C8" s="177">
        <v>6507</v>
      </c>
      <c r="D8" s="173">
        <v>277.37</v>
      </c>
      <c r="E8" s="80">
        <f t="shared" si="1"/>
        <v>5.8069874365825787E-2</v>
      </c>
      <c r="F8" s="58" t="s">
        <v>54</v>
      </c>
      <c r="G8" s="59">
        <v>46017</v>
      </c>
      <c r="H8" s="190">
        <v>3794.7999999999997</v>
      </c>
      <c r="I8" s="141">
        <v>2172.3200000000002</v>
      </c>
      <c r="J8" s="60">
        <f t="shared" si="0"/>
        <v>0.57244650574470335</v>
      </c>
    </row>
    <row r="9" spans="1:10" ht="15" customHeight="1" x14ac:dyDescent="0.25">
      <c r="A9" s="164"/>
      <c r="B9" s="169" t="s">
        <v>37</v>
      </c>
      <c r="C9" s="177">
        <v>20730</v>
      </c>
      <c r="D9" s="173">
        <v>884.50799999999992</v>
      </c>
      <c r="E9" s="245">
        <f t="shared" si="1"/>
        <v>0.1851796100355764</v>
      </c>
      <c r="F9" s="58" t="s">
        <v>55</v>
      </c>
      <c r="G9" s="59">
        <v>46018</v>
      </c>
      <c r="H9" s="190">
        <v>8969</v>
      </c>
      <c r="I9" s="141">
        <v>7223.25</v>
      </c>
      <c r="J9" s="60">
        <f t="shared" si="0"/>
        <v>0.80535734195562492</v>
      </c>
    </row>
    <row r="10" spans="1:10" ht="15" customHeight="1" x14ac:dyDescent="0.25">
      <c r="A10" s="164"/>
      <c r="B10" s="169" t="s">
        <v>38</v>
      </c>
      <c r="C10" s="177">
        <v>19605</v>
      </c>
      <c r="D10" s="173">
        <v>836.32400000000007</v>
      </c>
      <c r="E10" s="245">
        <f t="shared" si="1"/>
        <v>0.17509186144545152</v>
      </c>
      <c r="F10" s="58" t="s">
        <v>56</v>
      </c>
      <c r="G10" s="59">
        <v>46019</v>
      </c>
      <c r="H10" s="190">
        <v>7924</v>
      </c>
      <c r="I10" s="141">
        <v>7267.2</v>
      </c>
      <c r="J10" s="60">
        <f t="shared" si="0"/>
        <v>0.91711256940938912</v>
      </c>
    </row>
    <row r="11" spans="1:10" ht="15" customHeight="1" x14ac:dyDescent="0.25">
      <c r="A11" s="164"/>
      <c r="B11" s="169" t="s">
        <v>42</v>
      </c>
      <c r="C11" s="177">
        <v>6845</v>
      </c>
      <c r="D11" s="173">
        <v>292.44800000000004</v>
      </c>
      <c r="E11" s="80">
        <f t="shared" si="1"/>
        <v>6.1226587657414358E-2</v>
      </c>
      <c r="F11" s="58" t="s">
        <v>57</v>
      </c>
      <c r="G11" s="59">
        <v>46020</v>
      </c>
      <c r="H11" s="190">
        <v>5473.0000000000009</v>
      </c>
      <c r="I11" s="141">
        <v>4776.4869999999983</v>
      </c>
      <c r="J11" s="60">
        <f t="shared" si="0"/>
        <v>0.87273652475790198</v>
      </c>
    </row>
    <row r="12" spans="1:10" ht="15" customHeight="1" x14ac:dyDescent="0.25">
      <c r="A12" s="164"/>
      <c r="B12" s="169" t="s">
        <v>196</v>
      </c>
      <c r="C12" s="177">
        <v>6840</v>
      </c>
      <c r="D12" s="173">
        <v>171.92999999999998</v>
      </c>
      <c r="E12" s="80">
        <f t="shared" si="1"/>
        <v>3.5995073366681424E-2</v>
      </c>
      <c r="H12" s="139">
        <f>+SUM(H5:H11)</f>
        <v>47787.8</v>
      </c>
      <c r="I12" s="142">
        <f>+SUM(I5:I11)</f>
        <v>44320.711000000003</v>
      </c>
      <c r="J12" s="140">
        <f t="shared" si="0"/>
        <v>0.92744823992734549</v>
      </c>
    </row>
    <row r="13" spans="1:10" ht="15" customHeight="1" x14ac:dyDescent="0.25">
      <c r="A13" s="164"/>
      <c r="B13" s="169" t="s">
        <v>95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85</v>
      </c>
      <c r="D14" s="173">
        <v>128.47</v>
      </c>
      <c r="E14" s="80">
        <f t="shared" si="1"/>
        <v>2.6896336156677501E-2</v>
      </c>
      <c r="F14" s="112" t="s">
        <v>108</v>
      </c>
      <c r="G14" s="190">
        <v>204007.80300000001</v>
      </c>
      <c r="H14" s="190">
        <v>190629.128</v>
      </c>
      <c r="I14" s="57">
        <f t="shared" ref="I14:I26" si="2">+H14/G14</f>
        <v>0.93442076820953746</v>
      </c>
    </row>
    <row r="15" spans="1:10" ht="15" customHeight="1" x14ac:dyDescent="0.25">
      <c r="A15" s="164"/>
      <c r="B15" s="169" t="s">
        <v>41</v>
      </c>
      <c r="C15" s="177">
        <v>64</v>
      </c>
      <c r="D15" s="173">
        <v>96.1</v>
      </c>
      <c r="E15" s="80">
        <f t="shared" si="1"/>
        <v>2.0119388998651108E-2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85</v>
      </c>
      <c r="C16" s="177">
        <v>315</v>
      </c>
      <c r="D16" s="173">
        <v>475.27</v>
      </c>
      <c r="E16" s="80">
        <f t="shared" si="1"/>
        <v>9.9501998016533935E-2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88</v>
      </c>
      <c r="C17" s="177">
        <v>30.37</v>
      </c>
      <c r="D17" s="173">
        <v>30.37</v>
      </c>
      <c r="E17" s="80">
        <f t="shared" si="1"/>
        <v>6.3582293849015004E-3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45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184</v>
      </c>
      <c r="C19" s="177"/>
      <c r="D19" s="173">
        <v>32.19</v>
      </c>
      <c r="E19" s="80">
        <f t="shared" si="1"/>
        <v>6.7392625584451523E-3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46</v>
      </c>
      <c r="C20" s="177"/>
      <c r="D20" s="173">
        <v>30.32</v>
      </c>
      <c r="E20" s="80">
        <f t="shared" si="1"/>
        <v>6.3477614405733776E-3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9</v>
      </c>
      <c r="C21" s="177"/>
      <c r="D21" s="173">
        <v>62.65</v>
      </c>
      <c r="E21" s="80">
        <f t="shared" si="1"/>
        <v>1.3116334243137273E-2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thickBot="1" x14ac:dyDescent="0.3">
      <c r="A22" s="164"/>
      <c r="B22" s="169" t="s">
        <v>40</v>
      </c>
      <c r="C22" s="177"/>
      <c r="D22" s="173">
        <v>338.81</v>
      </c>
      <c r="E22" s="80">
        <f t="shared" si="1"/>
        <v>7.0932884356222498E-2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thickBot="1" x14ac:dyDescent="0.3">
      <c r="B23" s="178" t="s">
        <v>0</v>
      </c>
      <c r="C23" s="170"/>
      <c r="D23" s="171">
        <f>SUM(D5:D22)</f>
        <v>4776.4869999999983</v>
      </c>
      <c r="E23" s="80">
        <f t="shared" si="1"/>
        <v>1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x14ac:dyDescent="0.25">
      <c r="B24" s="166" t="s">
        <v>1</v>
      </c>
      <c r="C24" s="167"/>
      <c r="D24" s="233">
        <v>222579.965</v>
      </c>
      <c r="E24" s="80"/>
      <c r="F24" s="112" t="s">
        <v>198</v>
      </c>
      <c r="G24" s="190">
        <v>215275.19500000001</v>
      </c>
      <c r="H24" s="272">
        <v>242524.66</v>
      </c>
      <c r="I24" s="98">
        <f t="shared" si="2"/>
        <v>1.1265796786294864</v>
      </c>
      <c r="J24" s="108">
        <v>32010.999999999534</v>
      </c>
    </row>
    <row r="25" spans="1:10" x14ac:dyDescent="0.25">
      <c r="E25" s="80"/>
      <c r="F25" s="112" t="s">
        <v>199</v>
      </c>
      <c r="G25" s="190">
        <v>210045.58799999999</v>
      </c>
      <c r="H25" s="272">
        <f>+D24</f>
        <v>222579.965</v>
      </c>
      <c r="I25" s="98">
        <f t="shared" si="2"/>
        <v>1.0596745550304061</v>
      </c>
      <c r="J25" s="108">
        <f>+H25-G25</f>
        <v>12534.377000000008</v>
      </c>
    </row>
    <row r="26" spans="1:10" x14ac:dyDescent="0.25">
      <c r="E26" s="80"/>
      <c r="G26" s="68">
        <f>+SUM(G14:G25)</f>
        <v>2547596.0290000001</v>
      </c>
      <c r="H26" s="68">
        <f>+SUM(H14:H25)</f>
        <v>2592141.4059999995</v>
      </c>
      <c r="I26" s="98">
        <f t="shared" si="2"/>
        <v>1.0174852592376997</v>
      </c>
      <c r="J26" s="108">
        <f>+H26-G26</f>
        <v>44545.376999999397</v>
      </c>
    </row>
    <row r="27" spans="1:10" ht="16.5" thickBot="1" x14ac:dyDescent="0.3"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+D24/G2</f>
        <v>1.0117353329148331</v>
      </c>
      <c r="F28" s="179"/>
      <c r="G28" s="179"/>
      <c r="J28" s="179"/>
    </row>
    <row r="29" spans="1:10" x14ac:dyDescent="0.25">
      <c r="D29" s="108">
        <f>+(G2/31)*28</f>
        <v>198708.06311359705</v>
      </c>
      <c r="E29" s="314">
        <f>+D29/G2</f>
        <v>0.90322580645161288</v>
      </c>
      <c r="F29" s="352"/>
    </row>
    <row r="30" spans="1:10" x14ac:dyDescent="0.25">
      <c r="D30" s="183">
        <f>+D24-D29</f>
        <v>23871.901886402949</v>
      </c>
      <c r="E30" s="99">
        <f>E28-E29</f>
        <v>0.10850952646322021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688</v>
      </c>
      <c r="D33" s="108">
        <v>2142</v>
      </c>
      <c r="E33" s="57">
        <f>+C33/D33</f>
        <v>0.32119514472455651</v>
      </c>
      <c r="G33" s="86" t="s">
        <v>86</v>
      </c>
      <c r="H33" s="87">
        <v>17339</v>
      </c>
      <c r="I33" s="88">
        <f>+H33*0.025</f>
        <v>433.47500000000002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1178</v>
      </c>
      <c r="D34" s="108">
        <v>1890</v>
      </c>
      <c r="E34" s="57">
        <f>+C34/D34</f>
        <v>0.62328042328042332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1002</v>
      </c>
      <c r="D35" s="108">
        <v>3006</v>
      </c>
      <c r="E35" s="57">
        <f>+C35/D35</f>
        <v>0.33333333333333331</v>
      </c>
      <c r="G35" s="89" t="s">
        <v>169</v>
      </c>
      <c r="H35" s="87">
        <v>342</v>
      </c>
      <c r="I35" s="88">
        <f>+H35*1.5</f>
        <v>513</v>
      </c>
      <c r="J35" s="298">
        <f>+I35+I33</f>
        <v>946.47500000000002</v>
      </c>
    </row>
    <row r="36" spans="1:11" x14ac:dyDescent="0.25">
      <c r="C36" s="162">
        <f>+SUM(C33:C35)</f>
        <v>2868</v>
      </c>
      <c r="D36" s="110">
        <f>+SUM(D33:D35)</f>
        <v>7038</v>
      </c>
      <c r="E36" s="57">
        <f>+C36/D36</f>
        <v>0.40750213128729751</v>
      </c>
      <c r="G36" s="89" t="s">
        <v>168</v>
      </c>
      <c r="H36" s="87">
        <v>34</v>
      </c>
      <c r="I36" s="88">
        <f>+H36*1.5</f>
        <v>51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32</v>
      </c>
      <c r="C40" s="74">
        <v>1</v>
      </c>
      <c r="D40" s="74">
        <v>16</v>
      </c>
      <c r="E40" s="75">
        <f>+SUM(B40:D40)</f>
        <v>49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9.84</v>
      </c>
      <c r="C44" s="199">
        <v>1619</v>
      </c>
      <c r="D44" s="200">
        <v>3600</v>
      </c>
      <c r="E44" s="201">
        <f t="shared" si="3"/>
        <v>0.44972222222222225</v>
      </c>
      <c r="F44" s="201">
        <f t="shared" si="4"/>
        <v>0.41</v>
      </c>
      <c r="G44" s="202">
        <v>12</v>
      </c>
      <c r="H44" s="71"/>
    </row>
    <row r="45" spans="1:11" x14ac:dyDescent="0.25">
      <c r="A45" s="207" t="s">
        <v>72</v>
      </c>
      <c r="B45" s="199">
        <v>7.76</v>
      </c>
      <c r="C45" s="199">
        <v>1149</v>
      </c>
      <c r="D45" s="200">
        <v>3900</v>
      </c>
      <c r="E45" s="201">
        <f t="shared" si="3"/>
        <v>0.29461538461538461</v>
      </c>
      <c r="F45" s="201">
        <f t="shared" si="4"/>
        <v>0.32333333333333331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5.64</v>
      </c>
      <c r="C46" s="199">
        <v>2938</v>
      </c>
      <c r="D46" s="200">
        <v>3900</v>
      </c>
      <c r="E46" s="201">
        <f t="shared" si="3"/>
        <v>0.7533333333333333</v>
      </c>
      <c r="F46" s="201">
        <f t="shared" si="4"/>
        <v>0.23499999999999999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8.92</v>
      </c>
      <c r="C47" s="199">
        <v>1205</v>
      </c>
      <c r="D47" s="200">
        <v>3900</v>
      </c>
      <c r="E47" s="201">
        <f t="shared" si="3"/>
        <v>0.30897435897435899</v>
      </c>
      <c r="F47" s="201">
        <f t="shared" si="4"/>
        <v>0.37166666666666665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10.23</v>
      </c>
      <c r="C48" s="261">
        <v>2376</v>
      </c>
      <c r="D48" s="262">
        <v>4300</v>
      </c>
      <c r="E48" s="263">
        <f t="shared" si="3"/>
        <v>0.55255813953488375</v>
      </c>
      <c r="F48" s="201">
        <f t="shared" si="4"/>
        <v>0.42625000000000002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42.39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154</v>
      </c>
      <c r="H53" s="301"/>
      <c r="I53" s="129"/>
      <c r="J53"/>
      <c r="K53" s="318"/>
    </row>
    <row r="54" spans="2:11" x14ac:dyDescent="0.25">
      <c r="C54" s="71">
        <v>4</v>
      </c>
      <c r="D54" s="108">
        <v>3</v>
      </c>
      <c r="H54" s="301"/>
      <c r="I54" s="129"/>
      <c r="J54"/>
      <c r="K54" s="318"/>
    </row>
    <row r="55" spans="2:11" x14ac:dyDescent="0.25">
      <c r="C55" s="71">
        <v>5</v>
      </c>
      <c r="D55" s="108">
        <v>3</v>
      </c>
      <c r="H55" s="359" t="s">
        <v>224</v>
      </c>
      <c r="I55" s="345"/>
      <c r="J55" s="199">
        <f>+J52</f>
        <v>47</v>
      </c>
      <c r="K55" s="346">
        <f>+J55*1.5</f>
        <v>70.5</v>
      </c>
    </row>
    <row r="56" spans="2:11" x14ac:dyDescent="0.25">
      <c r="C56" s="71">
        <v>6</v>
      </c>
      <c r="D56" s="108">
        <v>1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108">
        <v>5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H63" s="359" t="s">
        <v>224</v>
      </c>
      <c r="I63" s="345"/>
      <c r="J63" s="200">
        <v>6042</v>
      </c>
      <c r="K63" s="346">
        <v>151.05000000000001</v>
      </c>
    </row>
    <row r="64" spans="2:11" x14ac:dyDescent="0.25">
      <c r="H64" s="237" t="s">
        <v>205</v>
      </c>
      <c r="I64"/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v>70.5</v>
      </c>
    </row>
    <row r="66" spans="8:11" x14ac:dyDescent="0.25">
      <c r="H66"/>
      <c r="I66" s="129"/>
      <c r="J66"/>
      <c r="K66" s="215"/>
    </row>
    <row r="67" spans="8:11" x14ac:dyDescent="0.25">
      <c r="H67" s="237" t="s">
        <v>167</v>
      </c>
      <c r="I67"/>
      <c r="J67" s="162" t="s">
        <v>157</v>
      </c>
      <c r="K67" s="215" t="s">
        <v>92</v>
      </c>
    </row>
    <row r="68" spans="8:11" x14ac:dyDescent="0.25">
      <c r="H68" s="301">
        <v>46005</v>
      </c>
      <c r="I68" s="129"/>
      <c r="J68" s="162">
        <v>519</v>
      </c>
      <c r="K68" s="318">
        <v>778.5</v>
      </c>
    </row>
    <row r="69" spans="8:11" x14ac:dyDescent="0.25">
      <c r="H69" s="301">
        <v>46018</v>
      </c>
      <c r="I69" s="129" t="s">
        <v>175</v>
      </c>
      <c r="J69" s="68">
        <v>46</v>
      </c>
      <c r="K69" s="318">
        <f>+J69*1.5</f>
        <v>69</v>
      </c>
    </row>
    <row r="70" spans="8:11" x14ac:dyDescent="0.25">
      <c r="H70" s="301">
        <v>46018</v>
      </c>
      <c r="I70" s="129" t="s">
        <v>176</v>
      </c>
      <c r="J70" s="68">
        <v>170</v>
      </c>
      <c r="K70" s="318">
        <f>+J70*1.5</f>
        <v>255</v>
      </c>
    </row>
    <row r="71" spans="8:11" x14ac:dyDescent="0.25">
      <c r="H71" s="301">
        <v>46019</v>
      </c>
      <c r="I71" s="129" t="s">
        <v>175</v>
      </c>
      <c r="J71" s="68">
        <v>182</v>
      </c>
      <c r="K71" s="318">
        <f>+J71*1.5</f>
        <v>273</v>
      </c>
    </row>
    <row r="72" spans="8:11" x14ac:dyDescent="0.25">
      <c r="H72" s="301">
        <v>46019</v>
      </c>
      <c r="I72" s="129" t="s">
        <v>176</v>
      </c>
      <c r="J72" s="162">
        <v>139</v>
      </c>
      <c r="K72" s="318">
        <f>+J72*1.5</f>
        <v>208.5</v>
      </c>
    </row>
    <row r="73" spans="8:11" x14ac:dyDescent="0.25">
      <c r="H73" s="344"/>
      <c r="I73" s="345"/>
      <c r="J73" s="200">
        <f>+J72+J71+J70+J69</f>
        <v>537</v>
      </c>
      <c r="K73" s="346">
        <f>+K72+K71+K70+K69</f>
        <v>805.5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3" workbookViewId="0">
      <selection activeCell="A27" sqref="A27:K73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0" ht="19.5" customHeight="1" thickBot="1" x14ac:dyDescent="0.4">
      <c r="A4" s="164"/>
      <c r="B4" s="369"/>
      <c r="C4" s="369"/>
      <c r="D4" s="165">
        <f>D23</f>
        <v>8344.6610000000001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3880</v>
      </c>
      <c r="D5" s="172">
        <v>165.30800000000002</v>
      </c>
      <c r="E5" s="80">
        <f>+D5/$D$4</f>
        <v>1.9810031827536195E-2</v>
      </c>
      <c r="F5" s="58" t="s">
        <v>51</v>
      </c>
      <c r="G5" s="59">
        <v>46020</v>
      </c>
      <c r="H5" s="190">
        <v>7457</v>
      </c>
      <c r="I5" s="141">
        <v>8344.6610000000001</v>
      </c>
      <c r="J5" s="60">
        <f t="shared" ref="J5:J12" si="0">+I5/H5</f>
        <v>1.1190372804076707</v>
      </c>
    </row>
    <row r="6" spans="1:10" ht="15" customHeight="1" x14ac:dyDescent="0.25">
      <c r="A6" s="164"/>
      <c r="B6" s="169" t="s">
        <v>10</v>
      </c>
      <c r="C6" s="177">
        <v>13983</v>
      </c>
      <c r="D6" s="173">
        <v>596.74899999999991</v>
      </c>
      <c r="E6" s="80">
        <f t="shared" ref="E6:E23" si="1">+D6/$D$4</f>
        <v>7.1512671395518632E-2</v>
      </c>
      <c r="F6" s="58" t="s">
        <v>52</v>
      </c>
      <c r="G6" s="59">
        <v>46021</v>
      </c>
      <c r="H6" s="190">
        <v>9615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22571</v>
      </c>
      <c r="D7" s="173">
        <v>961.07600000000025</v>
      </c>
      <c r="E7" s="80">
        <f t="shared" si="1"/>
        <v>0.1151725636308054</v>
      </c>
      <c r="F7" s="58" t="s">
        <v>53</v>
      </c>
      <c r="G7" s="59">
        <v>46022</v>
      </c>
      <c r="H7" s="190">
        <v>4716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37</v>
      </c>
      <c r="C8" s="177">
        <v>30079</v>
      </c>
      <c r="D8" s="173">
        <v>1283.5999999999997</v>
      </c>
      <c r="E8" s="80">
        <f t="shared" si="1"/>
        <v>0.15382290544816615</v>
      </c>
      <c r="F8" s="58" t="s">
        <v>54</v>
      </c>
      <c r="G8" s="59">
        <v>46023</v>
      </c>
      <c r="H8" s="190">
        <v>3454.3999999999996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38</v>
      </c>
      <c r="C9" s="177">
        <v>51528</v>
      </c>
      <c r="D9" s="173">
        <v>2201.018</v>
      </c>
      <c r="E9" s="245">
        <f t="shared" si="1"/>
        <v>0.26376362083492666</v>
      </c>
      <c r="F9" s="58" t="s">
        <v>55</v>
      </c>
      <c r="G9" s="59">
        <v>46024</v>
      </c>
      <c r="H9" s="190">
        <v>7056.4000000000005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19416</v>
      </c>
      <c r="D10" s="173">
        <v>829.63</v>
      </c>
      <c r="E10" s="245">
        <f t="shared" si="1"/>
        <v>9.9420455786040918E-2</v>
      </c>
      <c r="F10" s="58" t="s">
        <v>56</v>
      </c>
      <c r="G10" s="59">
        <v>46025</v>
      </c>
      <c r="H10" s="190">
        <v>6050.8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42</v>
      </c>
      <c r="C11" s="177"/>
      <c r="D11" s="173"/>
      <c r="E11" s="80">
        <f t="shared" si="1"/>
        <v>0</v>
      </c>
      <c r="F11" s="58" t="s">
        <v>57</v>
      </c>
      <c r="G11" s="59">
        <v>46026</v>
      </c>
      <c r="H11" s="190">
        <v>4195.2000000000007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44</v>
      </c>
      <c r="C12" s="177">
        <v>42</v>
      </c>
      <c r="D12" s="173">
        <v>63.370000000000005</v>
      </c>
      <c r="E12" s="80">
        <f t="shared" si="1"/>
        <v>7.5940772189547314E-3</v>
      </c>
      <c r="H12" s="139">
        <f>+SUM(H5:H11)</f>
        <v>42544.800000000003</v>
      </c>
      <c r="I12" s="142">
        <f>+SUM(I5:I11)</f>
        <v>8344.6610000000001</v>
      </c>
      <c r="J12" s="140">
        <f t="shared" si="0"/>
        <v>0.1961382119553976</v>
      </c>
    </row>
    <row r="13" spans="1:10" ht="15" customHeight="1" x14ac:dyDescent="0.25">
      <c r="A13" s="164"/>
      <c r="B13" s="169" t="s">
        <v>49</v>
      </c>
      <c r="C13" s="177">
        <v>104</v>
      </c>
      <c r="D13" s="173">
        <v>156.47</v>
      </c>
      <c r="E13" s="80">
        <f t="shared" si="1"/>
        <v>1.8750911510964915E-2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39</v>
      </c>
      <c r="C14" s="177">
        <v>422</v>
      </c>
      <c r="D14" s="173">
        <v>637.54999999999984</v>
      </c>
      <c r="E14" s="80">
        <f t="shared" si="1"/>
        <v>7.640214503620936E-2</v>
      </c>
      <c r="F14" s="112" t="s">
        <v>108</v>
      </c>
      <c r="G14" s="190">
        <v>204007.80300000001</v>
      </c>
      <c r="H14" s="190">
        <v>190629.128</v>
      </c>
      <c r="I14" s="57">
        <f t="shared" ref="I14:I26" si="2">+H14/G14</f>
        <v>0.93442076820953746</v>
      </c>
    </row>
    <row r="15" spans="1:10" ht="15" customHeight="1" x14ac:dyDescent="0.25">
      <c r="A15" s="164"/>
      <c r="B15" s="169" t="s">
        <v>43</v>
      </c>
      <c r="C15" s="177">
        <v>253</v>
      </c>
      <c r="D15" s="173">
        <v>382.93999999999994</v>
      </c>
      <c r="E15" s="80">
        <f t="shared" si="1"/>
        <v>4.5890420233967555E-2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194</v>
      </c>
      <c r="C16" s="177">
        <v>110</v>
      </c>
      <c r="D16" s="173">
        <v>166.58999999999997</v>
      </c>
      <c r="E16" s="80">
        <f t="shared" si="1"/>
        <v>1.996366299361951E-2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41</v>
      </c>
      <c r="C17" s="177">
        <v>103</v>
      </c>
      <c r="D17" s="173">
        <v>154.81</v>
      </c>
      <c r="E17" s="80">
        <f t="shared" si="1"/>
        <v>1.8551981919936591E-2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85</v>
      </c>
      <c r="C18" s="177">
        <v>23</v>
      </c>
      <c r="D18" s="173">
        <v>34.770000000000003</v>
      </c>
      <c r="E18" s="80">
        <f t="shared" si="1"/>
        <v>4.1667360723221716E-3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46</v>
      </c>
      <c r="C19" s="177">
        <v>58.230000000000004</v>
      </c>
      <c r="D19" s="173">
        <v>58.230000000000004</v>
      </c>
      <c r="E19" s="80">
        <f t="shared" si="1"/>
        <v>6.9781145093851032E-3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9</v>
      </c>
      <c r="C20" s="177">
        <v>122.21000000000001</v>
      </c>
      <c r="D20" s="173">
        <v>122.21000000000001</v>
      </c>
      <c r="E20" s="80">
        <f t="shared" si="1"/>
        <v>1.4645292361187591E-2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A21" s="164"/>
      <c r="B21" s="169" t="s">
        <v>184</v>
      </c>
      <c r="C21" s="177">
        <v>32.28</v>
      </c>
      <c r="D21" s="173">
        <v>32.28</v>
      </c>
      <c r="E21" s="80">
        <f t="shared" si="1"/>
        <v>3.868341685779686E-3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thickBot="1" x14ac:dyDescent="0.3">
      <c r="A22" s="164"/>
      <c r="B22" s="169" t="s">
        <v>40</v>
      </c>
      <c r="C22" s="177">
        <v>498.06</v>
      </c>
      <c r="D22" s="173">
        <v>498.06</v>
      </c>
      <c r="E22" s="80">
        <f t="shared" si="1"/>
        <v>5.9686067534678762E-2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thickBot="1" x14ac:dyDescent="0.3">
      <c r="B23" s="178" t="s">
        <v>0</v>
      </c>
      <c r="C23" s="170"/>
      <c r="D23" s="171">
        <f>SUM(D5:D22)</f>
        <v>8344.6610000000001</v>
      </c>
      <c r="E23" s="80">
        <f t="shared" si="1"/>
        <v>1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x14ac:dyDescent="0.25">
      <c r="B24" s="166" t="s">
        <v>1</v>
      </c>
      <c r="C24" s="167"/>
      <c r="D24" s="233">
        <v>230924.62599999999</v>
      </c>
      <c r="E24" s="80"/>
      <c r="F24" s="112" t="s">
        <v>198</v>
      </c>
      <c r="G24" s="190">
        <v>215275.19500000001</v>
      </c>
      <c r="H24" s="272">
        <v>242524.66</v>
      </c>
      <c r="I24" s="98">
        <f t="shared" si="2"/>
        <v>1.1265796786294864</v>
      </c>
      <c r="J24" s="108">
        <v>32010.999999999534</v>
      </c>
    </row>
    <row r="25" spans="1:10" x14ac:dyDescent="0.25">
      <c r="E25" s="80"/>
      <c r="F25" s="112" t="s">
        <v>199</v>
      </c>
      <c r="G25" s="190">
        <v>210045.58799999999</v>
      </c>
      <c r="H25" s="272">
        <f>+D24</f>
        <v>230924.62599999999</v>
      </c>
      <c r="I25" s="98">
        <f t="shared" si="2"/>
        <v>1.0994024116326595</v>
      </c>
      <c r="J25" s="108">
        <f>+H25-G25</f>
        <v>20879.038</v>
      </c>
    </row>
    <row r="26" spans="1:10" x14ac:dyDescent="0.25">
      <c r="E26" s="80"/>
      <c r="G26" s="68">
        <f>+SUM(G14:G25)</f>
        <v>2547596.0290000001</v>
      </c>
      <c r="H26" s="68">
        <f>+SUM(H14:H25)</f>
        <v>2600486.0669999998</v>
      </c>
      <c r="I26" s="98">
        <f t="shared" si="2"/>
        <v>1.0207607632442262</v>
      </c>
      <c r="J26" s="108">
        <f>+H26-G26</f>
        <v>52890.037999999709</v>
      </c>
    </row>
    <row r="27" spans="1:10" ht="16.5" thickBot="1" x14ac:dyDescent="0.3">
      <c r="E27" s="80"/>
      <c r="F27" s="179"/>
      <c r="G27" s="179"/>
      <c r="H27" s="179"/>
      <c r="I27" s="179"/>
      <c r="J27" s="179"/>
    </row>
    <row r="28" spans="1:10" ht="19.5" thickBot="1" x14ac:dyDescent="0.3">
      <c r="E28" s="313">
        <f>+D24/G2</f>
        <v>1.0496659183334103</v>
      </c>
      <c r="F28" s="179"/>
      <c r="G28" s="179"/>
      <c r="J28" s="179"/>
    </row>
    <row r="29" spans="1:10" x14ac:dyDescent="0.25">
      <c r="D29" s="108">
        <f>+(G2/31)*29</f>
        <v>205804.77965336837</v>
      </c>
      <c r="E29" s="314">
        <f>+D29/G2</f>
        <v>0.93548387096774188</v>
      </c>
      <c r="F29" s="352"/>
    </row>
    <row r="30" spans="1:10" x14ac:dyDescent="0.25">
      <c r="D30" s="183">
        <f>+D24-D29</f>
        <v>25119.846346631617</v>
      </c>
      <c r="E30" s="99">
        <f>E28-E29</f>
        <v>0.11418204736566839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698</v>
      </c>
      <c r="D33" s="108">
        <v>2142</v>
      </c>
      <c r="E33" s="57">
        <f>+C33/D33</f>
        <v>0.32586367880485528</v>
      </c>
      <c r="G33" s="86" t="s">
        <v>86</v>
      </c>
      <c r="H33" s="87">
        <v>18501</v>
      </c>
      <c r="I33" s="88">
        <f>+H33*0.025</f>
        <v>462.52500000000003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1300</v>
      </c>
      <c r="D34" s="108">
        <v>1890</v>
      </c>
      <c r="E34" s="57">
        <f>+C34/D34</f>
        <v>0.68783068783068779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1026</v>
      </c>
      <c r="D35" s="108">
        <v>3006</v>
      </c>
      <c r="E35" s="57">
        <f>+C35/D35</f>
        <v>0.3413173652694611</v>
      </c>
      <c r="G35" s="89" t="s">
        <v>169</v>
      </c>
      <c r="H35" s="87">
        <v>302</v>
      </c>
      <c r="I35" s="88">
        <f>+H35*1.5</f>
        <v>453</v>
      </c>
      <c r="J35" s="298">
        <f>+I35+I33</f>
        <v>915.52500000000009</v>
      </c>
    </row>
    <row r="36" spans="1:11" x14ac:dyDescent="0.25">
      <c r="C36" s="162">
        <f>+SUM(C33:C35)</f>
        <v>3024</v>
      </c>
      <c r="D36" s="110">
        <f>+SUM(D33:D35)</f>
        <v>7038</v>
      </c>
      <c r="E36" s="57">
        <f>+C36/D36</f>
        <v>0.42966751918158569</v>
      </c>
      <c r="G36" s="89" t="s">
        <v>168</v>
      </c>
      <c r="H36" s="87">
        <v>43</v>
      </c>
      <c r="I36" s="88">
        <f>+H36*1.5</f>
        <v>64.5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36</v>
      </c>
      <c r="C40" s="74">
        <v>2</v>
      </c>
      <c r="D40" s="74">
        <v>18</v>
      </c>
      <c r="E40" s="75">
        <f>+SUM(B40:D40)</f>
        <v>56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12.17</v>
      </c>
      <c r="C44" s="199">
        <v>1205</v>
      </c>
      <c r="D44" s="200">
        <v>3600</v>
      </c>
      <c r="E44" s="201">
        <f t="shared" si="3"/>
        <v>0.3347222222222222</v>
      </c>
      <c r="F44" s="201">
        <f t="shared" si="4"/>
        <v>0.50708333333333333</v>
      </c>
      <c r="G44" s="202">
        <v>12</v>
      </c>
      <c r="H44" s="71"/>
    </row>
    <row r="45" spans="1:11" x14ac:dyDescent="0.25">
      <c r="A45" s="207" t="s">
        <v>72</v>
      </c>
      <c r="B45" s="199">
        <v>15.87</v>
      </c>
      <c r="C45" s="199">
        <v>947</v>
      </c>
      <c r="D45" s="200">
        <v>3900</v>
      </c>
      <c r="E45" s="201">
        <f t="shared" si="3"/>
        <v>0.24282051282051281</v>
      </c>
      <c r="F45" s="201">
        <f t="shared" si="4"/>
        <v>0.66125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15.02</v>
      </c>
      <c r="C46" s="199">
        <v>2923</v>
      </c>
      <c r="D46" s="200">
        <v>3900</v>
      </c>
      <c r="E46" s="201">
        <f t="shared" si="3"/>
        <v>0.74948717948717947</v>
      </c>
      <c r="F46" s="201">
        <f t="shared" si="4"/>
        <v>0.62583333333333335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10.47</v>
      </c>
      <c r="C47" s="199">
        <v>1657</v>
      </c>
      <c r="D47" s="200">
        <v>3900</v>
      </c>
      <c r="E47" s="201">
        <f t="shared" si="3"/>
        <v>0.42487179487179488</v>
      </c>
      <c r="F47" s="201">
        <f t="shared" si="4"/>
        <v>0.43625000000000003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16.61</v>
      </c>
      <c r="C48" s="261">
        <v>2227</v>
      </c>
      <c r="D48" s="262">
        <v>4300</v>
      </c>
      <c r="E48" s="263">
        <f t="shared" si="3"/>
        <v>0.51790697674418606</v>
      </c>
      <c r="F48" s="201">
        <f t="shared" si="4"/>
        <v>0.69208333333333327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70.14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154</v>
      </c>
      <c r="H53" s="301"/>
      <c r="I53" s="129"/>
      <c r="J53"/>
      <c r="K53" s="318"/>
    </row>
    <row r="54" spans="2:11" x14ac:dyDescent="0.25">
      <c r="C54" s="71">
        <v>4</v>
      </c>
      <c r="D54" s="108">
        <v>2</v>
      </c>
      <c r="H54" s="301"/>
      <c r="I54" s="129"/>
      <c r="J54"/>
      <c r="K54" s="318"/>
    </row>
    <row r="55" spans="2:11" x14ac:dyDescent="0.25">
      <c r="C55" s="71">
        <v>5</v>
      </c>
      <c r="D55" s="108">
        <v>15</v>
      </c>
      <c r="H55" s="359" t="s">
        <v>224</v>
      </c>
      <c r="I55" s="345"/>
      <c r="J55" s="199">
        <f>+J52</f>
        <v>47</v>
      </c>
      <c r="K55" s="346">
        <f>+J55*1.5</f>
        <v>70.5</v>
      </c>
    </row>
    <row r="56" spans="2:11" x14ac:dyDescent="0.25">
      <c r="C56" s="71">
        <v>6</v>
      </c>
      <c r="D56" s="108">
        <v>0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108">
        <v>0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H63" s="359" t="s">
        <v>224</v>
      </c>
      <c r="I63" s="345"/>
      <c r="J63" s="200">
        <v>6042</v>
      </c>
      <c r="K63" s="346">
        <v>151.05000000000001</v>
      </c>
    </row>
    <row r="64" spans="2:11" x14ac:dyDescent="0.25">
      <c r="H64" s="237" t="s">
        <v>205</v>
      </c>
      <c r="I64"/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v>70.5</v>
      </c>
    </row>
    <row r="66" spans="8:11" x14ac:dyDescent="0.25">
      <c r="H66"/>
      <c r="I66" s="129"/>
      <c r="J66"/>
      <c r="K66" s="215"/>
    </row>
    <row r="67" spans="8:11" x14ac:dyDescent="0.25">
      <c r="H67" s="237" t="s">
        <v>167</v>
      </c>
      <c r="I67"/>
      <c r="J67" s="162" t="s">
        <v>157</v>
      </c>
      <c r="K67" s="215" t="s">
        <v>92</v>
      </c>
    </row>
    <row r="68" spans="8:11" x14ac:dyDescent="0.25">
      <c r="H68" s="301">
        <v>46005</v>
      </c>
      <c r="I68" s="129"/>
      <c r="J68" s="162">
        <v>519</v>
      </c>
      <c r="K68" s="318">
        <v>778.5</v>
      </c>
    </row>
    <row r="69" spans="8:11" x14ac:dyDescent="0.25">
      <c r="H69" s="301">
        <v>46018</v>
      </c>
      <c r="I69" s="129" t="s">
        <v>175</v>
      </c>
      <c r="J69" s="68">
        <v>46</v>
      </c>
      <c r="K69" s="318">
        <f>+J69*1.5</f>
        <v>69</v>
      </c>
    </row>
    <row r="70" spans="8:11" x14ac:dyDescent="0.25">
      <c r="H70" s="301">
        <v>46018</v>
      </c>
      <c r="I70" s="129" t="s">
        <v>176</v>
      </c>
      <c r="J70" s="68">
        <v>170</v>
      </c>
      <c r="K70" s="318">
        <f>+J70*1.5</f>
        <v>255</v>
      </c>
    </row>
    <row r="71" spans="8:11" x14ac:dyDescent="0.25">
      <c r="H71" s="301">
        <v>46019</v>
      </c>
      <c r="I71" s="129" t="s">
        <v>175</v>
      </c>
      <c r="J71" s="68">
        <v>182</v>
      </c>
      <c r="K71" s="318">
        <f>+J71*1.5</f>
        <v>273</v>
      </c>
    </row>
    <row r="72" spans="8:11" x14ac:dyDescent="0.25">
      <c r="H72" s="301">
        <v>46019</v>
      </c>
      <c r="I72" s="129" t="s">
        <v>176</v>
      </c>
      <c r="J72" s="162">
        <v>139</v>
      </c>
      <c r="K72" s="318">
        <f>+J72*1.5</f>
        <v>208.5</v>
      </c>
    </row>
    <row r="73" spans="8:11" x14ac:dyDescent="0.25">
      <c r="H73" s="344"/>
      <c r="I73" s="345"/>
      <c r="J73" s="200">
        <f>+J72+J71+J70+J69</f>
        <v>537</v>
      </c>
      <c r="K73" s="346">
        <f>+K72+K71+K70+K69</f>
        <v>805.5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9" workbookViewId="0">
      <selection activeCell="A29" sqref="A29:K73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1.85546875" style="162" bestFit="1" customWidth="1"/>
    <col min="6" max="6" width="11.42578125" style="162"/>
    <col min="7" max="7" width="11.85546875" style="162" bestFit="1" customWidth="1"/>
    <col min="8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0" ht="19.5" customHeight="1" thickBot="1" x14ac:dyDescent="0.4">
      <c r="A4" s="164"/>
      <c r="B4" s="375"/>
      <c r="C4" s="375"/>
      <c r="D4" s="165">
        <f>D14</f>
        <v>1126.7840000000001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1525</v>
      </c>
      <c r="D5" s="172">
        <v>65.11</v>
      </c>
      <c r="E5" s="80">
        <f>+D5/$D$4</f>
        <v>5.7783923094399628E-2</v>
      </c>
      <c r="F5" s="58" t="s">
        <v>51</v>
      </c>
      <c r="G5" s="59">
        <v>46020</v>
      </c>
      <c r="H5" s="190">
        <v>7457</v>
      </c>
      <c r="I5" s="141">
        <v>8344.6610000000001</v>
      </c>
      <c r="J5" s="60">
        <f t="shared" ref="J5:J12" si="0">+I5/H5</f>
        <v>1.1190372804076707</v>
      </c>
    </row>
    <row r="6" spans="1:10" ht="15" customHeight="1" x14ac:dyDescent="0.25">
      <c r="A6" s="164"/>
      <c r="B6" s="169" t="s">
        <v>10</v>
      </c>
      <c r="C6" s="177">
        <v>850</v>
      </c>
      <c r="D6" s="173">
        <v>36.369999999999997</v>
      </c>
      <c r="E6" s="80">
        <f t="shared" ref="E6:E23" si="1">+D6/$D$4</f>
        <v>3.2277703623764621E-2</v>
      </c>
      <c r="F6" s="58" t="s">
        <v>52</v>
      </c>
      <c r="G6" s="59">
        <v>46021</v>
      </c>
      <c r="H6" s="190">
        <v>9615</v>
      </c>
      <c r="I6" s="141">
        <v>9969.49</v>
      </c>
      <c r="J6" s="60">
        <f t="shared" si="0"/>
        <v>1.0368684347373895</v>
      </c>
    </row>
    <row r="7" spans="1:10" ht="15" customHeight="1" x14ac:dyDescent="0.25">
      <c r="A7" s="164"/>
      <c r="B7" s="169" t="s">
        <v>35</v>
      </c>
      <c r="C7" s="177">
        <v>5560</v>
      </c>
      <c r="D7" s="173">
        <v>237.20200000000003</v>
      </c>
      <c r="E7" s="245">
        <f t="shared" si="1"/>
        <v>0.2105123963421561</v>
      </c>
      <c r="F7" s="58" t="s">
        <v>53</v>
      </c>
      <c r="G7" s="59">
        <v>46022</v>
      </c>
      <c r="H7" s="190">
        <v>4716</v>
      </c>
      <c r="I7" s="141">
        <v>5415.12</v>
      </c>
      <c r="J7" s="60">
        <f t="shared" si="0"/>
        <v>1.1482442748091604</v>
      </c>
    </row>
    <row r="8" spans="1:10" ht="15" customHeight="1" x14ac:dyDescent="0.25">
      <c r="A8" s="164"/>
      <c r="B8" s="169" t="s">
        <v>37</v>
      </c>
      <c r="C8" s="177">
        <v>8574</v>
      </c>
      <c r="D8" s="173">
        <v>365.79999999999995</v>
      </c>
      <c r="E8" s="245">
        <f t="shared" si="1"/>
        <v>0.32464074747245253</v>
      </c>
      <c r="F8" s="58" t="s">
        <v>54</v>
      </c>
      <c r="G8" s="59">
        <v>46023</v>
      </c>
      <c r="H8" s="190">
        <v>3454.3999999999996</v>
      </c>
      <c r="I8" s="141">
        <v>1126.78</v>
      </c>
      <c r="J8" s="60">
        <f t="shared" si="0"/>
        <v>0.32618689207966656</v>
      </c>
    </row>
    <row r="9" spans="1:10" ht="15" customHeight="1" x14ac:dyDescent="0.25">
      <c r="A9" s="164"/>
      <c r="B9" s="169" t="s">
        <v>38</v>
      </c>
      <c r="C9" s="177">
        <v>2255</v>
      </c>
      <c r="D9" s="173">
        <v>96.302000000000007</v>
      </c>
      <c r="E9" s="80">
        <f t="shared" si="1"/>
        <v>8.5466247302056111E-2</v>
      </c>
      <c r="F9" s="58" t="s">
        <v>55</v>
      </c>
      <c r="G9" s="59">
        <v>46024</v>
      </c>
      <c r="H9" s="190">
        <v>7056.4000000000005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39</v>
      </c>
      <c r="C10" s="177">
        <v>89</v>
      </c>
      <c r="D10" s="173">
        <v>134.02000000000001</v>
      </c>
      <c r="E10" s="245">
        <f t="shared" si="1"/>
        <v>0.11894027604225832</v>
      </c>
      <c r="F10" s="58" t="s">
        <v>56</v>
      </c>
      <c r="G10" s="59">
        <v>46025</v>
      </c>
      <c r="H10" s="190">
        <v>6050.8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43</v>
      </c>
      <c r="C11" s="177">
        <v>65</v>
      </c>
      <c r="D11" s="173">
        <v>97.800000000000011</v>
      </c>
      <c r="E11" s="80">
        <f t="shared" si="1"/>
        <v>8.6795694649551294E-2</v>
      </c>
      <c r="F11" s="58" t="s">
        <v>57</v>
      </c>
      <c r="G11" s="59">
        <v>46026</v>
      </c>
      <c r="H11" s="190">
        <v>4195.2000000000007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41</v>
      </c>
      <c r="C12" s="177">
        <v>22</v>
      </c>
      <c r="D12" s="173">
        <v>33.06</v>
      </c>
      <c r="E12" s="80">
        <f t="shared" si="1"/>
        <v>2.9340139725093719E-2</v>
      </c>
      <c r="H12" s="139">
        <f>+SUM(H5:H11)</f>
        <v>42544.800000000003</v>
      </c>
      <c r="I12" s="142">
        <f>+SUM(I5:I11)</f>
        <v>24856.050999999996</v>
      </c>
      <c r="J12" s="140">
        <f t="shared" si="0"/>
        <v>0.58423240913108054</v>
      </c>
    </row>
    <row r="13" spans="1:10" ht="15" customHeight="1" thickBot="1" x14ac:dyDescent="0.3">
      <c r="A13" s="164"/>
      <c r="B13" s="169" t="s">
        <v>40</v>
      </c>
      <c r="C13" s="177"/>
      <c r="D13" s="173">
        <v>61.120000000000005</v>
      </c>
      <c r="E13" s="80">
        <f t="shared" si="1"/>
        <v>5.4242871748267633E-2</v>
      </c>
      <c r="F13" s="112"/>
      <c r="G13" s="113">
        <v>2024</v>
      </c>
      <c r="H13" s="113">
        <v>2025</v>
      </c>
      <c r="I13" s="71"/>
    </row>
    <row r="14" spans="1:10" ht="15" customHeight="1" thickBot="1" x14ac:dyDescent="0.3">
      <c r="B14" s="178" t="s">
        <v>0</v>
      </c>
      <c r="C14" s="170"/>
      <c r="D14" s="171">
        <f>SUM(D5:D13)</f>
        <v>1126.7840000000001</v>
      </c>
      <c r="E14" s="80">
        <f t="shared" si="1"/>
        <v>1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B15" s="166" t="s">
        <v>1</v>
      </c>
      <c r="C15" s="167"/>
      <c r="D15" s="233">
        <v>1126.7840000000001</v>
      </c>
      <c r="E15" s="80">
        <f t="shared" si="1"/>
        <v>1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x14ac:dyDescent="0.25">
      <c r="E16" s="80">
        <f t="shared" si="1"/>
        <v>0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2:10" ht="15" customHeight="1" x14ac:dyDescent="0.25">
      <c r="E17" s="80">
        <f t="shared" si="1"/>
        <v>0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2:10" ht="15" customHeight="1" x14ac:dyDescent="0.25"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2:10" x14ac:dyDescent="0.25"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2:10" x14ac:dyDescent="0.25"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2:10" x14ac:dyDescent="0.25"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2:10" x14ac:dyDescent="0.25"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2:10" x14ac:dyDescent="0.25">
      <c r="E23" s="80">
        <f t="shared" si="1"/>
        <v>0</v>
      </c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2:10" x14ac:dyDescent="0.25">
      <c r="E24" s="80"/>
      <c r="F24" s="112" t="s">
        <v>198</v>
      </c>
      <c r="G24" s="190">
        <v>215275.19500000001</v>
      </c>
      <c r="H24" s="272">
        <v>242524.66</v>
      </c>
      <c r="I24" s="98">
        <f t="shared" si="2"/>
        <v>1.1265796786294864</v>
      </c>
      <c r="J24" s="108">
        <v>32010.999999999534</v>
      </c>
    </row>
    <row r="25" spans="2:10" ht="15" customHeight="1" x14ac:dyDescent="0.25">
      <c r="E25" s="80"/>
      <c r="F25" s="112" t="s">
        <v>199</v>
      </c>
      <c r="G25" s="190">
        <v>210045.58799999999</v>
      </c>
      <c r="H25" s="190">
        <v>246279.44400000005</v>
      </c>
      <c r="I25" s="98">
        <f t="shared" si="2"/>
        <v>1.1725047231175361</v>
      </c>
      <c r="J25" s="108">
        <f>+H25-G25</f>
        <v>36233.856000000058</v>
      </c>
    </row>
    <row r="26" spans="2:10" x14ac:dyDescent="0.25">
      <c r="E26" s="80"/>
      <c r="G26" s="68">
        <f>+SUM(G14:G25)</f>
        <v>2547596.0290000001</v>
      </c>
      <c r="H26" s="377">
        <f>+SUM(H14:H25)</f>
        <v>2615840.8849999998</v>
      </c>
      <c r="I26" s="378">
        <f>+H26/G26</f>
        <v>1.0267879425243049</v>
      </c>
      <c r="J26" s="320">
        <f>+H26-G26</f>
        <v>68244.85599999968</v>
      </c>
    </row>
    <row r="27" spans="2:10" ht="16.5" thickBot="1" x14ac:dyDescent="0.3">
      <c r="E27" s="80"/>
      <c r="G27" s="379" t="s">
        <v>229</v>
      </c>
      <c r="H27" s="380">
        <v>2726927.1277059279</v>
      </c>
      <c r="I27" s="381">
        <f>+H27/H26</f>
        <v>1.0424667430434815</v>
      </c>
      <c r="J27" s="179"/>
    </row>
    <row r="28" spans="2:10" ht="19.5" thickBot="1" x14ac:dyDescent="0.3">
      <c r="E28" s="313">
        <f>+D15/H2</f>
        <v>5.4479039166928029E-3</v>
      </c>
      <c r="F28" s="179"/>
      <c r="G28" s="179"/>
      <c r="J28" s="179"/>
    </row>
    <row r="29" spans="2:10" x14ac:dyDescent="0.25">
      <c r="D29" s="108">
        <f>+(H2/31)*1</f>
        <v>6671.9001516104618</v>
      </c>
      <c r="E29" s="314">
        <f>+D29/H2</f>
        <v>3.2258064516129031E-2</v>
      </c>
      <c r="F29" s="352"/>
    </row>
    <row r="30" spans="2:10" x14ac:dyDescent="0.25">
      <c r="D30" s="183">
        <f>+D15-D29</f>
        <v>-5545.1161516104621</v>
      </c>
      <c r="E30" s="99">
        <f>E28-E29</f>
        <v>-2.6810160599436229E-2</v>
      </c>
    </row>
    <row r="32" spans="2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715</v>
      </c>
      <c r="D33" s="108">
        <v>2142</v>
      </c>
      <c r="E33" s="57">
        <f>+C33/D33</f>
        <v>0.33380018674136319</v>
      </c>
      <c r="G33" s="86" t="s">
        <v>86</v>
      </c>
      <c r="H33" s="87">
        <f>18501-1200</f>
        <v>17301</v>
      </c>
      <c r="I33" s="88">
        <f>+H33*0.025</f>
        <v>432.52500000000003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883</v>
      </c>
      <c r="D34" s="108">
        <v>1890</v>
      </c>
      <c r="E34" s="57">
        <f>+C34/D34</f>
        <v>0.46719576719576722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1465</v>
      </c>
      <c r="D35" s="108">
        <v>3006</v>
      </c>
      <c r="E35" s="57">
        <f>+C35/D35</f>
        <v>0.48735861610113107</v>
      </c>
      <c r="G35" s="89" t="s">
        <v>169</v>
      </c>
      <c r="H35" s="87">
        <v>262</v>
      </c>
      <c r="I35" s="88">
        <f>+H35*1.5</f>
        <v>393</v>
      </c>
      <c r="J35" s="298">
        <f>+I35+I33</f>
        <v>825.52500000000009</v>
      </c>
    </row>
    <row r="36" spans="1:11" x14ac:dyDescent="0.25">
      <c r="C36" s="162">
        <f>+SUM(C33:C35)</f>
        <v>3063</v>
      </c>
      <c r="D36" s="110">
        <f>+SUM(D33:D35)</f>
        <v>7038</v>
      </c>
      <c r="E36" s="57">
        <f>+C36/D36</f>
        <v>0.43520886615515769</v>
      </c>
      <c r="G36" s="89" t="s">
        <v>168</v>
      </c>
      <c r="H36" s="87">
        <v>0</v>
      </c>
      <c r="I36" s="88">
        <f>+H36*1.5</f>
        <v>0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10</v>
      </c>
      <c r="C40" s="74">
        <v>5</v>
      </c>
      <c r="D40" s="74">
        <v>5</v>
      </c>
      <c r="E40" s="75">
        <f>+SUM(B40:D40)</f>
        <v>20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0</v>
      </c>
      <c r="C44" s="199">
        <v>1205</v>
      </c>
      <c r="D44" s="200">
        <v>3600</v>
      </c>
      <c r="E44" s="201">
        <f t="shared" si="3"/>
        <v>0.3347222222222222</v>
      </c>
      <c r="F44" s="201">
        <f t="shared" si="4"/>
        <v>0</v>
      </c>
      <c r="G44" s="202">
        <v>12</v>
      </c>
      <c r="H44" s="71"/>
    </row>
    <row r="45" spans="1:11" x14ac:dyDescent="0.25">
      <c r="A45" s="207" t="s">
        <v>72</v>
      </c>
      <c r="B45" s="199">
        <v>1.5</v>
      </c>
      <c r="C45" s="199">
        <v>785</v>
      </c>
      <c r="D45" s="200">
        <v>3900</v>
      </c>
      <c r="E45" s="201">
        <f t="shared" si="3"/>
        <v>0.20128205128205129</v>
      </c>
      <c r="F45" s="201">
        <f t="shared" si="4"/>
        <v>6.25E-2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1.03</v>
      </c>
      <c r="C46" s="199">
        <v>2522</v>
      </c>
      <c r="D46" s="200">
        <v>3900</v>
      </c>
      <c r="E46" s="201">
        <f t="shared" si="3"/>
        <v>0.64666666666666661</v>
      </c>
      <c r="F46" s="201">
        <f t="shared" si="4"/>
        <v>4.2916666666666665E-2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2.76</v>
      </c>
      <c r="C47" s="199">
        <v>2441</v>
      </c>
      <c r="D47" s="200">
        <v>3900</v>
      </c>
      <c r="E47" s="201">
        <f t="shared" si="3"/>
        <v>0.62589743589743585</v>
      </c>
      <c r="F47" s="201">
        <f t="shared" si="4"/>
        <v>0.11499999999999999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0</v>
      </c>
      <c r="C48" s="261">
        <v>0</v>
      </c>
      <c r="D48" s="262">
        <v>4300</v>
      </c>
      <c r="E48" s="263">
        <f t="shared" si="3"/>
        <v>0</v>
      </c>
      <c r="F48" s="201">
        <f t="shared" si="4"/>
        <v>0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5.29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154</v>
      </c>
      <c r="H53" s="301"/>
      <c r="I53" s="129"/>
      <c r="J53"/>
      <c r="K53" s="318"/>
    </row>
    <row r="54" spans="2:11" x14ac:dyDescent="0.25">
      <c r="C54" s="71">
        <v>4</v>
      </c>
      <c r="D54" s="108">
        <v>2</v>
      </c>
      <c r="H54" s="301"/>
      <c r="I54" s="129"/>
      <c r="J54"/>
      <c r="K54" s="318"/>
    </row>
    <row r="55" spans="2:11" x14ac:dyDescent="0.25">
      <c r="C55" s="71">
        <v>5</v>
      </c>
      <c r="D55" s="108">
        <v>1</v>
      </c>
      <c r="H55" s="359" t="s">
        <v>224</v>
      </c>
      <c r="I55" s="345"/>
      <c r="J55" s="199">
        <f>+J52</f>
        <v>47</v>
      </c>
      <c r="K55" s="346">
        <f>+J55*1.5</f>
        <v>70.5</v>
      </c>
    </row>
    <row r="56" spans="2:11" x14ac:dyDescent="0.25">
      <c r="C56" s="71">
        <v>6</v>
      </c>
      <c r="D56" s="108">
        <v>0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108">
        <v>0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H63" s="359" t="s">
        <v>224</v>
      </c>
      <c r="I63" s="345"/>
      <c r="J63" s="200">
        <v>6042</v>
      </c>
      <c r="K63" s="346">
        <v>151.05000000000001</v>
      </c>
    </row>
    <row r="64" spans="2:11" x14ac:dyDescent="0.25">
      <c r="H64" s="237" t="s">
        <v>205</v>
      </c>
      <c r="I64"/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v>70.5</v>
      </c>
    </row>
    <row r="66" spans="8:11" x14ac:dyDescent="0.25">
      <c r="H66"/>
      <c r="I66" s="129"/>
      <c r="J66"/>
      <c r="K66" s="215"/>
    </row>
    <row r="67" spans="8:11" x14ac:dyDescent="0.25">
      <c r="H67" s="237" t="s">
        <v>167</v>
      </c>
      <c r="I67"/>
      <c r="J67" s="162" t="s">
        <v>157</v>
      </c>
      <c r="K67" s="215" t="s">
        <v>92</v>
      </c>
    </row>
    <row r="68" spans="8:11" x14ac:dyDescent="0.25">
      <c r="H68" s="301">
        <v>46005</v>
      </c>
      <c r="I68" s="129"/>
      <c r="J68" s="162">
        <v>519</v>
      </c>
      <c r="K68" s="318">
        <v>778.5</v>
      </c>
    </row>
    <row r="69" spans="8:11" x14ac:dyDescent="0.25">
      <c r="H69" s="301">
        <v>46018</v>
      </c>
      <c r="I69" s="129" t="s">
        <v>175</v>
      </c>
      <c r="J69" s="68">
        <v>46</v>
      </c>
      <c r="K69" s="318">
        <f>+J69*1.5</f>
        <v>69</v>
      </c>
    </row>
    <row r="70" spans="8:11" x14ac:dyDescent="0.25">
      <c r="H70" s="301">
        <v>46018</v>
      </c>
      <c r="I70" s="129" t="s">
        <v>176</v>
      </c>
      <c r="J70" s="68">
        <v>170</v>
      </c>
      <c r="K70" s="318">
        <f>+J70*1.5</f>
        <v>255</v>
      </c>
    </row>
    <row r="71" spans="8:11" x14ac:dyDescent="0.25">
      <c r="H71" s="301">
        <v>46019</v>
      </c>
      <c r="I71" s="129" t="s">
        <v>175</v>
      </c>
      <c r="J71" s="68">
        <v>182</v>
      </c>
      <c r="K71" s="318">
        <f>+J71*1.5</f>
        <v>273</v>
      </c>
    </row>
    <row r="72" spans="8:11" x14ac:dyDescent="0.25">
      <c r="H72" s="301">
        <v>46019</v>
      </c>
      <c r="I72" s="129" t="s">
        <v>176</v>
      </c>
      <c r="J72" s="162">
        <v>139</v>
      </c>
      <c r="K72" s="318">
        <f>+J72*1.5</f>
        <v>208.5</v>
      </c>
    </row>
    <row r="73" spans="8:11" x14ac:dyDescent="0.25">
      <c r="H73" s="344"/>
      <c r="I73" s="345"/>
      <c r="J73" s="200">
        <f>+J72+J71+J70+J69</f>
        <v>537</v>
      </c>
      <c r="K73" s="346">
        <f>+K72+K71+K70+K69</f>
        <v>805.5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3" workbookViewId="0">
      <selection activeCell="A29" sqref="A29:K73"/>
    </sheetView>
  </sheetViews>
  <sheetFormatPr baseColWidth="10" defaultColWidth="11.42578125" defaultRowHeight="15.75" x14ac:dyDescent="0.25"/>
  <cols>
    <col min="1" max="1" width="2.42578125" style="162" customWidth="1"/>
    <col min="2" max="2" width="46.28515625" style="162" customWidth="1"/>
    <col min="3" max="3" width="13.28515625" style="162" customWidth="1"/>
    <col min="4" max="4" width="14.5703125" style="163" customWidth="1"/>
    <col min="5" max="5" width="19.85546875" style="162" customWidth="1"/>
    <col min="6" max="6" width="11.42578125" style="162"/>
    <col min="7" max="7" width="11.85546875" style="162" bestFit="1" customWidth="1"/>
    <col min="8" max="10" width="11.42578125" style="162"/>
    <col min="11" max="11" width="8" style="162" bestFit="1" customWidth="1"/>
    <col min="12" max="16384" width="11.42578125" style="162"/>
  </cols>
  <sheetData>
    <row r="1" spans="1:10" ht="15" customHeight="1" x14ac:dyDescent="0.25">
      <c r="A1" s="161"/>
      <c r="B1" s="518">
        <v>46026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0" ht="19.5" customHeight="1" thickBot="1" x14ac:dyDescent="0.4">
      <c r="A4" s="164"/>
      <c r="B4" s="376"/>
      <c r="C4" s="376"/>
      <c r="D4" s="165">
        <f>D19</f>
        <v>5850.5110000000013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2728</v>
      </c>
      <c r="D5" s="172">
        <v>116.48</v>
      </c>
      <c r="E5" s="80">
        <f>+D5/$D$4</f>
        <v>1.9909372018956973E-2</v>
      </c>
      <c r="F5" s="58" t="s">
        <v>51</v>
      </c>
      <c r="G5" s="59">
        <v>46020</v>
      </c>
      <c r="H5" s="190">
        <v>7457</v>
      </c>
      <c r="I5" s="141">
        <v>8344.6610000000001</v>
      </c>
      <c r="J5" s="60">
        <f t="shared" ref="J5:J12" si="0">+I5/H5</f>
        <v>1.1190372804076707</v>
      </c>
    </row>
    <row r="6" spans="1:10" ht="15" customHeight="1" x14ac:dyDescent="0.25">
      <c r="A6" s="164"/>
      <c r="B6" s="169" t="s">
        <v>10</v>
      </c>
      <c r="C6" s="177">
        <v>10450</v>
      </c>
      <c r="D6" s="173">
        <v>445.66</v>
      </c>
      <c r="E6" s="80">
        <f t="shared" ref="E6:E19" si="1">+D6/$D$4</f>
        <v>7.6174542702338296E-2</v>
      </c>
      <c r="F6" s="58" t="s">
        <v>52</v>
      </c>
      <c r="G6" s="59">
        <v>46021</v>
      </c>
      <c r="H6" s="190">
        <v>9615</v>
      </c>
      <c r="I6" s="141">
        <v>9969.49</v>
      </c>
      <c r="J6" s="60">
        <f t="shared" si="0"/>
        <v>1.0368684347373895</v>
      </c>
    </row>
    <row r="7" spans="1:10" ht="15" customHeight="1" x14ac:dyDescent="0.25">
      <c r="A7" s="164"/>
      <c r="B7" s="169" t="s">
        <v>35</v>
      </c>
      <c r="C7" s="177">
        <v>16601</v>
      </c>
      <c r="D7" s="173">
        <v>707.91</v>
      </c>
      <c r="E7" s="245">
        <f t="shared" si="1"/>
        <v>0.12099968703588453</v>
      </c>
      <c r="F7" s="58" t="s">
        <v>53</v>
      </c>
      <c r="G7" s="59">
        <v>46022</v>
      </c>
      <c r="H7" s="190">
        <v>4716</v>
      </c>
      <c r="I7" s="141">
        <v>5415.12</v>
      </c>
      <c r="J7" s="60">
        <f t="shared" si="0"/>
        <v>1.1482442748091604</v>
      </c>
    </row>
    <row r="8" spans="1:10" ht="15" customHeight="1" x14ac:dyDescent="0.25">
      <c r="A8" s="164"/>
      <c r="B8" s="169" t="s">
        <v>37</v>
      </c>
      <c r="C8" s="177">
        <v>34480</v>
      </c>
      <c r="D8" s="173">
        <v>1472.52</v>
      </c>
      <c r="E8" s="245">
        <f t="shared" si="1"/>
        <v>0.2516908352108046</v>
      </c>
      <c r="F8" s="58" t="s">
        <v>54</v>
      </c>
      <c r="G8" s="59">
        <v>46023</v>
      </c>
      <c r="H8" s="190">
        <v>3454.3999999999996</v>
      </c>
      <c r="I8" s="141">
        <v>1126.78</v>
      </c>
      <c r="J8" s="60">
        <f t="shared" si="0"/>
        <v>0.32618689207966656</v>
      </c>
    </row>
    <row r="9" spans="1:10" ht="15" customHeight="1" x14ac:dyDescent="0.25">
      <c r="A9" s="164"/>
      <c r="B9" s="169" t="s">
        <v>38</v>
      </c>
      <c r="C9" s="177">
        <v>24751</v>
      </c>
      <c r="D9" s="173">
        <v>1056.653</v>
      </c>
      <c r="E9" s="80">
        <f t="shared" si="1"/>
        <v>0.18060866820009394</v>
      </c>
      <c r="F9" s="58" t="s">
        <v>55</v>
      </c>
      <c r="G9" s="59">
        <v>46024</v>
      </c>
      <c r="H9" s="190">
        <v>7056.4000000000005</v>
      </c>
      <c r="I9" s="141">
        <v>6548.47</v>
      </c>
      <c r="J9" s="60">
        <f t="shared" si="0"/>
        <v>0.92801853636415166</v>
      </c>
    </row>
    <row r="10" spans="1:10" ht="15" customHeight="1" x14ac:dyDescent="0.25">
      <c r="A10" s="164"/>
      <c r="B10" s="169" t="s">
        <v>42</v>
      </c>
      <c r="C10" s="177">
        <v>9430</v>
      </c>
      <c r="D10" s="173">
        <v>401.89800000000002</v>
      </c>
      <c r="E10" s="245">
        <f t="shared" si="1"/>
        <v>6.8694512325504553E-2</v>
      </c>
      <c r="F10" s="58" t="s">
        <v>56</v>
      </c>
      <c r="G10" s="59">
        <v>46025</v>
      </c>
      <c r="H10" s="190">
        <v>6050.8</v>
      </c>
      <c r="I10" s="141">
        <v>6140.6</v>
      </c>
      <c r="J10" s="60">
        <f t="shared" si="0"/>
        <v>1.0148410127586436</v>
      </c>
    </row>
    <row r="11" spans="1:10" ht="15" customHeight="1" x14ac:dyDescent="0.25">
      <c r="A11" s="164"/>
      <c r="B11" s="169" t="s">
        <v>39</v>
      </c>
      <c r="C11" s="177">
        <v>288</v>
      </c>
      <c r="D11" s="173">
        <v>434.64</v>
      </c>
      <c r="E11" s="80">
        <f t="shared" si="1"/>
        <v>7.4290946551506337E-2</v>
      </c>
      <c r="F11" s="58" t="s">
        <v>57</v>
      </c>
      <c r="G11" s="59">
        <v>46026</v>
      </c>
      <c r="H11" s="190">
        <v>4195.2000000000007</v>
      </c>
      <c r="I11" s="141">
        <v>5850.5110000000013</v>
      </c>
      <c r="J11" s="60">
        <f t="shared" si="0"/>
        <v>1.394572606788711</v>
      </c>
    </row>
    <row r="12" spans="1:10" ht="15" customHeight="1" x14ac:dyDescent="0.25">
      <c r="A12" s="164"/>
      <c r="B12" s="169" t="s">
        <v>43</v>
      </c>
      <c r="C12" s="177">
        <v>494</v>
      </c>
      <c r="D12" s="173">
        <v>746.09</v>
      </c>
      <c r="E12" s="80">
        <f t="shared" si="1"/>
        <v>0.12752561271998289</v>
      </c>
      <c r="H12" s="139">
        <f>+SUM(H5:H11)</f>
        <v>42544.800000000003</v>
      </c>
      <c r="I12" s="142">
        <f>+SUM(I5:I11)</f>
        <v>43395.631999999998</v>
      </c>
      <c r="J12" s="140">
        <f t="shared" si="0"/>
        <v>1.0199984957033525</v>
      </c>
    </row>
    <row r="13" spans="1:10" ht="15" customHeight="1" x14ac:dyDescent="0.25">
      <c r="A13" s="164"/>
      <c r="B13" s="169" t="s">
        <v>44</v>
      </c>
      <c r="C13" s="177">
        <v>21</v>
      </c>
      <c r="D13" s="173">
        <v>31.68</v>
      </c>
      <c r="E13" s="80">
        <f t="shared" si="1"/>
        <v>5.4149116205404954E-3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49</v>
      </c>
      <c r="C14" s="177">
        <v>64</v>
      </c>
      <c r="D14" s="173">
        <v>96.26</v>
      </c>
      <c r="E14" s="80">
        <f t="shared" si="1"/>
        <v>1.645326365508927E-2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41</v>
      </c>
      <c r="C15" s="177">
        <v>64</v>
      </c>
      <c r="D15" s="173">
        <v>96.1</v>
      </c>
      <c r="E15" s="80">
        <f t="shared" si="1"/>
        <v>1.6425915616601689E-2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40</v>
      </c>
      <c r="C16" s="177"/>
      <c r="D16" s="173">
        <v>213.7</v>
      </c>
      <c r="E16" s="80">
        <f t="shared" si="1"/>
        <v>3.6526723904971713E-2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184</v>
      </c>
      <c r="C17" s="177"/>
      <c r="D17" s="173"/>
      <c r="E17" s="80">
        <f t="shared" si="1"/>
        <v>0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thickBot="1" x14ac:dyDescent="0.3">
      <c r="A18" s="164"/>
      <c r="B18" s="169" t="s">
        <v>9</v>
      </c>
      <c r="C18" s="177"/>
      <c r="D18" s="173">
        <v>30.92</v>
      </c>
      <c r="E18" s="80">
        <f t="shared" si="1"/>
        <v>5.2850084377244989E-3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thickBot="1" x14ac:dyDescent="0.3">
      <c r="B19" s="178" t="s">
        <v>0</v>
      </c>
      <c r="C19" s="170"/>
      <c r="D19" s="171">
        <f>SUM(D5:D18)</f>
        <v>5850.5110000000013</v>
      </c>
      <c r="E19" s="80">
        <f t="shared" si="1"/>
        <v>1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B20" s="166" t="s">
        <v>1</v>
      </c>
      <c r="C20" s="167"/>
      <c r="D20" s="233">
        <v>19838.789000000001</v>
      </c>
      <c r="E20" s="80"/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E21" s="80"/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x14ac:dyDescent="0.25">
      <c r="E22" s="80"/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x14ac:dyDescent="0.25"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x14ac:dyDescent="0.25">
      <c r="E24" s="80"/>
      <c r="F24" s="112" t="s">
        <v>198</v>
      </c>
      <c r="G24" s="190">
        <v>215275.19500000001</v>
      </c>
      <c r="H24" s="272">
        <v>242524.66</v>
      </c>
      <c r="I24" s="98">
        <f t="shared" si="2"/>
        <v>1.1265796786294864</v>
      </c>
      <c r="J24" s="108">
        <v>32010.999999999534</v>
      </c>
    </row>
    <row r="25" spans="1:10" x14ac:dyDescent="0.25">
      <c r="E25" s="80"/>
      <c r="F25" s="112" t="s">
        <v>199</v>
      </c>
      <c r="G25" s="190">
        <v>210045.58799999999</v>
      </c>
      <c r="H25" s="190">
        <v>246279.44400000005</v>
      </c>
      <c r="I25" s="98">
        <f t="shared" si="2"/>
        <v>1.1725047231175361</v>
      </c>
      <c r="J25" s="108">
        <f>+H25-G25</f>
        <v>36233.856000000058</v>
      </c>
    </row>
    <row r="26" spans="1:10" x14ac:dyDescent="0.25">
      <c r="E26" s="80"/>
      <c r="G26" s="68">
        <f>+SUM(G14:G25)</f>
        <v>2547596.0290000001</v>
      </c>
      <c r="H26" s="377">
        <f>+SUM(H14:H25)</f>
        <v>2615840.8849999998</v>
      </c>
      <c r="I26" s="378">
        <f>+H26/G26</f>
        <v>1.0267879425243049</v>
      </c>
      <c r="J26" s="320">
        <f>+H26-G26</f>
        <v>68244.85599999968</v>
      </c>
    </row>
    <row r="27" spans="1:10" ht="15" customHeight="1" thickBot="1" x14ac:dyDescent="0.3">
      <c r="E27" s="80"/>
      <c r="G27" s="379" t="s">
        <v>229</v>
      </c>
      <c r="H27" s="380">
        <v>2726927.1277059279</v>
      </c>
      <c r="I27" s="381">
        <f>+H27/H26</f>
        <v>1.0424667430434815</v>
      </c>
      <c r="J27" s="179"/>
    </row>
    <row r="28" spans="1:10" ht="19.5" thickBot="1" x14ac:dyDescent="0.3">
      <c r="E28" s="313">
        <f>+D20/H2</f>
        <v>9.5918841850383116E-2</v>
      </c>
      <c r="F28" s="179"/>
      <c r="G28" s="179"/>
      <c r="J28" s="179"/>
    </row>
    <row r="29" spans="1:10" x14ac:dyDescent="0.25">
      <c r="D29" s="108">
        <f>+(H2/31)*4</f>
        <v>26687.600606441847</v>
      </c>
      <c r="E29" s="314">
        <f>+D29/H2</f>
        <v>0.12903225806451613</v>
      </c>
      <c r="F29" s="352"/>
    </row>
    <row r="30" spans="1:10" x14ac:dyDescent="0.25">
      <c r="D30" s="183">
        <f>+D20-D29</f>
        <v>-6848.8116064418464</v>
      </c>
      <c r="E30" s="99">
        <f>E28-E29</f>
        <v>-3.311341621413301E-2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1326</v>
      </c>
      <c r="D33" s="108">
        <v>2142</v>
      </c>
      <c r="E33" s="57">
        <f>+C33/D33</f>
        <v>0.61904761904761907</v>
      </c>
      <c r="G33" s="86" t="s">
        <v>86</v>
      </c>
      <c r="H33" s="87">
        <v>16621</v>
      </c>
      <c r="I33" s="88">
        <f>+H33*0.025</f>
        <v>415.52500000000003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930</v>
      </c>
      <c r="D34" s="108">
        <v>1890</v>
      </c>
      <c r="E34" s="57">
        <f>+C34/D34</f>
        <v>0.49206349206349204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740</v>
      </c>
      <c r="D35" s="108">
        <v>3006</v>
      </c>
      <c r="E35" s="57">
        <f>+C35/D35</f>
        <v>0.24617431803060547</v>
      </c>
      <c r="G35" s="89" t="s">
        <v>169</v>
      </c>
      <c r="H35" s="87">
        <v>262</v>
      </c>
      <c r="I35" s="88">
        <f>+H35*1.5</f>
        <v>393</v>
      </c>
      <c r="J35" s="298">
        <f>+I35+I33</f>
        <v>808.52500000000009</v>
      </c>
    </row>
    <row r="36" spans="1:11" x14ac:dyDescent="0.25">
      <c r="C36" s="162">
        <f>+SUM(C33:C35)</f>
        <v>2996</v>
      </c>
      <c r="D36" s="110">
        <f>+SUM(D33:D35)</f>
        <v>7038</v>
      </c>
      <c r="E36" s="57">
        <f>+C36/D36</f>
        <v>0.42568911622620065</v>
      </c>
      <c r="G36" s="89" t="s">
        <v>168</v>
      </c>
      <c r="H36" s="87">
        <v>0</v>
      </c>
      <c r="I36" s="88">
        <f>+H36*1.5</f>
        <v>0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10</v>
      </c>
      <c r="C40" s="74">
        <v>5</v>
      </c>
      <c r="D40" s="74">
        <v>5</v>
      </c>
      <c r="E40" s="75">
        <f>+SUM(B40:D40)</f>
        <v>20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6.42</v>
      </c>
      <c r="C44" s="199">
        <v>1729</v>
      </c>
      <c r="D44" s="200">
        <v>3600</v>
      </c>
      <c r="E44" s="201">
        <f t="shared" si="3"/>
        <v>0.4802777777777778</v>
      </c>
      <c r="F44" s="201">
        <f t="shared" si="4"/>
        <v>0.26750000000000002</v>
      </c>
      <c r="G44" s="202">
        <v>12</v>
      </c>
      <c r="H44" s="71"/>
    </row>
    <row r="45" spans="1:11" x14ac:dyDescent="0.25">
      <c r="A45" s="207" t="s">
        <v>72</v>
      </c>
      <c r="B45" s="199">
        <v>13.24</v>
      </c>
      <c r="C45" s="199">
        <v>1140</v>
      </c>
      <c r="D45" s="200">
        <v>3900</v>
      </c>
      <c r="E45" s="201">
        <f t="shared" si="3"/>
        <v>0.29230769230769232</v>
      </c>
      <c r="F45" s="201">
        <f t="shared" si="4"/>
        <v>0.55166666666666664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11.06</v>
      </c>
      <c r="C46" s="199">
        <v>3056</v>
      </c>
      <c r="D46" s="200">
        <v>3900</v>
      </c>
      <c r="E46" s="201">
        <f t="shared" si="3"/>
        <v>0.78358974358974354</v>
      </c>
      <c r="F46" s="201">
        <f t="shared" si="4"/>
        <v>0.46083333333333337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10.57</v>
      </c>
      <c r="C47" s="199">
        <v>2081</v>
      </c>
      <c r="D47" s="200">
        <v>3900</v>
      </c>
      <c r="E47" s="201">
        <f t="shared" si="3"/>
        <v>0.53358974358974354</v>
      </c>
      <c r="F47" s="201">
        <f t="shared" si="4"/>
        <v>0.44041666666666668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1.97</v>
      </c>
      <c r="C48" s="261">
        <v>1758</v>
      </c>
      <c r="D48" s="262">
        <v>4300</v>
      </c>
      <c r="E48" s="263">
        <f t="shared" si="3"/>
        <v>0.40883720930232559</v>
      </c>
      <c r="F48" s="201">
        <f t="shared" si="4"/>
        <v>8.2083333333333328E-2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43.26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>
        <v>0</v>
      </c>
      <c r="H53" s="301"/>
      <c r="I53" s="129"/>
      <c r="J53"/>
      <c r="K53" s="318"/>
    </row>
    <row r="54" spans="2:11" x14ac:dyDescent="0.25">
      <c r="C54" s="71">
        <v>4</v>
      </c>
      <c r="D54" s="108">
        <v>0</v>
      </c>
      <c r="H54" s="301"/>
      <c r="I54" s="129"/>
      <c r="J54"/>
      <c r="K54" s="318"/>
    </row>
    <row r="55" spans="2:11" x14ac:dyDescent="0.25">
      <c r="C55" s="71">
        <v>5</v>
      </c>
      <c r="D55" s="108">
        <v>0</v>
      </c>
      <c r="H55" s="359" t="s">
        <v>224</v>
      </c>
      <c r="I55" s="345"/>
      <c r="J55" s="199">
        <f>+J52</f>
        <v>47</v>
      </c>
      <c r="K55" s="346">
        <f>+J55*1.5</f>
        <v>70.5</v>
      </c>
    </row>
    <row r="56" spans="2:11" x14ac:dyDescent="0.25">
      <c r="C56" s="71">
        <v>6</v>
      </c>
      <c r="D56" s="108">
        <v>0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108">
        <v>7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H63" s="359" t="s">
        <v>224</v>
      </c>
      <c r="I63" s="345"/>
      <c r="J63" s="200">
        <v>6042</v>
      </c>
      <c r="K63" s="346">
        <v>151.05000000000001</v>
      </c>
    </row>
    <row r="64" spans="2:11" x14ac:dyDescent="0.25">
      <c r="H64" s="237" t="s">
        <v>205</v>
      </c>
      <c r="I64"/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v>70.5</v>
      </c>
    </row>
    <row r="66" spans="8:11" x14ac:dyDescent="0.25">
      <c r="H66"/>
      <c r="I66" s="129"/>
      <c r="J66"/>
      <c r="K66" s="215"/>
    </row>
    <row r="67" spans="8:11" x14ac:dyDescent="0.25">
      <c r="H67" s="237" t="s">
        <v>167</v>
      </c>
      <c r="I67"/>
      <c r="J67" s="162" t="s">
        <v>157</v>
      </c>
      <c r="K67" s="215" t="s">
        <v>92</v>
      </c>
    </row>
    <row r="68" spans="8:11" x14ac:dyDescent="0.25">
      <c r="H68" s="301">
        <v>46005</v>
      </c>
      <c r="I68" s="129"/>
      <c r="J68" s="162">
        <v>519</v>
      </c>
      <c r="K68" s="318">
        <v>778.5</v>
      </c>
    </row>
    <row r="69" spans="8:11" x14ac:dyDescent="0.25">
      <c r="H69" s="301">
        <v>46018</v>
      </c>
      <c r="I69" s="129" t="s">
        <v>175</v>
      </c>
      <c r="J69" s="68">
        <v>46</v>
      </c>
      <c r="K69" s="318">
        <f>+J69*1.5</f>
        <v>69</v>
      </c>
    </row>
    <row r="70" spans="8:11" x14ac:dyDescent="0.25">
      <c r="H70" s="301">
        <v>46018</v>
      </c>
      <c r="I70" s="129" t="s">
        <v>176</v>
      </c>
      <c r="J70" s="68">
        <v>170</v>
      </c>
      <c r="K70" s="318">
        <f>+J70*1.5</f>
        <v>255</v>
      </c>
    </row>
    <row r="71" spans="8:11" x14ac:dyDescent="0.25">
      <c r="H71" s="301">
        <v>46019</v>
      </c>
      <c r="I71" s="129" t="s">
        <v>175</v>
      </c>
      <c r="J71" s="68">
        <v>182</v>
      </c>
      <c r="K71" s="318">
        <f>+J71*1.5</f>
        <v>273</v>
      </c>
    </row>
    <row r="72" spans="8:11" x14ac:dyDescent="0.25">
      <c r="H72" s="301">
        <v>46019</v>
      </c>
      <c r="I72" s="129" t="s">
        <v>176</v>
      </c>
      <c r="J72" s="162">
        <v>139</v>
      </c>
      <c r="K72" s="318">
        <f>+J72*1.5</f>
        <v>208.5</v>
      </c>
    </row>
    <row r="73" spans="8:11" x14ac:dyDescent="0.25">
      <c r="H73" s="344"/>
      <c r="I73" s="345"/>
      <c r="J73" s="200">
        <f>+J72+J71+J70+J69</f>
        <v>537</v>
      </c>
      <c r="K73" s="346">
        <f>+K72+K71+K70+K69</f>
        <v>805.5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41" workbookViewId="0">
      <selection activeCell="D58" sqref="D58"/>
    </sheetView>
  </sheetViews>
  <sheetFormatPr baseColWidth="10" defaultColWidth="11.42578125" defaultRowHeight="15.75" x14ac:dyDescent="0.25"/>
  <cols>
    <col min="1" max="1" width="2.42578125" style="162" customWidth="1"/>
    <col min="2" max="2" width="46.7109375" style="162" customWidth="1"/>
    <col min="3" max="3" width="13.28515625" style="162" customWidth="1"/>
    <col min="4" max="4" width="14.5703125" style="163" customWidth="1"/>
    <col min="5" max="5" width="19.85546875" style="162" customWidth="1"/>
    <col min="6" max="6" width="11.42578125" style="162"/>
    <col min="7" max="7" width="11.85546875" style="162" bestFit="1" customWidth="1"/>
    <col min="8" max="9" width="11.42578125" style="162"/>
    <col min="10" max="10" width="9.7109375" style="162" customWidth="1"/>
    <col min="11" max="11" width="8" style="162" bestFit="1" customWidth="1"/>
    <col min="12" max="16384" width="11.42578125" style="162"/>
  </cols>
  <sheetData>
    <row r="1" spans="1:10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0" ht="19.5" customHeight="1" thickBot="1" x14ac:dyDescent="0.4">
      <c r="A4" s="164"/>
      <c r="B4" s="382"/>
      <c r="C4" s="382"/>
      <c r="D4" s="165">
        <f>D20</f>
        <v>7379.0839999999989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2325</v>
      </c>
      <c r="D5" s="172">
        <v>99.102000000000004</v>
      </c>
      <c r="E5" s="80">
        <f>+D5/$D$4</f>
        <v>1.3430122221132056E-2</v>
      </c>
      <c r="F5" s="58" t="s">
        <v>51</v>
      </c>
      <c r="G5" s="59">
        <v>46020</v>
      </c>
      <c r="H5" s="190">
        <v>7262</v>
      </c>
      <c r="I5" s="141">
        <v>7379.0839999999989</v>
      </c>
      <c r="J5" s="60">
        <f t="shared" ref="J5:J12" si="0">+I5/H5</f>
        <v>1.0161228311759845</v>
      </c>
    </row>
    <row r="6" spans="1:10" ht="15" customHeight="1" x14ac:dyDescent="0.25">
      <c r="A6" s="164"/>
      <c r="B6" s="169" t="s">
        <v>10</v>
      </c>
      <c r="C6" s="177">
        <v>5385</v>
      </c>
      <c r="D6" s="173">
        <v>229.602</v>
      </c>
      <c r="E6" s="80">
        <f t="shared" ref="E6:E19" si="1">+D6/$D$4</f>
        <v>3.1115244114310128E-2</v>
      </c>
      <c r="F6" s="58" t="s">
        <v>52</v>
      </c>
      <c r="G6" s="59">
        <v>46021</v>
      </c>
      <c r="H6" s="190">
        <v>9505</v>
      </c>
      <c r="I6" s="141"/>
      <c r="J6" s="60">
        <f t="shared" si="0"/>
        <v>0</v>
      </c>
    </row>
    <row r="7" spans="1:10" ht="15" customHeight="1" x14ac:dyDescent="0.25">
      <c r="A7" s="164"/>
      <c r="B7" s="169" t="s">
        <v>35</v>
      </c>
      <c r="C7" s="177">
        <v>18839</v>
      </c>
      <c r="D7" s="173">
        <v>803.01400000000001</v>
      </c>
      <c r="E7" s="245">
        <f t="shared" si="1"/>
        <v>0.10882299212205744</v>
      </c>
      <c r="F7" s="58" t="s">
        <v>53</v>
      </c>
      <c r="G7" s="59">
        <v>46022</v>
      </c>
      <c r="H7" s="190">
        <v>9232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37</v>
      </c>
      <c r="C8" s="177">
        <v>34897</v>
      </c>
      <c r="D8" s="173">
        <v>1488.202</v>
      </c>
      <c r="E8" s="245">
        <f t="shared" si="1"/>
        <v>0.20167841970629419</v>
      </c>
      <c r="F8" s="58" t="s">
        <v>54</v>
      </c>
      <c r="G8" s="59">
        <v>46023</v>
      </c>
      <c r="H8" s="190">
        <v>8885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38</v>
      </c>
      <c r="C9" s="177">
        <v>50844</v>
      </c>
      <c r="D9" s="173">
        <v>2167.7939999999999</v>
      </c>
      <c r="E9" s="245">
        <f t="shared" si="1"/>
        <v>0.29377548758084338</v>
      </c>
      <c r="F9" s="58" t="s">
        <v>55</v>
      </c>
      <c r="G9" s="59">
        <v>46024</v>
      </c>
      <c r="H9" s="190">
        <v>8923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4774</v>
      </c>
      <c r="D10" s="173">
        <v>203.98</v>
      </c>
      <c r="E10" s="80">
        <f t="shared" si="1"/>
        <v>2.7642997423528451E-2</v>
      </c>
      <c r="F10" s="58" t="s">
        <v>56</v>
      </c>
      <c r="G10" s="59">
        <v>46025</v>
      </c>
      <c r="H10" s="190">
        <v>7391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39</v>
      </c>
      <c r="C11" s="177">
        <v>691</v>
      </c>
      <c r="D11" s="173">
        <v>1042.3</v>
      </c>
      <c r="E11" s="245">
        <f t="shared" si="1"/>
        <v>0.14125059424719927</v>
      </c>
      <c r="F11" s="58" t="s">
        <v>57</v>
      </c>
      <c r="G11" s="59">
        <v>46026</v>
      </c>
      <c r="H11" s="190">
        <v>5060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43</v>
      </c>
      <c r="C12" s="177">
        <v>248</v>
      </c>
      <c r="D12" s="173">
        <v>374.32</v>
      </c>
      <c r="E12" s="80">
        <f t="shared" si="1"/>
        <v>5.0727163425704339E-2</v>
      </c>
      <c r="H12" s="139">
        <f>+SUM(H5:H11)</f>
        <v>56258</v>
      </c>
      <c r="I12" s="142">
        <f>+SUM(I5:I11)</f>
        <v>7379.0839999999989</v>
      </c>
      <c r="J12" s="140">
        <f t="shared" si="0"/>
        <v>0.1311650609691066</v>
      </c>
    </row>
    <row r="13" spans="1:10" ht="15" customHeight="1" x14ac:dyDescent="0.25">
      <c r="A13" s="164"/>
      <c r="B13" s="169" t="s">
        <v>44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49</v>
      </c>
      <c r="C14" s="177"/>
      <c r="D14" s="173"/>
      <c r="E14" s="80">
        <f t="shared" si="1"/>
        <v>0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41</v>
      </c>
      <c r="C15" s="177">
        <v>235</v>
      </c>
      <c r="D15" s="173">
        <v>353.15</v>
      </c>
      <c r="E15" s="80">
        <f t="shared" si="1"/>
        <v>4.7858243651922115E-2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230</v>
      </c>
      <c r="C16" s="177">
        <v>46</v>
      </c>
      <c r="D16" s="173">
        <v>69.489999999999995</v>
      </c>
      <c r="E16" s="80">
        <f t="shared" si="1"/>
        <v>9.4171580103980385E-3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40</v>
      </c>
      <c r="C17" s="177"/>
      <c r="D17" s="173">
        <v>368.71</v>
      </c>
      <c r="E17" s="80">
        <f t="shared" si="1"/>
        <v>4.9966906461560816E-2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46</v>
      </c>
      <c r="C18" s="177"/>
      <c r="D18" s="173">
        <v>59.65</v>
      </c>
      <c r="E18" s="80">
        <f t="shared" si="1"/>
        <v>8.0836591641997857E-3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thickBot="1" x14ac:dyDescent="0.3">
      <c r="A19" s="164"/>
      <c r="B19" s="169" t="s">
        <v>9</v>
      </c>
      <c r="C19" s="177"/>
      <c r="D19" s="173">
        <v>119.77</v>
      </c>
      <c r="E19" s="80">
        <f t="shared" si="1"/>
        <v>1.6231011870850097E-2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thickBot="1" x14ac:dyDescent="0.3">
      <c r="B20" s="178" t="s">
        <v>0</v>
      </c>
      <c r="C20" s="170"/>
      <c r="D20" s="171">
        <f>SUM(D5:D19)</f>
        <v>7379.0839999999989</v>
      </c>
      <c r="E20" s="80"/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x14ac:dyDescent="0.25">
      <c r="B21" s="166" t="s">
        <v>1</v>
      </c>
      <c r="C21" s="167"/>
      <c r="D21" s="233">
        <v>27217.873</v>
      </c>
      <c r="E21" s="80"/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x14ac:dyDescent="0.25">
      <c r="E22" s="80"/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ht="15" customHeight="1" x14ac:dyDescent="0.25">
      <c r="E24" s="80"/>
      <c r="F24" s="112" t="s">
        <v>198</v>
      </c>
      <c r="G24" s="190">
        <v>215275.19500000001</v>
      </c>
      <c r="H24" s="272">
        <v>242524.66</v>
      </c>
      <c r="I24" s="98">
        <f t="shared" si="2"/>
        <v>1.1265796786294864</v>
      </c>
      <c r="J24" s="108">
        <v>32010.999999999534</v>
      </c>
    </row>
    <row r="25" spans="1:10" x14ac:dyDescent="0.25">
      <c r="E25" s="80"/>
      <c r="F25" s="112" t="s">
        <v>199</v>
      </c>
      <c r="G25" s="190">
        <v>210045.58799999999</v>
      </c>
      <c r="H25" s="190">
        <v>246279.44400000005</v>
      </c>
      <c r="I25" s="98">
        <f t="shared" si="2"/>
        <v>1.1725047231175361</v>
      </c>
      <c r="J25" s="108">
        <f>+H25-G25</f>
        <v>36233.856000000058</v>
      </c>
    </row>
    <row r="26" spans="1:10" x14ac:dyDescent="0.25">
      <c r="E26" s="80"/>
      <c r="G26" s="68">
        <f>+SUM(G14:G25)</f>
        <v>2547596.0290000001</v>
      </c>
      <c r="H26" s="377">
        <f>+SUM(H14:H25)</f>
        <v>2615840.8849999998</v>
      </c>
      <c r="I26" s="378">
        <f>+H26/G26</f>
        <v>1.0267879425243049</v>
      </c>
      <c r="J26" s="320">
        <f>+H26-G26</f>
        <v>68244.85599999968</v>
      </c>
    </row>
    <row r="27" spans="1:10" ht="16.5" thickBot="1" x14ac:dyDescent="0.3">
      <c r="E27" s="80"/>
      <c r="G27" s="379" t="s">
        <v>229</v>
      </c>
      <c r="H27" s="380">
        <v>2726927.1277059279</v>
      </c>
      <c r="I27" s="381">
        <f>+H27/H26</f>
        <v>1.0424667430434815</v>
      </c>
      <c r="J27" s="179"/>
    </row>
    <row r="28" spans="1:10" ht="19.5" thickBot="1" x14ac:dyDescent="0.3">
      <c r="E28" s="313">
        <f>+D21/H2</f>
        <v>0.13159607956870817</v>
      </c>
      <c r="F28" s="179"/>
      <c r="G28" s="179"/>
      <c r="J28" s="179"/>
    </row>
    <row r="29" spans="1:10" x14ac:dyDescent="0.25">
      <c r="D29" s="108">
        <f>+(H2/31)*5</f>
        <v>33359.500758052309</v>
      </c>
      <c r="E29" s="314">
        <f>+D29/H2</f>
        <v>0.16129032258064516</v>
      </c>
      <c r="F29" s="352"/>
    </row>
    <row r="30" spans="1:10" ht="15" customHeight="1" x14ac:dyDescent="0.25">
      <c r="D30" s="183">
        <f>+D21-D29</f>
        <v>-6141.6277580523092</v>
      </c>
      <c r="E30" s="99">
        <f>E28-E29</f>
        <v>-2.9694243011936988E-2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1427</v>
      </c>
      <c r="D33" s="108">
        <v>2142</v>
      </c>
      <c r="E33" s="57">
        <f>+C33/D33</f>
        <v>0.66619981325863675</v>
      </c>
      <c r="G33" s="86" t="s">
        <v>86</v>
      </c>
      <c r="H33" s="87">
        <v>16621</v>
      </c>
      <c r="I33" s="88">
        <f>+H33*0.025</f>
        <v>415.52500000000003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934</v>
      </c>
      <c r="D34" s="108">
        <v>1890</v>
      </c>
      <c r="E34" s="57">
        <f>+C34/D34</f>
        <v>0.49417989417989416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745</v>
      </c>
      <c r="D35" s="108">
        <v>3006</v>
      </c>
      <c r="E35" s="57">
        <f>+C35/D35</f>
        <v>0.24783765801729873</v>
      </c>
      <c r="G35" s="89" t="s">
        <v>169</v>
      </c>
      <c r="H35" s="87">
        <v>239</v>
      </c>
      <c r="I35" s="88">
        <f>+H35*1.5</f>
        <v>358.5</v>
      </c>
      <c r="J35" s="298">
        <f>+I35+I33</f>
        <v>774.02500000000009</v>
      </c>
    </row>
    <row r="36" spans="1:11" x14ac:dyDescent="0.25">
      <c r="C36" s="162">
        <f>+SUM(C33:C35)</f>
        <v>3106</v>
      </c>
      <c r="D36" s="110">
        <f>+SUM(D33:D35)</f>
        <v>7038</v>
      </c>
      <c r="E36" s="57">
        <f>+C36/D36</f>
        <v>0.44131855640807049</v>
      </c>
      <c r="G36" s="89" t="s">
        <v>168</v>
      </c>
      <c r="H36" s="87">
        <v>0</v>
      </c>
      <c r="I36" s="88">
        <f>+H36*1.5</f>
        <v>0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28</v>
      </c>
      <c r="C40" s="74">
        <v>4</v>
      </c>
      <c r="D40" s="74">
        <v>10</v>
      </c>
      <c r="E40" s="75">
        <f>+SUM(B40:D40)</f>
        <v>42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3.16</v>
      </c>
      <c r="C44" s="199">
        <v>1085</v>
      </c>
      <c r="D44" s="200">
        <v>3600</v>
      </c>
      <c r="E44" s="201">
        <f t="shared" si="3"/>
        <v>0.30138888888888887</v>
      </c>
      <c r="F44" s="201">
        <f t="shared" si="4"/>
        <v>0.13166666666666668</v>
      </c>
      <c r="G44" s="202">
        <v>12</v>
      </c>
      <c r="H44" s="71"/>
    </row>
    <row r="45" spans="1:11" x14ac:dyDescent="0.25">
      <c r="A45" s="207" t="s">
        <v>72</v>
      </c>
      <c r="B45" s="199">
        <v>9.7799999999999994</v>
      </c>
      <c r="C45" s="199">
        <v>1599</v>
      </c>
      <c r="D45" s="200">
        <v>3900</v>
      </c>
      <c r="E45" s="201">
        <f t="shared" si="3"/>
        <v>0.41</v>
      </c>
      <c r="F45" s="201">
        <f t="shared" si="4"/>
        <v>0.40749999999999997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13.77</v>
      </c>
      <c r="C46" s="199">
        <v>2947</v>
      </c>
      <c r="D46" s="200">
        <v>3900</v>
      </c>
      <c r="E46" s="201">
        <f t="shared" si="3"/>
        <v>0.75564102564102564</v>
      </c>
      <c r="F46" s="201">
        <f t="shared" si="4"/>
        <v>0.57374999999999998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16.260000000000002</v>
      </c>
      <c r="C47" s="199">
        <v>2554</v>
      </c>
      <c r="D47" s="200">
        <v>3900</v>
      </c>
      <c r="E47" s="201">
        <f t="shared" si="3"/>
        <v>0.65487179487179492</v>
      </c>
      <c r="F47" s="201">
        <f t="shared" si="4"/>
        <v>0.6775000000000001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9.7799999999999994</v>
      </c>
      <c r="C48" s="261">
        <v>2773</v>
      </c>
      <c r="D48" s="262">
        <v>4300</v>
      </c>
      <c r="E48" s="263">
        <f t="shared" si="3"/>
        <v>0.64488372093023261</v>
      </c>
      <c r="F48" s="201">
        <f t="shared" si="4"/>
        <v>0.40749999999999997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52.75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153</v>
      </c>
      <c r="H53" s="301"/>
      <c r="I53" s="129"/>
      <c r="J53"/>
      <c r="K53" s="318"/>
    </row>
    <row r="54" spans="2:11" x14ac:dyDescent="0.25">
      <c r="C54" s="71">
        <v>4</v>
      </c>
      <c r="D54" s="108">
        <v>0</v>
      </c>
      <c r="H54" s="301"/>
      <c r="I54" s="129"/>
      <c r="J54"/>
      <c r="K54" s="318"/>
    </row>
    <row r="55" spans="2:11" x14ac:dyDescent="0.25">
      <c r="C55" s="71">
        <v>5</v>
      </c>
      <c r="D55" s="108">
        <v>0</v>
      </c>
      <c r="H55" s="359" t="s">
        <v>233</v>
      </c>
      <c r="I55" s="345"/>
      <c r="J55" s="199">
        <f>+J52</f>
        <v>47</v>
      </c>
      <c r="K55" s="346">
        <f>+J55*1.5</f>
        <v>70.5</v>
      </c>
    </row>
    <row r="56" spans="2:11" x14ac:dyDescent="0.25">
      <c r="C56" s="71">
        <v>6</v>
      </c>
      <c r="D56" s="108">
        <v>0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108">
        <v>13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B60" s="364" t="s">
        <v>231</v>
      </c>
      <c r="C60" s="199">
        <v>2117</v>
      </c>
      <c r="D60" s="384" t="s">
        <v>92</v>
      </c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H63" s="359" t="s">
        <v>232</v>
      </c>
      <c r="I63" s="345"/>
      <c r="J63" s="200">
        <v>6042</v>
      </c>
      <c r="K63" s="346">
        <v>151.05000000000001</v>
      </c>
    </row>
    <row r="64" spans="2:11" x14ac:dyDescent="0.25">
      <c r="H64" s="237" t="s">
        <v>205</v>
      </c>
      <c r="I64"/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v>70.5</v>
      </c>
    </row>
    <row r="66" spans="8:11" x14ac:dyDescent="0.25">
      <c r="H66"/>
      <c r="I66" s="129"/>
      <c r="J66"/>
      <c r="K66" s="215"/>
    </row>
    <row r="67" spans="8:11" x14ac:dyDescent="0.25">
      <c r="H67" s="237" t="s">
        <v>167</v>
      </c>
      <c r="I67"/>
      <c r="J67" s="162" t="s">
        <v>157</v>
      </c>
      <c r="K67" s="215" t="s">
        <v>92</v>
      </c>
    </row>
    <row r="68" spans="8:11" x14ac:dyDescent="0.25">
      <c r="H68" s="301">
        <v>46005</v>
      </c>
      <c r="I68" s="129"/>
      <c r="J68" s="162">
        <v>519</v>
      </c>
      <c r="K68" s="318">
        <v>778.5</v>
      </c>
    </row>
    <row r="69" spans="8:11" x14ac:dyDescent="0.25">
      <c r="H69" s="301">
        <v>46018</v>
      </c>
      <c r="I69" s="129" t="s">
        <v>175</v>
      </c>
      <c r="J69" s="68">
        <v>46</v>
      </c>
      <c r="K69" s="318">
        <f>+J69*1.5</f>
        <v>69</v>
      </c>
    </row>
    <row r="70" spans="8:11" x14ac:dyDescent="0.25">
      <c r="H70" s="301">
        <v>46018</v>
      </c>
      <c r="I70" s="129" t="s">
        <v>176</v>
      </c>
      <c r="J70" s="68">
        <v>170</v>
      </c>
      <c r="K70" s="318">
        <f>+J70*1.5</f>
        <v>255</v>
      </c>
    </row>
    <row r="71" spans="8:11" x14ac:dyDescent="0.25">
      <c r="H71" s="301">
        <v>46019</v>
      </c>
      <c r="I71" s="129" t="s">
        <v>175</v>
      </c>
      <c r="J71" s="68">
        <v>182</v>
      </c>
      <c r="K71" s="318">
        <f>+J71*1.5</f>
        <v>273</v>
      </c>
    </row>
    <row r="72" spans="8:11" x14ac:dyDescent="0.25">
      <c r="H72" s="301">
        <v>46019</v>
      </c>
      <c r="I72" s="129" t="s">
        <v>176</v>
      </c>
      <c r="J72" s="162">
        <v>139</v>
      </c>
      <c r="K72" s="318">
        <f>+J72*1.5</f>
        <v>208.5</v>
      </c>
    </row>
    <row r="73" spans="8:11" x14ac:dyDescent="0.25">
      <c r="H73" s="344"/>
      <c r="I73" s="345"/>
      <c r="J73" s="200">
        <f>+J72+J71+J70+J69</f>
        <v>537</v>
      </c>
      <c r="K73" s="346">
        <f>+K72+K71+K70+K69</f>
        <v>805.5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31" workbookViewId="0">
      <selection activeCell="A29" sqref="A29:K73"/>
    </sheetView>
  </sheetViews>
  <sheetFormatPr baseColWidth="10" defaultColWidth="11.42578125" defaultRowHeight="15.75" x14ac:dyDescent="0.25"/>
  <cols>
    <col min="1" max="1" width="2.42578125" style="162" customWidth="1"/>
    <col min="2" max="2" width="48.140625" style="162" customWidth="1"/>
    <col min="3" max="3" width="13.28515625" style="162" customWidth="1"/>
    <col min="4" max="4" width="14.5703125" style="163" customWidth="1"/>
    <col min="5" max="5" width="19.85546875" style="162" customWidth="1"/>
    <col min="6" max="6" width="11.42578125" style="162"/>
    <col min="7" max="7" width="11.85546875" style="162" bestFit="1" customWidth="1"/>
    <col min="8" max="10" width="11.42578125" style="162"/>
    <col min="11" max="11" width="8" style="162" bestFit="1" customWidth="1"/>
    <col min="12" max="16384" width="11.42578125" style="162"/>
  </cols>
  <sheetData>
    <row r="1" spans="1:10" ht="15" customHeight="1" x14ac:dyDescent="0.25">
      <c r="A1" s="161"/>
      <c r="B1" s="518">
        <v>46028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0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0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0" ht="19.5" customHeight="1" thickBot="1" x14ac:dyDescent="0.4">
      <c r="A4" s="164"/>
      <c r="B4" s="383"/>
      <c r="C4" s="383"/>
      <c r="D4" s="165">
        <f>D22</f>
        <v>9377.2959999999985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0" ht="15" customHeight="1" x14ac:dyDescent="0.25">
      <c r="A5" s="164"/>
      <c r="B5" s="168" t="s">
        <v>6</v>
      </c>
      <c r="C5" s="176">
        <v>7765</v>
      </c>
      <c r="D5" s="172">
        <v>331.27600000000001</v>
      </c>
      <c r="E5" s="80">
        <f>+D5/$D$4</f>
        <v>3.5327454737485102E-2</v>
      </c>
      <c r="F5" s="58" t="s">
        <v>51</v>
      </c>
      <c r="G5" s="59">
        <v>46020</v>
      </c>
      <c r="H5" s="190">
        <v>7262</v>
      </c>
      <c r="I5" s="141">
        <v>7379.0839999999989</v>
      </c>
      <c r="J5" s="60">
        <f t="shared" ref="J5:J12" si="0">+I5/H5</f>
        <v>1.0161228311759845</v>
      </c>
    </row>
    <row r="6" spans="1:10" ht="15" customHeight="1" x14ac:dyDescent="0.25">
      <c r="A6" s="164"/>
      <c r="B6" s="169" t="s">
        <v>10</v>
      </c>
      <c r="C6" s="177">
        <v>15150</v>
      </c>
      <c r="D6" s="173">
        <v>646.64400000000001</v>
      </c>
      <c r="E6" s="80">
        <f t="shared" ref="E6:E22" si="1">+D6/$D$4</f>
        <v>6.8958471610579442E-2</v>
      </c>
      <c r="F6" s="58" t="s">
        <v>52</v>
      </c>
      <c r="G6" s="59">
        <v>46021</v>
      </c>
      <c r="H6" s="190">
        <v>9505</v>
      </c>
      <c r="I6" s="141">
        <v>9377.2959999999985</v>
      </c>
      <c r="J6" s="60">
        <f t="shared" si="0"/>
        <v>0.98656454497632806</v>
      </c>
    </row>
    <row r="7" spans="1:10" ht="15" customHeight="1" x14ac:dyDescent="0.25">
      <c r="A7" s="164"/>
      <c r="B7" s="169" t="s">
        <v>35</v>
      </c>
      <c r="C7" s="177">
        <f>34020+740</f>
        <v>34760</v>
      </c>
      <c r="D7" s="173">
        <v>1481.472</v>
      </c>
      <c r="E7" s="245">
        <f t="shared" si="1"/>
        <v>0.15798498842310196</v>
      </c>
      <c r="F7" s="58" t="s">
        <v>53</v>
      </c>
      <c r="G7" s="59">
        <v>46022</v>
      </c>
      <c r="H7" s="190">
        <v>9232</v>
      </c>
      <c r="I7" s="141"/>
      <c r="J7" s="60">
        <f t="shared" si="0"/>
        <v>0</v>
      </c>
    </row>
    <row r="8" spans="1:10" ht="15" customHeight="1" x14ac:dyDescent="0.25">
      <c r="A8" s="164"/>
      <c r="B8" s="169" t="s">
        <v>37</v>
      </c>
      <c r="C8" s="177">
        <v>48532</v>
      </c>
      <c r="D8" s="173">
        <v>2069.8359999999998</v>
      </c>
      <c r="E8" s="245">
        <f t="shared" si="1"/>
        <v>0.22072844879803305</v>
      </c>
      <c r="F8" s="58" t="s">
        <v>54</v>
      </c>
      <c r="G8" s="59">
        <v>46023</v>
      </c>
      <c r="H8" s="190">
        <v>8885</v>
      </c>
      <c r="I8" s="141"/>
      <c r="J8" s="60">
        <f t="shared" si="0"/>
        <v>0</v>
      </c>
    </row>
    <row r="9" spans="1:10" ht="15" customHeight="1" x14ac:dyDescent="0.25">
      <c r="A9" s="164"/>
      <c r="B9" s="169" t="s">
        <v>38</v>
      </c>
      <c r="C9" s="177">
        <v>38361</v>
      </c>
      <c r="D9" s="173">
        <v>1636.192</v>
      </c>
      <c r="E9" s="245">
        <f t="shared" si="1"/>
        <v>0.17448441427038244</v>
      </c>
      <c r="F9" s="58" t="s">
        <v>55</v>
      </c>
      <c r="G9" s="59">
        <v>46024</v>
      </c>
      <c r="H9" s="190">
        <v>8923</v>
      </c>
      <c r="I9" s="141"/>
      <c r="J9" s="60">
        <f t="shared" si="0"/>
        <v>0</v>
      </c>
    </row>
    <row r="10" spans="1:10" ht="15" customHeight="1" x14ac:dyDescent="0.25">
      <c r="A10" s="164"/>
      <c r="B10" s="169" t="s">
        <v>42</v>
      </c>
      <c r="C10" s="177">
        <v>15434</v>
      </c>
      <c r="D10" s="173">
        <v>659.49599999999998</v>
      </c>
      <c r="E10" s="80">
        <f t="shared" si="1"/>
        <v>7.0329015955132496E-2</v>
      </c>
      <c r="F10" s="58" t="s">
        <v>56</v>
      </c>
      <c r="G10" s="59">
        <v>46025</v>
      </c>
      <c r="H10" s="190">
        <v>7391</v>
      </c>
      <c r="I10" s="141"/>
      <c r="J10" s="60">
        <f t="shared" si="0"/>
        <v>0</v>
      </c>
    </row>
    <row r="11" spans="1:10" ht="15" customHeight="1" x14ac:dyDescent="0.25">
      <c r="A11" s="164"/>
      <c r="B11" s="169" t="s">
        <v>39</v>
      </c>
      <c r="C11" s="177">
        <v>433</v>
      </c>
      <c r="D11" s="173">
        <v>653.74</v>
      </c>
      <c r="E11" s="80">
        <f t="shared" si="1"/>
        <v>6.9715192951144991E-2</v>
      </c>
      <c r="F11" s="58" t="s">
        <v>57</v>
      </c>
      <c r="G11" s="59">
        <v>46026</v>
      </c>
      <c r="H11" s="190">
        <v>5060</v>
      </c>
      <c r="I11" s="141"/>
      <c r="J11" s="60">
        <f t="shared" si="0"/>
        <v>0</v>
      </c>
    </row>
    <row r="12" spans="1:10" ht="15" customHeight="1" x14ac:dyDescent="0.25">
      <c r="A12" s="164"/>
      <c r="B12" s="169" t="s">
        <v>43</v>
      </c>
      <c r="C12" s="177">
        <v>470</v>
      </c>
      <c r="D12" s="173">
        <v>708.96</v>
      </c>
      <c r="E12" s="80">
        <f t="shared" si="1"/>
        <v>7.5603884104756866E-2</v>
      </c>
      <c r="H12" s="139">
        <f>+SUM(H5:H11)</f>
        <v>56258</v>
      </c>
      <c r="I12" s="142">
        <f>+SUM(I5:I11)</f>
        <v>16756.379999999997</v>
      </c>
      <c r="J12" s="140">
        <f t="shared" si="0"/>
        <v>0.29784883927619177</v>
      </c>
    </row>
    <row r="13" spans="1:10" ht="15" customHeight="1" x14ac:dyDescent="0.25">
      <c r="A13" s="164"/>
      <c r="B13" s="169" t="s">
        <v>44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71"/>
    </row>
    <row r="14" spans="1:10" ht="15" customHeight="1" x14ac:dyDescent="0.25">
      <c r="A14" s="164"/>
      <c r="B14" s="169" t="s">
        <v>49</v>
      </c>
      <c r="C14" s="177">
        <v>86</v>
      </c>
      <c r="D14" s="173">
        <v>129.27000000000001</v>
      </c>
      <c r="E14" s="80">
        <f t="shared" si="1"/>
        <v>1.3785423857794403E-2</v>
      </c>
      <c r="F14" s="112" t="s">
        <v>108</v>
      </c>
      <c r="G14" s="190">
        <v>204007.80300000001</v>
      </c>
      <c r="H14" s="190">
        <v>190629.128</v>
      </c>
      <c r="I14" s="57">
        <f t="shared" ref="I14:I25" si="2">+H14/G14</f>
        <v>0.93442076820953746</v>
      </c>
    </row>
    <row r="15" spans="1:10" ht="15" customHeight="1" x14ac:dyDescent="0.25">
      <c r="A15" s="164"/>
      <c r="B15" s="169" t="s">
        <v>41</v>
      </c>
      <c r="C15" s="177">
        <v>155</v>
      </c>
      <c r="D15" s="173">
        <v>232.89</v>
      </c>
      <c r="E15" s="80">
        <f t="shared" si="1"/>
        <v>2.4835517616165686E-2</v>
      </c>
      <c r="F15" s="112" t="s">
        <v>109</v>
      </c>
      <c r="G15" s="190">
        <v>186305.94399999996</v>
      </c>
      <c r="H15" s="190">
        <v>182874.285</v>
      </c>
      <c r="I15" s="57">
        <f t="shared" si="2"/>
        <v>0.9815805179033904</v>
      </c>
    </row>
    <row r="16" spans="1:10" ht="15" customHeight="1" x14ac:dyDescent="0.25">
      <c r="A16" s="164"/>
      <c r="B16" s="169" t="s">
        <v>234</v>
      </c>
      <c r="C16" s="177">
        <v>42</v>
      </c>
      <c r="D16" s="173">
        <v>63.09</v>
      </c>
      <c r="E16" s="80">
        <f t="shared" si="1"/>
        <v>6.7279522796337039E-3</v>
      </c>
      <c r="F16" s="112" t="s">
        <v>110</v>
      </c>
      <c r="G16" s="190">
        <v>199570.19199999989</v>
      </c>
      <c r="H16" s="190">
        <v>197224.22099999999</v>
      </c>
      <c r="I16" s="57">
        <f t="shared" si="2"/>
        <v>0.98824488278289624</v>
      </c>
    </row>
    <row r="17" spans="1:10" ht="15" customHeight="1" x14ac:dyDescent="0.25">
      <c r="A17" s="164"/>
      <c r="B17" s="169" t="s">
        <v>230</v>
      </c>
      <c r="C17" s="177">
        <v>43</v>
      </c>
      <c r="D17" s="173">
        <v>64.73</v>
      </c>
      <c r="E17" s="80">
        <f t="shared" si="1"/>
        <v>6.9028427811172874E-3</v>
      </c>
      <c r="F17" s="112" t="s">
        <v>111</v>
      </c>
      <c r="G17" s="190">
        <v>205343.72800000012</v>
      </c>
      <c r="H17" s="190">
        <v>198970.75799999986</v>
      </c>
      <c r="I17" s="57">
        <f t="shared" si="2"/>
        <v>0.96896437956945902</v>
      </c>
    </row>
    <row r="18" spans="1:10" ht="15" customHeight="1" x14ac:dyDescent="0.25">
      <c r="A18" s="164"/>
      <c r="B18" s="169" t="s">
        <v>106</v>
      </c>
      <c r="C18" s="177"/>
      <c r="D18" s="173">
        <v>90.92</v>
      </c>
      <c r="E18" s="80">
        <f t="shared" si="1"/>
        <v>9.6957587773703648E-3</v>
      </c>
      <c r="F18" s="112" t="s">
        <v>102</v>
      </c>
      <c r="G18" s="190">
        <v>209473.77399999995</v>
      </c>
      <c r="H18" s="190">
        <v>212393.17300000001</v>
      </c>
      <c r="I18" s="236">
        <f t="shared" si="2"/>
        <v>1.0139368234230604</v>
      </c>
    </row>
    <row r="19" spans="1:10" ht="15" customHeight="1" x14ac:dyDescent="0.25">
      <c r="A19" s="164"/>
      <c r="B19" s="169" t="s">
        <v>40</v>
      </c>
      <c r="C19" s="177"/>
      <c r="D19" s="173">
        <v>550.96</v>
      </c>
      <c r="E19" s="80">
        <f t="shared" si="1"/>
        <v>5.8754677254509204E-2</v>
      </c>
      <c r="F19" s="112" t="s">
        <v>125</v>
      </c>
      <c r="G19" s="190">
        <v>196506.86</v>
      </c>
      <c r="H19" s="190">
        <v>204590</v>
      </c>
      <c r="I19" s="236">
        <f t="shared" si="2"/>
        <v>1.0411341364876525</v>
      </c>
      <c r="J19" s="108">
        <v>-14526.736000000266</v>
      </c>
    </row>
    <row r="20" spans="1:10" ht="15" customHeight="1" x14ac:dyDescent="0.25">
      <c r="A20" s="164"/>
      <c r="B20" s="169" t="s">
        <v>46</v>
      </c>
      <c r="C20" s="177"/>
      <c r="D20" s="173">
        <v>57.82</v>
      </c>
      <c r="E20" s="80">
        <f t="shared" si="1"/>
        <v>6.1659565827931646E-3</v>
      </c>
      <c r="F20" s="112" t="s">
        <v>132</v>
      </c>
      <c r="G20" s="190">
        <v>219516.23899999997</v>
      </c>
      <c r="H20" s="190">
        <v>222445.37700000001</v>
      </c>
      <c r="I20" s="98">
        <f t="shared" si="2"/>
        <v>1.0133436050715139</v>
      </c>
      <c r="J20" s="108">
        <v>-11597.598000000231</v>
      </c>
    </row>
    <row r="21" spans="1:10" ht="15" customHeight="1" thickBot="1" x14ac:dyDescent="0.3">
      <c r="A21" s="164"/>
      <c r="B21" s="169" t="s">
        <v>9</v>
      </c>
      <c r="C21" s="177"/>
      <c r="D21" s="173"/>
      <c r="E21" s="80"/>
      <c r="F21" s="112" t="s">
        <v>135</v>
      </c>
      <c r="G21" s="272">
        <v>232937.965</v>
      </c>
      <c r="H21" s="272">
        <v>233567.97099999999</v>
      </c>
      <c r="I21" s="98">
        <f t="shared" si="2"/>
        <v>1.0027046084995204</v>
      </c>
      <c r="J21" s="108">
        <v>-10967.592000000412</v>
      </c>
    </row>
    <row r="22" spans="1:10" ht="15" customHeight="1" thickBot="1" x14ac:dyDescent="0.3">
      <c r="B22" s="178" t="s">
        <v>0</v>
      </c>
      <c r="C22" s="170"/>
      <c r="D22" s="171">
        <f>SUM(D5:D21)</f>
        <v>9377.2959999999985</v>
      </c>
      <c r="E22" s="80">
        <f t="shared" si="1"/>
        <v>1</v>
      </c>
      <c r="F22" s="112" t="s">
        <v>160</v>
      </c>
      <c r="G22" s="272">
        <v>231021.16800000001</v>
      </c>
      <c r="H22" s="272">
        <v>234732.79399999999</v>
      </c>
      <c r="I22" s="98">
        <f t="shared" si="2"/>
        <v>1.0160661727759943</v>
      </c>
      <c r="J22" s="108">
        <v>-7255.9660000004806</v>
      </c>
    </row>
    <row r="23" spans="1:10" ht="15" customHeight="1" x14ac:dyDescent="0.25">
      <c r="B23" s="166" t="s">
        <v>1</v>
      </c>
      <c r="C23" s="167"/>
      <c r="D23" s="233">
        <v>36595.169000000002</v>
      </c>
      <c r="E23" s="80"/>
      <c r="F23" s="112" t="s">
        <v>161</v>
      </c>
      <c r="G23" s="190">
        <v>237591.573</v>
      </c>
      <c r="H23" s="272">
        <v>249609.07399999999</v>
      </c>
      <c r="I23" s="98">
        <f t="shared" si="2"/>
        <v>1.0505805018598029</v>
      </c>
      <c r="J23" s="108">
        <v>4761.5349999992177</v>
      </c>
    </row>
    <row r="24" spans="1:10" x14ac:dyDescent="0.25">
      <c r="E24" s="80"/>
      <c r="F24" s="112" t="s">
        <v>198</v>
      </c>
      <c r="G24" s="190">
        <v>215275.19500000001</v>
      </c>
      <c r="H24" s="272">
        <v>242524.66</v>
      </c>
      <c r="I24" s="98">
        <f t="shared" si="2"/>
        <v>1.1265796786294864</v>
      </c>
      <c r="J24" s="108">
        <v>32010.999999999534</v>
      </c>
    </row>
    <row r="25" spans="1:10" x14ac:dyDescent="0.25">
      <c r="E25" s="80"/>
      <c r="F25" s="112" t="s">
        <v>199</v>
      </c>
      <c r="G25" s="190">
        <v>210045.58799999999</v>
      </c>
      <c r="H25" s="190">
        <v>246279.44400000005</v>
      </c>
      <c r="I25" s="98">
        <f t="shared" si="2"/>
        <v>1.1725047231175361</v>
      </c>
      <c r="J25" s="108">
        <f>+H25-G25</f>
        <v>36233.856000000058</v>
      </c>
    </row>
    <row r="26" spans="1:10" x14ac:dyDescent="0.25">
      <c r="E26" s="80"/>
      <c r="G26" s="68">
        <f>+SUM(G14:G25)</f>
        <v>2547596.0290000001</v>
      </c>
      <c r="H26" s="377">
        <f>+SUM(H14:H25)</f>
        <v>2615840.8849999998</v>
      </c>
      <c r="I26" s="378">
        <f>+H26/G26</f>
        <v>1.0267879425243049</v>
      </c>
      <c r="J26" s="320">
        <f>+H26-G26</f>
        <v>68244.85599999968</v>
      </c>
    </row>
    <row r="27" spans="1:10" ht="16.5" thickBot="1" x14ac:dyDescent="0.3">
      <c r="E27" s="80"/>
      <c r="G27" s="379" t="s">
        <v>229</v>
      </c>
      <c r="H27" s="380">
        <v>2726927.1277059279</v>
      </c>
      <c r="I27" s="381">
        <f>+H27/H26</f>
        <v>1.0424667430434815</v>
      </c>
      <c r="J27" s="179"/>
    </row>
    <row r="28" spans="1:10" ht="15" customHeight="1" thickBot="1" x14ac:dyDescent="0.3">
      <c r="E28" s="313">
        <f>+D23/H2</f>
        <v>0.17693450078021611</v>
      </c>
      <c r="F28" s="179"/>
      <c r="G28" s="179"/>
      <c r="J28" s="179"/>
    </row>
    <row r="29" spans="1:10" x14ac:dyDescent="0.25">
      <c r="D29" s="108">
        <f>+(H2/31)*6</f>
        <v>40031.400909662771</v>
      </c>
      <c r="E29" s="314">
        <f>+D29/H2</f>
        <v>0.19354838709677419</v>
      </c>
      <c r="F29" s="352"/>
    </row>
    <row r="30" spans="1:10" x14ac:dyDescent="0.25">
      <c r="D30" s="183">
        <f>+D23-D29</f>
        <v>-3436.2319096627689</v>
      </c>
      <c r="E30" s="99">
        <f>E28-E29</f>
        <v>-1.661388631655808E-2</v>
      </c>
    </row>
    <row r="32" spans="1:10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1102</v>
      </c>
      <c r="D33" s="108">
        <v>2142</v>
      </c>
      <c r="E33" s="57">
        <f>+C33/D33</f>
        <v>0.51447245564892619</v>
      </c>
      <c r="G33" s="86" t="s">
        <v>86</v>
      </c>
      <c r="H33" s="87">
        <v>16621</v>
      </c>
      <c r="I33" s="88">
        <f>+H33*0.025</f>
        <v>415.52500000000003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1214</v>
      </c>
      <c r="D34" s="108">
        <v>1890</v>
      </c>
      <c r="E34" s="57">
        <f>+C34/D34</f>
        <v>0.6423280423280423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1065</v>
      </c>
      <c r="D35" s="108">
        <v>3006</v>
      </c>
      <c r="E35" s="57">
        <f>+C35/D35</f>
        <v>0.35429141716566864</v>
      </c>
      <c r="G35" s="89" t="s">
        <v>169</v>
      </c>
      <c r="H35" s="87">
        <v>219</v>
      </c>
      <c r="I35" s="88">
        <f>+H35*1.5</f>
        <v>328.5</v>
      </c>
      <c r="J35" s="298">
        <f>+I35+I33</f>
        <v>744.02500000000009</v>
      </c>
    </row>
    <row r="36" spans="1:11" x14ac:dyDescent="0.25">
      <c r="C36" s="162">
        <f>+SUM(C33:C35)</f>
        <v>3381</v>
      </c>
      <c r="D36" s="110">
        <f>+SUM(D33:D35)</f>
        <v>7038</v>
      </c>
      <c r="E36" s="57">
        <f>+C36/D36</f>
        <v>0.48039215686274511</v>
      </c>
      <c r="G36" s="89" t="s">
        <v>168</v>
      </c>
      <c r="H36" s="87">
        <v>0</v>
      </c>
      <c r="I36" s="88">
        <f>+H36*1.5</f>
        <v>0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14</v>
      </c>
      <c r="C40" s="74">
        <v>2</v>
      </c>
      <c r="D40" s="74">
        <v>8</v>
      </c>
      <c r="E40" s="75">
        <f>+SUM(B40:D40)</f>
        <v>24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8.4499999999999993</v>
      </c>
      <c r="C44" s="199">
        <v>2061</v>
      </c>
      <c r="D44" s="200">
        <v>3600</v>
      </c>
      <c r="E44" s="201">
        <f t="shared" si="3"/>
        <v>0.57250000000000001</v>
      </c>
      <c r="F44" s="201">
        <f t="shared" si="4"/>
        <v>0.3520833333333333</v>
      </c>
      <c r="G44" s="202">
        <v>12</v>
      </c>
      <c r="H44" s="71"/>
    </row>
    <row r="45" spans="1:11" x14ac:dyDescent="0.25">
      <c r="A45" s="207" t="s">
        <v>72</v>
      </c>
      <c r="B45" s="199">
        <v>10.19</v>
      </c>
      <c r="C45" s="199">
        <v>1705</v>
      </c>
      <c r="D45" s="200">
        <v>3900</v>
      </c>
      <c r="E45" s="201">
        <f t="shared" si="3"/>
        <v>0.43717948717948718</v>
      </c>
      <c r="F45" s="201">
        <f t="shared" si="4"/>
        <v>0.42458333333333331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14.68</v>
      </c>
      <c r="C46" s="199">
        <v>3101</v>
      </c>
      <c r="D46" s="200">
        <v>3900</v>
      </c>
      <c r="E46" s="201">
        <f t="shared" si="3"/>
        <v>0.79512820512820515</v>
      </c>
      <c r="F46" s="201">
        <f t="shared" si="4"/>
        <v>0.61166666666666669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12.35</v>
      </c>
      <c r="C47" s="199">
        <v>2442</v>
      </c>
      <c r="D47" s="200">
        <v>3900</v>
      </c>
      <c r="E47" s="201">
        <f t="shared" si="3"/>
        <v>0.62615384615384617</v>
      </c>
      <c r="F47" s="201">
        <f t="shared" si="4"/>
        <v>0.51458333333333328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10.66</v>
      </c>
      <c r="C48" s="261">
        <v>2977</v>
      </c>
      <c r="D48" s="262">
        <v>4300</v>
      </c>
      <c r="E48" s="263">
        <f t="shared" si="3"/>
        <v>0.69232558139534883</v>
      </c>
      <c r="F48" s="201">
        <f t="shared" si="4"/>
        <v>0.44416666666666665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56.33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153</v>
      </c>
      <c r="H53" s="301"/>
      <c r="I53" s="129"/>
      <c r="J53"/>
      <c r="K53" s="318"/>
    </row>
    <row r="54" spans="2:11" x14ac:dyDescent="0.25">
      <c r="C54" s="71">
        <v>4</v>
      </c>
      <c r="D54" s="108">
        <v>0</v>
      </c>
      <c r="H54" s="301"/>
      <c r="I54" s="129"/>
      <c r="J54"/>
      <c r="K54" s="318"/>
    </row>
    <row r="55" spans="2:11" x14ac:dyDescent="0.25">
      <c r="C55" s="71">
        <v>5</v>
      </c>
      <c r="D55" s="108">
        <v>4</v>
      </c>
      <c r="H55" s="359" t="s">
        <v>233</v>
      </c>
      <c r="I55" s="345"/>
      <c r="J55" s="199">
        <f>+J52</f>
        <v>47</v>
      </c>
      <c r="K55" s="346">
        <f>+J55*1.5</f>
        <v>70.5</v>
      </c>
    </row>
    <row r="56" spans="2:11" x14ac:dyDescent="0.25">
      <c r="C56" s="71">
        <v>6</v>
      </c>
      <c r="D56" s="108">
        <v>0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108">
        <v>7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B60" s="364" t="s">
        <v>231</v>
      </c>
      <c r="C60" s="199">
        <v>2000</v>
      </c>
      <c r="D60" s="384" t="s">
        <v>92</v>
      </c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H63" s="359" t="s">
        <v>232</v>
      </c>
      <c r="I63" s="345"/>
      <c r="J63" s="200">
        <v>6042</v>
      </c>
      <c r="K63" s="346">
        <v>151.05000000000001</v>
      </c>
    </row>
    <row r="64" spans="2:11" x14ac:dyDescent="0.25">
      <c r="H64" s="237" t="s">
        <v>205</v>
      </c>
      <c r="I64"/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v>70.5</v>
      </c>
    </row>
    <row r="66" spans="8:11" x14ac:dyDescent="0.25">
      <c r="H66"/>
      <c r="I66" s="129"/>
      <c r="J66"/>
      <c r="K66" s="215"/>
    </row>
    <row r="67" spans="8:11" x14ac:dyDescent="0.25">
      <c r="H67" s="237" t="s">
        <v>167</v>
      </c>
      <c r="I67"/>
      <c r="J67" s="162" t="s">
        <v>157</v>
      </c>
      <c r="K67" s="215" t="s">
        <v>92</v>
      </c>
    </row>
    <row r="68" spans="8:11" x14ac:dyDescent="0.25">
      <c r="H68" s="301">
        <v>46005</v>
      </c>
      <c r="I68" s="129"/>
      <c r="J68" s="162">
        <v>519</v>
      </c>
      <c r="K68" s="318">
        <v>778.5</v>
      </c>
    </row>
    <row r="69" spans="8:11" x14ac:dyDescent="0.25">
      <c r="H69" s="301">
        <v>46018</v>
      </c>
      <c r="I69" s="129" t="s">
        <v>175</v>
      </c>
      <c r="J69" s="68">
        <v>46</v>
      </c>
      <c r="K69" s="318">
        <f>+J69*1.5</f>
        <v>69</v>
      </c>
    </row>
    <row r="70" spans="8:11" x14ac:dyDescent="0.25">
      <c r="H70" s="301">
        <v>46018</v>
      </c>
      <c r="I70" s="129" t="s">
        <v>176</v>
      </c>
      <c r="J70" s="68">
        <v>170</v>
      </c>
      <c r="K70" s="318">
        <f>+J70*1.5</f>
        <v>255</v>
      </c>
    </row>
    <row r="71" spans="8:11" x14ac:dyDescent="0.25">
      <c r="H71" s="301">
        <v>46019</v>
      </c>
      <c r="I71" s="129" t="s">
        <v>175</v>
      </c>
      <c r="J71" s="68">
        <v>182</v>
      </c>
      <c r="K71" s="318">
        <f>+J71*1.5</f>
        <v>273</v>
      </c>
    </row>
    <row r="72" spans="8:11" x14ac:dyDescent="0.25">
      <c r="H72" s="301">
        <v>46019</v>
      </c>
      <c r="I72" s="129" t="s">
        <v>176</v>
      </c>
      <c r="J72" s="162">
        <v>139</v>
      </c>
      <c r="K72" s="318">
        <f>+J72*1.5</f>
        <v>208.5</v>
      </c>
    </row>
    <row r="73" spans="8:11" x14ac:dyDescent="0.25">
      <c r="H73" s="344"/>
      <c r="I73" s="345"/>
      <c r="J73" s="200">
        <f>+J72+J71+J70+J69</f>
        <v>537</v>
      </c>
      <c r="K73" s="346">
        <f>+K72+K71+K70+K69</f>
        <v>805.5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52" workbookViewId="0">
      <selection activeCell="A29" sqref="A29:K73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9.85546875" style="162" customWidth="1"/>
    <col min="6" max="6" width="11.42578125" style="162"/>
    <col min="7" max="7" width="11.85546875" style="162" bestFit="1" customWidth="1"/>
    <col min="8" max="16384" width="11.42578125" style="162"/>
  </cols>
  <sheetData>
    <row r="1" spans="1:11" ht="15" customHeight="1" x14ac:dyDescent="0.25">
      <c r="A1" s="161"/>
      <c r="B1" s="518">
        <v>46029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1" ht="19.5" customHeight="1" thickBot="1" x14ac:dyDescent="0.4">
      <c r="A4" s="164"/>
      <c r="B4" s="385"/>
      <c r="C4" s="385"/>
      <c r="D4" s="165">
        <f>D23</f>
        <v>8743.7679999999982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6303</v>
      </c>
      <c r="D5" s="172">
        <v>268.65600000000001</v>
      </c>
      <c r="E5" s="80">
        <f>+D5/$D$4</f>
        <v>3.0725426383682648E-2</v>
      </c>
      <c r="F5" s="58" t="s">
        <v>51</v>
      </c>
      <c r="G5" s="59">
        <v>46020</v>
      </c>
      <c r="H5" s="190">
        <v>7262</v>
      </c>
      <c r="I5" s="141">
        <v>7379.0839999999989</v>
      </c>
      <c r="J5" s="60">
        <f t="shared" ref="J5:J12" si="0">+I5/H5</f>
        <v>1.0161228311759845</v>
      </c>
    </row>
    <row r="6" spans="1:11" ht="15" customHeight="1" x14ac:dyDescent="0.25">
      <c r="A6" s="164"/>
      <c r="B6" s="169" t="s">
        <v>10</v>
      </c>
      <c r="C6" s="177">
        <v>13680</v>
      </c>
      <c r="D6" s="173">
        <v>583.63400000000001</v>
      </c>
      <c r="E6" s="80">
        <f t="shared" ref="E6:E22" si="1">+D6/$D$4</f>
        <v>6.6748568809236491E-2</v>
      </c>
      <c r="F6" s="58" t="s">
        <v>52</v>
      </c>
      <c r="G6" s="59">
        <v>46021</v>
      </c>
      <c r="H6" s="190">
        <v>9505</v>
      </c>
      <c r="I6" s="141">
        <v>9377.2959999999985</v>
      </c>
      <c r="J6" s="60">
        <f t="shared" si="0"/>
        <v>0.98656454497632806</v>
      </c>
    </row>
    <row r="7" spans="1:11" ht="15" customHeight="1" x14ac:dyDescent="0.25">
      <c r="A7" s="164"/>
      <c r="B7" s="169" t="s">
        <v>35</v>
      </c>
      <c r="C7" s="177">
        <v>35755</v>
      </c>
      <c r="D7" s="173">
        <v>1523.692</v>
      </c>
      <c r="E7" s="245">
        <f t="shared" si="1"/>
        <v>0.17426034176570104</v>
      </c>
      <c r="F7" s="58" t="s">
        <v>53</v>
      </c>
      <c r="G7" s="59">
        <v>46022</v>
      </c>
      <c r="H7" s="190">
        <v>9232</v>
      </c>
      <c r="I7" s="141">
        <v>8743.7679999999982</v>
      </c>
      <c r="J7" s="60">
        <f t="shared" si="0"/>
        <v>0.94711525129982654</v>
      </c>
    </row>
    <row r="8" spans="1:11" ht="15" customHeight="1" x14ac:dyDescent="0.25">
      <c r="A8" s="164"/>
      <c r="B8" s="169" t="s">
        <v>37</v>
      </c>
      <c r="C8" s="177">
        <v>46473</v>
      </c>
      <c r="D8" s="173">
        <v>1982.49</v>
      </c>
      <c r="E8" s="245">
        <f t="shared" si="1"/>
        <v>0.22673177055932869</v>
      </c>
      <c r="F8" s="58" t="s">
        <v>54</v>
      </c>
      <c r="G8" s="59">
        <v>46023</v>
      </c>
      <c r="H8" s="190">
        <v>8885</v>
      </c>
      <c r="I8" s="141"/>
      <c r="J8" s="60">
        <f t="shared" si="0"/>
        <v>0</v>
      </c>
    </row>
    <row r="9" spans="1:11" ht="15" customHeight="1" x14ac:dyDescent="0.25">
      <c r="A9" s="164"/>
      <c r="B9" s="169" t="s">
        <v>38</v>
      </c>
      <c r="C9" s="177">
        <v>38370</v>
      </c>
      <c r="D9" s="173">
        <v>1637.664</v>
      </c>
      <c r="E9" s="245">
        <f t="shared" si="1"/>
        <v>0.18729499684804082</v>
      </c>
      <c r="F9" s="58" t="s">
        <v>55</v>
      </c>
      <c r="G9" s="59">
        <v>46024</v>
      </c>
      <c r="H9" s="190">
        <v>8923</v>
      </c>
      <c r="I9" s="141"/>
      <c r="J9" s="60">
        <f t="shared" si="0"/>
        <v>0</v>
      </c>
    </row>
    <row r="10" spans="1:11" ht="15" customHeight="1" x14ac:dyDescent="0.25">
      <c r="A10" s="164"/>
      <c r="B10" s="169" t="s">
        <v>42</v>
      </c>
      <c r="C10" s="177">
        <v>13095</v>
      </c>
      <c r="D10" s="173">
        <v>559.00199999999995</v>
      </c>
      <c r="E10" s="80">
        <f t="shared" si="1"/>
        <v>6.3931476681449009E-2</v>
      </c>
      <c r="F10" s="58" t="s">
        <v>56</v>
      </c>
      <c r="G10" s="59">
        <v>46025</v>
      </c>
      <c r="H10" s="190">
        <v>7391</v>
      </c>
      <c r="I10" s="141"/>
      <c r="J10" s="60">
        <f t="shared" si="0"/>
        <v>0</v>
      </c>
    </row>
    <row r="11" spans="1:11" ht="15" customHeight="1" x14ac:dyDescent="0.25">
      <c r="A11" s="164"/>
      <c r="B11" s="169" t="s">
        <v>4</v>
      </c>
      <c r="C11" s="177">
        <v>1639</v>
      </c>
      <c r="D11" s="173">
        <v>70.040000000000006</v>
      </c>
      <c r="E11" s="80">
        <f t="shared" si="1"/>
        <v>8.0102765764141978E-3</v>
      </c>
      <c r="F11" s="58" t="s">
        <v>57</v>
      </c>
      <c r="G11" s="59">
        <v>46026</v>
      </c>
      <c r="H11" s="190">
        <v>5060</v>
      </c>
      <c r="I11" s="141"/>
      <c r="J11" s="60">
        <f t="shared" si="0"/>
        <v>0</v>
      </c>
    </row>
    <row r="12" spans="1:11" ht="15" customHeight="1" x14ac:dyDescent="0.25">
      <c r="A12" s="164"/>
      <c r="B12" s="169" t="s">
        <v>39</v>
      </c>
      <c r="C12" s="177">
        <v>309</v>
      </c>
      <c r="D12" s="173">
        <v>467.44</v>
      </c>
      <c r="E12" s="80">
        <f t="shared" si="1"/>
        <v>5.3459789875486184E-2</v>
      </c>
      <c r="H12" s="139">
        <f>+SUM(H5:H11)</f>
        <v>56258</v>
      </c>
      <c r="I12" s="142">
        <f>+SUM(I5:I11)</f>
        <v>25500.147999999994</v>
      </c>
      <c r="J12" s="140">
        <f t="shared" si="0"/>
        <v>0.45327149916456316</v>
      </c>
    </row>
    <row r="13" spans="1:11" ht="15" customHeight="1" x14ac:dyDescent="0.25">
      <c r="A13" s="164"/>
      <c r="B13" s="169" t="s">
        <v>43</v>
      </c>
      <c r="C13" s="177">
        <v>340</v>
      </c>
      <c r="D13" s="173">
        <v>514.29</v>
      </c>
      <c r="E13" s="80">
        <f t="shared" si="1"/>
        <v>5.8817891783039082E-2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235</v>
      </c>
    </row>
    <row r="14" spans="1:11" ht="15" customHeight="1" x14ac:dyDescent="0.25">
      <c r="A14" s="164"/>
      <c r="B14" s="169" t="s">
        <v>44</v>
      </c>
      <c r="C14" s="177">
        <v>20</v>
      </c>
      <c r="D14" s="173">
        <v>30.24</v>
      </c>
      <c r="E14" s="80">
        <f t="shared" si="1"/>
        <v>3.4584632163158955E-3</v>
      </c>
      <c r="F14" s="112" t="s">
        <v>108</v>
      </c>
      <c r="G14" s="190">
        <v>204007.80300000001</v>
      </c>
      <c r="H14" s="190">
        <v>190629.128</v>
      </c>
      <c r="I14" s="190">
        <f>+D24</f>
        <v>45338.936999999998</v>
      </c>
      <c r="J14" s="98">
        <f t="shared" ref="J14:J19" si="2">+H14/G14</f>
        <v>0.93442076820953746</v>
      </c>
      <c r="K14" s="98">
        <f t="shared" ref="K14:K19" si="3">+I14/H14</f>
        <v>0.23783845352322022</v>
      </c>
    </row>
    <row r="15" spans="1:11" ht="15" customHeight="1" x14ac:dyDescent="0.25">
      <c r="A15" s="164"/>
      <c r="B15" s="169" t="s">
        <v>49</v>
      </c>
      <c r="C15" s="177">
        <v>43</v>
      </c>
      <c r="D15" s="173">
        <v>64.819999999999993</v>
      </c>
      <c r="E15" s="80">
        <f t="shared" si="1"/>
        <v>7.4132799497882386E-3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si="2"/>
        <v>0.9815805179033904</v>
      </c>
      <c r="K15" s="98">
        <f t="shared" si="3"/>
        <v>0</v>
      </c>
    </row>
    <row r="16" spans="1:11" ht="15" customHeight="1" x14ac:dyDescent="0.25">
      <c r="A16" s="164"/>
      <c r="B16" s="169" t="s">
        <v>41</v>
      </c>
      <c r="C16" s="177">
        <v>60</v>
      </c>
      <c r="D16" s="173">
        <v>90.22</v>
      </c>
      <c r="E16" s="80">
        <f t="shared" si="1"/>
        <v>1.0318206064021829E-2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3"/>
        <v>0</v>
      </c>
    </row>
    <row r="17" spans="1:11" ht="15" customHeight="1" x14ac:dyDescent="0.25">
      <c r="A17" s="164"/>
      <c r="B17" s="169" t="s">
        <v>234</v>
      </c>
      <c r="C17" s="177">
        <v>46</v>
      </c>
      <c r="D17" s="173">
        <v>69.2</v>
      </c>
      <c r="E17" s="80">
        <f t="shared" si="1"/>
        <v>7.9142081537387568E-3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3"/>
        <v>0</v>
      </c>
    </row>
    <row r="18" spans="1:11" ht="15" customHeight="1" x14ac:dyDescent="0.25">
      <c r="A18" s="164"/>
      <c r="B18" s="169" t="s">
        <v>88</v>
      </c>
      <c r="C18" s="177"/>
      <c r="D18" s="173">
        <v>61.36</v>
      </c>
      <c r="E18" s="80">
        <f t="shared" si="1"/>
        <v>7.0175695421013018E-3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3"/>
        <v>0</v>
      </c>
    </row>
    <row r="19" spans="1:11" ht="15" customHeight="1" x14ac:dyDescent="0.25">
      <c r="A19" s="164"/>
      <c r="B19" s="169" t="s">
        <v>184</v>
      </c>
      <c r="C19" s="177"/>
      <c r="D19" s="173">
        <v>32.08</v>
      </c>
      <c r="E19" s="80">
        <f t="shared" si="1"/>
        <v>3.6688988088430532E-3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3"/>
        <v>0</v>
      </c>
    </row>
    <row r="20" spans="1:11" ht="15" customHeight="1" x14ac:dyDescent="0.25">
      <c r="A20" s="164"/>
      <c r="B20" s="169" t="s">
        <v>40</v>
      </c>
      <c r="C20" s="177"/>
      <c r="D20" s="173">
        <v>760.66</v>
      </c>
      <c r="E20" s="80">
        <f t="shared" si="1"/>
        <v>8.6994531419406385E-2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ref="J20:K26" si="4">+H20/G20</f>
        <v>1.0133436050715139</v>
      </c>
      <c r="K20" s="98">
        <f t="shared" si="4"/>
        <v>0</v>
      </c>
    </row>
    <row r="21" spans="1:11" ht="15" customHeight="1" x14ac:dyDescent="0.25">
      <c r="A21" s="164"/>
      <c r="B21" s="169" t="s">
        <v>46</v>
      </c>
      <c r="C21" s="177"/>
      <c r="D21" s="173">
        <v>28.28</v>
      </c>
      <c r="E21" s="80"/>
      <c r="F21" s="112" t="s">
        <v>135</v>
      </c>
      <c r="G21" s="272">
        <v>232937.965</v>
      </c>
      <c r="H21" s="272">
        <v>233567.97099999999</v>
      </c>
      <c r="I21" s="272"/>
      <c r="J21" s="98">
        <f t="shared" si="4"/>
        <v>1.0027046084995204</v>
      </c>
      <c r="K21" s="98">
        <f t="shared" si="4"/>
        <v>0</v>
      </c>
    </row>
    <row r="22" spans="1:11" ht="15" customHeight="1" thickBot="1" x14ac:dyDescent="0.3">
      <c r="A22" s="164"/>
      <c r="B22" s="169" t="s">
        <v>9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4"/>
        <v>1.0160661727759943</v>
      </c>
      <c r="K22" s="98">
        <f t="shared" si="4"/>
        <v>0</v>
      </c>
    </row>
    <row r="23" spans="1:11" ht="15" customHeight="1" thickBot="1" x14ac:dyDescent="0.3">
      <c r="B23" s="178" t="s">
        <v>0</v>
      </c>
      <c r="C23" s="170"/>
      <c r="D23" s="171">
        <f>SUM(D5:D22)</f>
        <v>8743.7679999999982</v>
      </c>
      <c r="E23" s="80"/>
      <c r="F23" s="112" t="s">
        <v>161</v>
      </c>
      <c r="G23" s="190">
        <v>237591.573</v>
      </c>
      <c r="H23" s="272">
        <v>249609.07399999999</v>
      </c>
      <c r="I23" s="272"/>
      <c r="J23" s="98">
        <f t="shared" si="4"/>
        <v>1.0505805018598029</v>
      </c>
      <c r="K23" s="98">
        <f t="shared" si="4"/>
        <v>0</v>
      </c>
    </row>
    <row r="24" spans="1:11" ht="15" customHeight="1" x14ac:dyDescent="0.25">
      <c r="B24" s="166" t="s">
        <v>1</v>
      </c>
      <c r="C24" s="167"/>
      <c r="D24" s="233">
        <v>45338.936999999998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4"/>
        <v>1.1265796786294864</v>
      </c>
      <c r="K24" s="98">
        <f t="shared" si="4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4"/>
        <v>1.1725047231175361</v>
      </c>
      <c r="K25" s="98">
        <f t="shared" si="4"/>
        <v>0</v>
      </c>
    </row>
    <row r="26" spans="1:11" ht="15" customHeight="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45338.936999999998</v>
      </c>
      <c r="J26" s="378">
        <f t="shared" si="4"/>
        <v>1.0267879425243049</v>
      </c>
      <c r="K26" s="378">
        <f t="shared" si="4"/>
        <v>1.7332452160980734E-2</v>
      </c>
    </row>
    <row r="27" spans="1:11" ht="15" customHeight="1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5" customHeight="1" thickBot="1" x14ac:dyDescent="0.3">
      <c r="E28" s="313">
        <f>+D24/H2</f>
        <v>0.21920986849386234</v>
      </c>
      <c r="F28" s="179"/>
      <c r="G28" s="179"/>
      <c r="J28" s="179"/>
    </row>
    <row r="29" spans="1:11" x14ac:dyDescent="0.25">
      <c r="D29" s="108">
        <f>+(H2/31)*7</f>
        <v>46703.301061273232</v>
      </c>
      <c r="E29" s="314">
        <f>+D29/H2</f>
        <v>0.22580645161290322</v>
      </c>
      <c r="F29" s="352"/>
    </row>
    <row r="30" spans="1:11" x14ac:dyDescent="0.25">
      <c r="D30" s="183">
        <f>+D24-D29</f>
        <v>-1364.3640612732343</v>
      </c>
      <c r="E30" s="99">
        <f>E28-E29</f>
        <v>-6.5965831190408775E-3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1209</v>
      </c>
      <c r="D33" s="108">
        <v>2142</v>
      </c>
      <c r="E33" s="57">
        <f>+C33/D33</f>
        <v>0.56442577030812324</v>
      </c>
      <c r="G33" s="86" t="s">
        <v>86</v>
      </c>
      <c r="H33" s="87">
        <v>15421</v>
      </c>
      <c r="I33" s="88">
        <f>+H33*0.025</f>
        <v>385.52500000000003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1854</v>
      </c>
      <c r="D34" s="108">
        <v>1890</v>
      </c>
      <c r="E34" s="57">
        <f>+C34/D34</f>
        <v>0.98095238095238091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1900</v>
      </c>
      <c r="D35" s="108">
        <v>3006</v>
      </c>
      <c r="E35" s="57">
        <f>+C35/D35</f>
        <v>0.63206919494344649</v>
      </c>
      <c r="G35" s="89" t="s">
        <v>169</v>
      </c>
      <c r="H35" s="87">
        <v>371</v>
      </c>
      <c r="I35" s="88">
        <f>+H35*1.5</f>
        <v>556.5</v>
      </c>
      <c r="J35" s="298">
        <f>+I35+I33</f>
        <v>942.02500000000009</v>
      </c>
    </row>
    <row r="36" spans="1:11" x14ac:dyDescent="0.25">
      <c r="C36" s="162">
        <f>+SUM(C33:C35)</f>
        <v>4963</v>
      </c>
      <c r="D36" s="110">
        <f>+SUM(D33:D35)</f>
        <v>7038</v>
      </c>
      <c r="E36" s="57">
        <f>+C36/D36</f>
        <v>0.70517192384200056</v>
      </c>
      <c r="G36" s="89" t="s">
        <v>168</v>
      </c>
      <c r="H36" s="87">
        <v>0</v>
      </c>
      <c r="I36" s="88">
        <f>+H36*1.5</f>
        <v>0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12</v>
      </c>
      <c r="C40" s="74">
        <v>4</v>
      </c>
      <c r="D40" s="74">
        <v>8</v>
      </c>
      <c r="E40" s="75">
        <f>+SUM(B40:D40)</f>
        <v>24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5">+C43/D43</f>
        <v>0</v>
      </c>
      <c r="F43" s="201">
        <f t="shared" ref="F43:F48" si="6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8.15</v>
      </c>
      <c r="C44" s="199">
        <v>1394</v>
      </c>
      <c r="D44" s="200">
        <v>3600</v>
      </c>
      <c r="E44" s="201">
        <f t="shared" si="5"/>
        <v>0.38722222222222225</v>
      </c>
      <c r="F44" s="201">
        <f t="shared" si="6"/>
        <v>0.33958333333333335</v>
      </c>
      <c r="G44" s="202">
        <v>12</v>
      </c>
      <c r="H44" s="71"/>
    </row>
    <row r="45" spans="1:11" x14ac:dyDescent="0.25">
      <c r="A45" s="207" t="s">
        <v>72</v>
      </c>
      <c r="B45" s="199">
        <v>8.75</v>
      </c>
      <c r="C45" s="199">
        <v>1791</v>
      </c>
      <c r="D45" s="200">
        <v>3900</v>
      </c>
      <c r="E45" s="201">
        <f t="shared" si="5"/>
        <v>0.45923076923076922</v>
      </c>
      <c r="F45" s="201">
        <f t="shared" si="6"/>
        <v>0.36458333333333331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12.75</v>
      </c>
      <c r="C46" s="199">
        <v>2889</v>
      </c>
      <c r="D46" s="200">
        <v>3900</v>
      </c>
      <c r="E46" s="201">
        <f t="shared" si="5"/>
        <v>0.74076923076923074</v>
      </c>
      <c r="F46" s="201">
        <f t="shared" si="6"/>
        <v>0.53125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16.98</v>
      </c>
      <c r="C47" s="199">
        <v>2602</v>
      </c>
      <c r="D47" s="200">
        <v>3900</v>
      </c>
      <c r="E47" s="201">
        <f t="shared" si="5"/>
        <v>0.66717948717948716</v>
      </c>
      <c r="F47" s="201">
        <f t="shared" si="6"/>
        <v>0.70750000000000002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13.86</v>
      </c>
      <c r="C48" s="261">
        <v>3009</v>
      </c>
      <c r="D48" s="262">
        <v>4300</v>
      </c>
      <c r="E48" s="263">
        <f t="shared" si="5"/>
        <v>0.69976744186046513</v>
      </c>
      <c r="F48" s="201">
        <f t="shared" si="6"/>
        <v>0.57750000000000001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60.489999999999995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153</v>
      </c>
      <c r="H53" s="301">
        <v>46029</v>
      </c>
      <c r="I53" s="129" t="s">
        <v>175</v>
      </c>
      <c r="J53" s="162">
        <v>93</v>
      </c>
      <c r="K53" s="318">
        <f>+J53*1.5</f>
        <v>139.5</v>
      </c>
    </row>
    <row r="54" spans="2:11" x14ac:dyDescent="0.25">
      <c r="C54" s="71">
        <v>4</v>
      </c>
      <c r="D54" s="108">
        <v>1</v>
      </c>
      <c r="H54" s="301">
        <v>46029</v>
      </c>
      <c r="I54" s="129" t="s">
        <v>176</v>
      </c>
      <c r="J54" s="162">
        <v>99</v>
      </c>
      <c r="K54" s="318">
        <f>+J54*1.5</f>
        <v>148.5</v>
      </c>
    </row>
    <row r="55" spans="2:11" x14ac:dyDescent="0.25">
      <c r="C55" s="71">
        <v>5</v>
      </c>
      <c r="D55" s="108">
        <v>6</v>
      </c>
      <c r="H55" s="359" t="s">
        <v>233</v>
      </c>
      <c r="I55" s="345"/>
      <c r="J55" s="199">
        <f>+J54+J53</f>
        <v>192</v>
      </c>
      <c r="K55" s="346">
        <f>+J55*1.5</f>
        <v>288</v>
      </c>
    </row>
    <row r="56" spans="2:11" x14ac:dyDescent="0.25">
      <c r="C56" s="71">
        <v>6</v>
      </c>
      <c r="D56" s="108">
        <v>0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108">
        <v>13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B60" s="364" t="s">
        <v>231</v>
      </c>
      <c r="C60" s="199">
        <v>1900</v>
      </c>
      <c r="D60" s="384" t="s">
        <v>92</v>
      </c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B63" s="162">
        <v>5000.2</v>
      </c>
      <c r="C63" s="162" t="s">
        <v>237</v>
      </c>
      <c r="H63" s="359" t="s">
        <v>232</v>
      </c>
      <c r="I63" s="345"/>
      <c r="J63" s="200">
        <v>6042</v>
      </c>
      <c r="K63" s="346">
        <v>151.05000000000001</v>
      </c>
    </row>
    <row r="64" spans="2:11" x14ac:dyDescent="0.25">
      <c r="B64" s="162">
        <v>24700</v>
      </c>
      <c r="C64" s="162" t="s">
        <v>236</v>
      </c>
      <c r="H64" s="237" t="s">
        <v>205</v>
      </c>
      <c r="I64"/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v>70.5</v>
      </c>
    </row>
    <row r="66" spans="8:11" x14ac:dyDescent="0.25">
      <c r="H66"/>
      <c r="I66" s="129"/>
      <c r="J66"/>
      <c r="K66" s="215"/>
    </row>
    <row r="67" spans="8:11" x14ac:dyDescent="0.25">
      <c r="H67" s="237" t="s">
        <v>167</v>
      </c>
      <c r="I67"/>
      <c r="J67" s="162" t="s">
        <v>157</v>
      </c>
      <c r="K67" s="215" t="s">
        <v>92</v>
      </c>
    </row>
    <row r="68" spans="8:11" x14ac:dyDescent="0.25">
      <c r="H68" s="301">
        <v>46005</v>
      </c>
      <c r="I68" s="129"/>
      <c r="J68" s="162">
        <v>519</v>
      </c>
      <c r="K68" s="318">
        <v>778.5</v>
      </c>
    </row>
    <row r="69" spans="8:11" x14ac:dyDescent="0.25">
      <c r="H69" s="301">
        <v>46018</v>
      </c>
      <c r="I69" s="129" t="s">
        <v>175</v>
      </c>
      <c r="J69" s="68">
        <v>46</v>
      </c>
      <c r="K69" s="318">
        <f>+J69*1.5</f>
        <v>69</v>
      </c>
    </row>
    <row r="70" spans="8:11" x14ac:dyDescent="0.25">
      <c r="H70" s="301">
        <v>46018</v>
      </c>
      <c r="I70" s="129" t="s">
        <v>176</v>
      </c>
      <c r="J70" s="68">
        <v>170</v>
      </c>
      <c r="K70" s="318">
        <f>+J70*1.5</f>
        <v>255</v>
      </c>
    </row>
    <row r="71" spans="8:11" x14ac:dyDescent="0.25">
      <c r="H71" s="301">
        <v>46019</v>
      </c>
      <c r="I71" s="129" t="s">
        <v>175</v>
      </c>
      <c r="J71" s="68">
        <v>182</v>
      </c>
      <c r="K71" s="318">
        <f>+J71*1.5</f>
        <v>273</v>
      </c>
    </row>
    <row r="72" spans="8:11" x14ac:dyDescent="0.25">
      <c r="H72" s="301">
        <v>46019</v>
      </c>
      <c r="I72" s="129" t="s">
        <v>176</v>
      </c>
      <c r="J72" s="162">
        <v>139</v>
      </c>
      <c r="K72" s="318">
        <f>+J72*1.5</f>
        <v>208.5</v>
      </c>
    </row>
    <row r="73" spans="8:11" x14ac:dyDescent="0.25">
      <c r="H73" s="344"/>
      <c r="I73" s="345"/>
      <c r="J73" s="200">
        <f>+J72+J71+J70+J69</f>
        <v>537</v>
      </c>
      <c r="K73" s="346">
        <f>+K72+K71+K70+K69</f>
        <v>805.5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29" workbookViewId="0">
      <selection activeCell="I35" sqref="I35"/>
    </sheetView>
  </sheetViews>
  <sheetFormatPr baseColWidth="10" defaultColWidth="11.42578125" defaultRowHeight="15.75" x14ac:dyDescent="0.25"/>
  <cols>
    <col min="1" max="1" width="2.42578125" style="162" customWidth="1"/>
    <col min="2" max="2" width="39.5703125" style="162" customWidth="1"/>
    <col min="3" max="3" width="13.28515625" style="162" customWidth="1"/>
    <col min="4" max="4" width="14.5703125" style="163" customWidth="1"/>
    <col min="5" max="5" width="14.85546875" style="162" customWidth="1"/>
    <col min="6" max="6" width="17.140625" style="162" customWidth="1"/>
    <col min="7" max="7" width="15.5703125" style="162" bestFit="1" customWidth="1"/>
    <col min="8" max="10" width="11.42578125" style="162"/>
    <col min="11" max="11" width="10.5703125" style="162" bestFit="1" customWidth="1"/>
    <col min="12" max="16384" width="11.42578125" style="162"/>
  </cols>
  <sheetData>
    <row r="1" spans="1:11" ht="15" customHeight="1" x14ac:dyDescent="0.25">
      <c r="A1" s="161"/>
      <c r="B1" s="518">
        <v>46030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1" ht="19.5" customHeight="1" thickBot="1" x14ac:dyDescent="0.4">
      <c r="A4" s="164"/>
      <c r="B4" s="385"/>
      <c r="C4" s="385"/>
      <c r="D4" s="165">
        <f>D23</f>
        <v>8620.119999999999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3920</v>
      </c>
      <c r="D5" s="172">
        <v>167.19200000000001</v>
      </c>
      <c r="E5" s="80">
        <f>+D5/$D$4</f>
        <v>1.9395553658185734E-2</v>
      </c>
      <c r="F5" s="58" t="s">
        <v>51</v>
      </c>
      <c r="G5" s="59">
        <v>46020</v>
      </c>
      <c r="H5" s="190">
        <v>7262</v>
      </c>
      <c r="I5" s="141">
        <v>7379.0839999999989</v>
      </c>
      <c r="J5" s="60">
        <f t="shared" ref="J5:J12" si="0">+I5/H5</f>
        <v>1.0161228311759845</v>
      </c>
    </row>
    <row r="6" spans="1:11" ht="15" customHeight="1" x14ac:dyDescent="0.25">
      <c r="A6" s="164"/>
      <c r="B6" s="169" t="s">
        <v>10</v>
      </c>
      <c r="C6" s="177">
        <v>19180</v>
      </c>
      <c r="D6" s="173">
        <v>817.57600000000002</v>
      </c>
      <c r="E6" s="80">
        <f t="shared" ref="E6:E23" si="1">+D6/$D$4</f>
        <v>9.4845083363108651E-2</v>
      </c>
      <c r="F6" s="58" t="s">
        <v>52</v>
      </c>
      <c r="G6" s="59">
        <v>46021</v>
      </c>
      <c r="H6" s="190">
        <v>9505</v>
      </c>
      <c r="I6" s="141">
        <v>9377.2959999999985</v>
      </c>
      <c r="J6" s="60">
        <f t="shared" si="0"/>
        <v>0.98656454497632806</v>
      </c>
    </row>
    <row r="7" spans="1:11" ht="15" customHeight="1" x14ac:dyDescent="0.25">
      <c r="A7" s="164"/>
      <c r="B7" s="169" t="s">
        <v>35</v>
      </c>
      <c r="C7" s="177">
        <v>31645</v>
      </c>
      <c r="D7" s="173">
        <v>1347.5039999999999</v>
      </c>
      <c r="E7" s="245">
        <f t="shared" si="1"/>
        <v>0.15632079367804624</v>
      </c>
      <c r="F7" s="58" t="s">
        <v>53</v>
      </c>
      <c r="G7" s="59">
        <v>46022</v>
      </c>
      <c r="H7" s="190">
        <v>9232</v>
      </c>
      <c r="I7" s="141">
        <v>8743.7679999999982</v>
      </c>
      <c r="J7" s="60">
        <f t="shared" si="0"/>
        <v>0.94711525129982654</v>
      </c>
    </row>
    <row r="8" spans="1:11" ht="15" customHeight="1" x14ac:dyDescent="0.25">
      <c r="A8" s="164"/>
      <c r="B8" s="169" t="s">
        <v>37</v>
      </c>
      <c r="C8" s="177">
        <v>39364</v>
      </c>
      <c r="D8" s="173">
        <v>1680.002</v>
      </c>
      <c r="E8" s="245">
        <f t="shared" si="1"/>
        <v>0.1948931105367443</v>
      </c>
      <c r="F8" s="58" t="s">
        <v>54</v>
      </c>
      <c r="G8" s="59">
        <v>46023</v>
      </c>
      <c r="H8" s="190">
        <v>8885</v>
      </c>
      <c r="I8" s="141">
        <v>8620.119999999999</v>
      </c>
      <c r="J8" s="60">
        <f t="shared" si="0"/>
        <v>0.97018795723128859</v>
      </c>
    </row>
    <row r="9" spans="1:11" ht="15" customHeight="1" x14ac:dyDescent="0.25">
      <c r="A9" s="164"/>
      <c r="B9" s="169" t="s">
        <v>38</v>
      </c>
      <c r="C9" s="177">
        <v>45426</v>
      </c>
      <c r="D9" s="173">
        <v>1939.4659999999999</v>
      </c>
      <c r="E9" s="245">
        <f t="shared" si="1"/>
        <v>0.22499292353238703</v>
      </c>
      <c r="F9" s="58" t="s">
        <v>55</v>
      </c>
      <c r="G9" s="59">
        <v>46024</v>
      </c>
      <c r="H9" s="190">
        <v>8923</v>
      </c>
      <c r="I9" s="141"/>
      <c r="J9" s="60">
        <f t="shared" si="0"/>
        <v>0</v>
      </c>
    </row>
    <row r="10" spans="1:11" ht="15" customHeight="1" x14ac:dyDescent="0.25">
      <c r="A10" s="164"/>
      <c r="B10" s="169" t="s">
        <v>42</v>
      </c>
      <c r="C10" s="177">
        <v>11592</v>
      </c>
      <c r="D10" s="173">
        <v>494.68</v>
      </c>
      <c r="E10" s="80">
        <f t="shared" si="1"/>
        <v>5.738667211129312E-2</v>
      </c>
      <c r="F10" s="58" t="s">
        <v>56</v>
      </c>
      <c r="G10" s="59">
        <v>46025</v>
      </c>
      <c r="H10" s="190">
        <v>7391</v>
      </c>
      <c r="I10" s="141"/>
      <c r="J10" s="60">
        <f t="shared" si="0"/>
        <v>0</v>
      </c>
    </row>
    <row r="11" spans="1:11" ht="15" customHeight="1" x14ac:dyDescent="0.25">
      <c r="A11" s="164"/>
      <c r="B11" s="169" t="s">
        <v>95</v>
      </c>
      <c r="C11" s="177">
        <v>1200</v>
      </c>
      <c r="D11" s="173">
        <v>30.199000000000002</v>
      </c>
      <c r="E11" s="80">
        <f t="shared" si="1"/>
        <v>3.5033154990881804E-3</v>
      </c>
      <c r="F11" s="58" t="s">
        <v>57</v>
      </c>
      <c r="G11" s="59">
        <v>46026</v>
      </c>
      <c r="H11" s="190">
        <v>5060</v>
      </c>
      <c r="I11" s="141"/>
      <c r="J11" s="60">
        <f t="shared" si="0"/>
        <v>0</v>
      </c>
    </row>
    <row r="12" spans="1:11" ht="15" customHeight="1" x14ac:dyDescent="0.25">
      <c r="A12" s="164"/>
      <c r="B12" s="169" t="s">
        <v>39</v>
      </c>
      <c r="C12" s="177">
        <v>537</v>
      </c>
      <c r="D12" s="173">
        <v>811.7</v>
      </c>
      <c r="E12" s="80">
        <f t="shared" si="1"/>
        <v>9.4163422318946852E-2</v>
      </c>
      <c r="H12" s="139">
        <f>+SUM(H5:H11)</f>
        <v>56258</v>
      </c>
      <c r="I12" s="142">
        <f>+SUM(I5:I11)</f>
        <v>34120.267999999996</v>
      </c>
      <c r="J12" s="140">
        <f t="shared" si="0"/>
        <v>0.60649628497280383</v>
      </c>
    </row>
    <row r="13" spans="1:11" ht="15" customHeight="1" x14ac:dyDescent="0.25">
      <c r="A13" s="164"/>
      <c r="B13" s="169" t="s">
        <v>43</v>
      </c>
      <c r="C13" s="177">
        <v>220</v>
      </c>
      <c r="D13" s="173">
        <v>332.23</v>
      </c>
      <c r="E13" s="80">
        <f t="shared" si="1"/>
        <v>3.8541226804267234E-2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44</v>
      </c>
      <c r="C14" s="177">
        <v>22</v>
      </c>
      <c r="D14" s="173">
        <v>33.19</v>
      </c>
      <c r="E14" s="80">
        <f t="shared" si="1"/>
        <v>3.8502944274557663E-3</v>
      </c>
      <c r="F14" s="112" t="s">
        <v>108</v>
      </c>
      <c r="G14" s="190">
        <v>204007.80300000001</v>
      </c>
      <c r="H14" s="190">
        <v>190629.128</v>
      </c>
      <c r="I14" s="190">
        <f>+D24</f>
        <v>53959.057000000001</v>
      </c>
      <c r="J14" s="98">
        <f t="shared" ref="J14:K19" si="2">+H14/G14</f>
        <v>0.93442076820953746</v>
      </c>
      <c r="K14" s="98">
        <f>+I14/H14</f>
        <v>0.28305777593443121</v>
      </c>
    </row>
    <row r="15" spans="1:11" ht="15" customHeight="1" x14ac:dyDescent="0.25">
      <c r="A15" s="164"/>
      <c r="B15" s="169" t="s">
        <v>49</v>
      </c>
      <c r="C15" s="177">
        <v>108</v>
      </c>
      <c r="D15" s="173">
        <v>162.36000000000001</v>
      </c>
      <c r="E15" s="80">
        <f t="shared" si="1"/>
        <v>1.8835004617105102E-2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si="2"/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41</v>
      </c>
      <c r="C16" s="177">
        <v>214</v>
      </c>
      <c r="D16" s="173">
        <v>321.45999999999998</v>
      </c>
      <c r="E16" s="80">
        <f t="shared" si="1"/>
        <v>3.7291824243746031E-2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173</v>
      </c>
      <c r="C17" s="177">
        <v>1</v>
      </c>
      <c r="D17" s="173">
        <v>1.5109999999999999</v>
      </c>
      <c r="E17" s="80">
        <f t="shared" si="1"/>
        <v>1.7528758300348489E-4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194</v>
      </c>
      <c r="C18" s="177">
        <v>22</v>
      </c>
      <c r="D18" s="173">
        <v>33.24</v>
      </c>
      <c r="E18" s="80">
        <f t="shared" si="1"/>
        <v>3.8560948107450948E-3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184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359.68</v>
      </c>
      <c r="E20" s="80">
        <f t="shared" si="1"/>
        <v>4.1725637230108172E-2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ref="J20:K26" si="3">+H20/G20</f>
        <v>1.0133436050715139</v>
      </c>
      <c r="K20" s="98">
        <f t="shared" si="3"/>
        <v>0</v>
      </c>
    </row>
    <row r="21" spans="1:11" ht="15" customHeight="1" x14ac:dyDescent="0.25">
      <c r="A21" s="164"/>
      <c r="B21" s="169" t="s">
        <v>46</v>
      </c>
      <c r="C21" s="177"/>
      <c r="D21" s="173">
        <v>28.27</v>
      </c>
      <c r="E21" s="80">
        <f t="shared" si="1"/>
        <v>3.2795367117859154E-3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3"/>
        <v>1.0027046084995204</v>
      </c>
      <c r="K21" s="98">
        <f t="shared" si="3"/>
        <v>0</v>
      </c>
    </row>
    <row r="22" spans="1:11" ht="15" customHeight="1" thickBot="1" x14ac:dyDescent="0.3">
      <c r="A22" s="164"/>
      <c r="B22" s="169" t="s">
        <v>9</v>
      </c>
      <c r="C22" s="177"/>
      <c r="D22" s="173">
        <v>59.86</v>
      </c>
      <c r="E22" s="80">
        <f t="shared" si="1"/>
        <v>6.9442188739831934E-3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3"/>
        <v>1.0160661727759943</v>
      </c>
      <c r="K22" s="98">
        <f t="shared" si="3"/>
        <v>0</v>
      </c>
    </row>
    <row r="23" spans="1:11" ht="15" customHeight="1" thickBot="1" x14ac:dyDescent="0.3">
      <c r="B23" s="178" t="s">
        <v>0</v>
      </c>
      <c r="C23" s="170"/>
      <c r="D23" s="171">
        <f>SUM(D5:D22)</f>
        <v>8620.119999999999</v>
      </c>
      <c r="E23" s="80">
        <f t="shared" si="1"/>
        <v>1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3"/>
        <v>1.0505805018598029</v>
      </c>
      <c r="K23" s="98">
        <f t="shared" si="3"/>
        <v>0</v>
      </c>
    </row>
    <row r="24" spans="1:11" ht="15" customHeight="1" x14ac:dyDescent="0.25">
      <c r="B24" s="166" t="s">
        <v>1</v>
      </c>
      <c r="C24" s="167"/>
      <c r="D24" s="233">
        <v>53959.057000000001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3"/>
        <v>1.1265796786294864</v>
      </c>
      <c r="K24" s="98">
        <f t="shared" si="3"/>
        <v>0</v>
      </c>
    </row>
    <row r="25" spans="1:11" ht="15" customHeight="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3"/>
        <v>1.1725047231175361</v>
      </c>
      <c r="K25" s="98">
        <f t="shared" si="3"/>
        <v>0</v>
      </c>
    </row>
    <row r="26" spans="1:11" ht="15" customHeight="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53959.057000000001</v>
      </c>
      <c r="J26" s="378">
        <f t="shared" si="3"/>
        <v>1.0267879425243049</v>
      </c>
      <c r="K26" s="378">
        <f t="shared" si="3"/>
        <v>2.0627805502015466E-2</v>
      </c>
    </row>
    <row r="27" spans="1:11" ht="15" customHeight="1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5" customHeight="1" thickBot="1" x14ac:dyDescent="0.3">
      <c r="E28" s="313">
        <f>+D24/H2</f>
        <v>0.26088740874147143</v>
      </c>
      <c r="F28" s="179"/>
      <c r="G28" s="179"/>
      <c r="J28" s="179"/>
    </row>
    <row r="29" spans="1:11" ht="15" customHeight="1" x14ac:dyDescent="0.25">
      <c r="D29" s="108">
        <f>+(H2/31)*8</f>
        <v>53375.201212883694</v>
      </c>
      <c r="E29" s="314">
        <f>+D29/H2</f>
        <v>0.25806451612903225</v>
      </c>
      <c r="F29" s="352"/>
    </row>
    <row r="30" spans="1:11" ht="15" customHeight="1" x14ac:dyDescent="0.25">
      <c r="D30" s="183">
        <f>+D24-D29</f>
        <v>583.8557871163066</v>
      </c>
      <c r="E30" s="99">
        <f>E28-E29</f>
        <v>2.8228926124391762E-3</v>
      </c>
    </row>
    <row r="31" spans="1:11" ht="15" customHeight="1" x14ac:dyDescent="0.25"/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795</v>
      </c>
      <c r="D33" s="108">
        <v>2142</v>
      </c>
      <c r="E33" s="57">
        <f>+C33/D33</f>
        <v>0.37114845938375352</v>
      </c>
      <c r="G33" s="86" t="s">
        <v>86</v>
      </c>
      <c r="H33" s="87">
        <v>15421</v>
      </c>
      <c r="I33" s="88">
        <f>+H33*0.025</f>
        <v>385.52500000000003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1402</v>
      </c>
      <c r="D34" s="108">
        <v>1890</v>
      </c>
      <c r="E34" s="57">
        <f>+C34/D34</f>
        <v>0.74179894179894179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ht="15" customHeight="1" x14ac:dyDescent="0.25">
      <c r="B35" s="162" t="s">
        <v>63</v>
      </c>
      <c r="C35" s="67">
        <v>1424</v>
      </c>
      <c r="D35" s="108">
        <v>3006</v>
      </c>
      <c r="E35" s="57">
        <f>+C35/D35</f>
        <v>0.4737192282102462</v>
      </c>
      <c r="G35" s="89" t="s">
        <v>169</v>
      </c>
      <c r="H35" s="87">
        <v>371</v>
      </c>
      <c r="I35" s="88">
        <f>+H35*1.5</f>
        <v>556.5</v>
      </c>
      <c r="J35" s="298">
        <f>+I35+I33</f>
        <v>942.02500000000009</v>
      </c>
    </row>
    <row r="36" spans="1:11" ht="15" customHeight="1" x14ac:dyDescent="0.25">
      <c r="C36" s="162">
        <f>+SUM(C33:C35)</f>
        <v>3621</v>
      </c>
      <c r="D36" s="110">
        <f>+SUM(D33:D35)</f>
        <v>7038</v>
      </c>
      <c r="E36" s="57">
        <f>+C36/D36</f>
        <v>0.51449275362318836</v>
      </c>
      <c r="G36" s="89" t="s">
        <v>168</v>
      </c>
      <c r="H36" s="87">
        <v>0</v>
      </c>
      <c r="I36" s="88">
        <f>+H36*1.5</f>
        <v>0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6</v>
      </c>
      <c r="C40" s="74">
        <v>3</v>
      </c>
      <c r="D40" s="74">
        <v>9</v>
      </c>
      <c r="E40" s="75">
        <f>+SUM(B40:D40)</f>
        <v>18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4">+C43/D43</f>
        <v>0</v>
      </c>
      <c r="F43" s="201">
        <f t="shared" ref="F43:F48" si="5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5.08</v>
      </c>
      <c r="C44" s="199">
        <v>2041</v>
      </c>
      <c r="D44" s="200">
        <v>3600</v>
      </c>
      <c r="E44" s="201">
        <f t="shared" si="4"/>
        <v>0.56694444444444447</v>
      </c>
      <c r="F44" s="201">
        <f t="shared" si="5"/>
        <v>0.21166666666666667</v>
      </c>
      <c r="G44" s="202">
        <v>12</v>
      </c>
      <c r="H44" s="71"/>
    </row>
    <row r="45" spans="1:11" x14ac:dyDescent="0.25">
      <c r="A45" s="207" t="s">
        <v>72</v>
      </c>
      <c r="B45" s="199">
        <v>6.69</v>
      </c>
      <c r="C45" s="199">
        <v>1557</v>
      </c>
      <c r="D45" s="200">
        <v>3900</v>
      </c>
      <c r="E45" s="201">
        <f t="shared" si="4"/>
        <v>0.39923076923076922</v>
      </c>
      <c r="F45" s="201">
        <f t="shared" si="5"/>
        <v>0.27875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13.97</v>
      </c>
      <c r="C46" s="199">
        <v>3098</v>
      </c>
      <c r="D46" s="200">
        <v>3900</v>
      </c>
      <c r="E46" s="201">
        <f t="shared" si="4"/>
        <v>0.7943589743589744</v>
      </c>
      <c r="F46" s="201">
        <f t="shared" si="5"/>
        <v>0.5820833333333334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13.99</v>
      </c>
      <c r="C47" s="199">
        <v>2454</v>
      </c>
      <c r="D47" s="200">
        <v>3900</v>
      </c>
      <c r="E47" s="201">
        <f t="shared" si="4"/>
        <v>0.62923076923076926</v>
      </c>
      <c r="F47" s="201">
        <f t="shared" si="5"/>
        <v>0.58291666666666664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10.65</v>
      </c>
      <c r="C48" s="261">
        <v>3172</v>
      </c>
      <c r="D48" s="262">
        <v>4300</v>
      </c>
      <c r="E48" s="263">
        <f t="shared" si="4"/>
        <v>0.73767441860465122</v>
      </c>
      <c r="F48" s="201">
        <f t="shared" si="5"/>
        <v>0.44375000000000003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50.38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153</v>
      </c>
      <c r="H53" s="301">
        <v>46029</v>
      </c>
      <c r="I53" s="129" t="s">
        <v>175</v>
      </c>
      <c r="J53" s="162">
        <v>93</v>
      </c>
      <c r="K53" s="318">
        <f>+J53*1.5</f>
        <v>139.5</v>
      </c>
    </row>
    <row r="54" spans="2:11" x14ac:dyDescent="0.25">
      <c r="C54" s="71">
        <v>4</v>
      </c>
      <c r="D54" s="108">
        <v>2</v>
      </c>
      <c r="H54" s="301">
        <v>46029</v>
      </c>
      <c r="I54" s="129" t="s">
        <v>176</v>
      </c>
      <c r="J54" s="162">
        <v>99</v>
      </c>
      <c r="K54" s="318">
        <f>+J54*1.5</f>
        <v>148.5</v>
      </c>
    </row>
    <row r="55" spans="2:11" x14ac:dyDescent="0.25">
      <c r="C55" s="71">
        <v>5</v>
      </c>
      <c r="D55" s="108">
        <v>12</v>
      </c>
      <c r="H55" s="359" t="s">
        <v>233</v>
      </c>
      <c r="I55" s="345"/>
      <c r="J55" s="199">
        <f>+J54+J53</f>
        <v>192</v>
      </c>
      <c r="K55" s="346">
        <f>+J55*1.5</f>
        <v>288</v>
      </c>
    </row>
    <row r="56" spans="2:11" x14ac:dyDescent="0.25">
      <c r="C56" s="71">
        <v>6</v>
      </c>
      <c r="D56" s="108">
        <v>0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108">
        <v>3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B60" s="364" t="s">
        <v>231</v>
      </c>
      <c r="C60" s="199">
        <v>1184</v>
      </c>
      <c r="D60" s="384" t="s">
        <v>92</v>
      </c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B63" s="162">
        <v>5000.2</v>
      </c>
      <c r="C63" s="162" t="s">
        <v>237</v>
      </c>
      <c r="H63" s="359" t="s">
        <v>232</v>
      </c>
      <c r="I63" s="345"/>
      <c r="J63" s="200">
        <v>6042</v>
      </c>
      <c r="K63" s="346">
        <v>151.05000000000001</v>
      </c>
    </row>
    <row r="64" spans="2:11" x14ac:dyDescent="0.25">
      <c r="B64" s="162">
        <v>24700</v>
      </c>
      <c r="C64" s="162" t="s">
        <v>236</v>
      </c>
      <c r="H64" s="237" t="s">
        <v>205</v>
      </c>
      <c r="I64"/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v>70.5</v>
      </c>
    </row>
    <row r="66" spans="8:11" x14ac:dyDescent="0.25">
      <c r="H66"/>
      <c r="I66" s="129"/>
      <c r="J66"/>
      <c r="K66" s="215"/>
    </row>
    <row r="67" spans="8:11" x14ac:dyDescent="0.25">
      <c r="H67" s="237" t="s">
        <v>167</v>
      </c>
      <c r="I67"/>
      <c r="J67" s="162" t="s">
        <v>157</v>
      </c>
      <c r="K67" s="215" t="s">
        <v>92</v>
      </c>
    </row>
    <row r="68" spans="8:11" x14ac:dyDescent="0.25">
      <c r="H68" s="301">
        <v>46005</v>
      </c>
      <c r="I68" s="129"/>
      <c r="J68" s="162">
        <v>519</v>
      </c>
      <c r="K68" s="318">
        <v>778.5</v>
      </c>
    </row>
    <row r="69" spans="8:11" x14ac:dyDescent="0.25">
      <c r="H69" s="301">
        <v>46018</v>
      </c>
      <c r="I69" s="129" t="s">
        <v>175</v>
      </c>
      <c r="J69" s="68">
        <v>46</v>
      </c>
      <c r="K69" s="318">
        <f>+J69*1.5</f>
        <v>69</v>
      </c>
    </row>
    <row r="70" spans="8:11" x14ac:dyDescent="0.25">
      <c r="H70" s="301">
        <v>46018</v>
      </c>
      <c r="I70" s="129" t="s">
        <v>176</v>
      </c>
      <c r="J70" s="68">
        <v>170</v>
      </c>
      <c r="K70" s="318">
        <f>+J70*1.5</f>
        <v>255</v>
      </c>
    </row>
    <row r="71" spans="8:11" x14ac:dyDescent="0.25">
      <c r="H71" s="301">
        <v>46019</v>
      </c>
      <c r="I71" s="129" t="s">
        <v>175</v>
      </c>
      <c r="J71" s="68">
        <v>182</v>
      </c>
      <c r="K71" s="318">
        <f>+J71*1.5</f>
        <v>273</v>
      </c>
    </row>
    <row r="72" spans="8:11" x14ac:dyDescent="0.25">
      <c r="H72" s="301">
        <v>46019</v>
      </c>
      <c r="I72" s="129" t="s">
        <v>176</v>
      </c>
      <c r="J72" s="162">
        <v>139</v>
      </c>
      <c r="K72" s="318">
        <f>+J72*1.5</f>
        <v>208.5</v>
      </c>
    </row>
    <row r="73" spans="8:11" x14ac:dyDescent="0.25">
      <c r="H73" s="344"/>
      <c r="I73" s="345"/>
      <c r="J73" s="200">
        <f>+J72+J71+J70+J69</f>
        <v>537</v>
      </c>
      <c r="K73" s="346">
        <f>+K72+K71+K70+K69</f>
        <v>805.5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topLeftCell="A24" zoomScale="90" zoomScaleNormal="90" workbookViewId="0">
      <selection activeCell="J35" sqref="J35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1" ht="19.5" customHeight="1" thickBot="1" x14ac:dyDescent="0.4">
      <c r="A4" s="164"/>
      <c r="B4" s="386"/>
      <c r="C4" s="386"/>
      <c r="D4" s="165">
        <f>D24</f>
        <v>4157.3879999999999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10</v>
      </c>
      <c r="C5" s="176">
        <v>7275</v>
      </c>
      <c r="D5" s="172">
        <v>310.31999999999994</v>
      </c>
      <c r="E5" s="80">
        <f>+D5/$D$4</f>
        <v>7.4643021050717406E-2</v>
      </c>
      <c r="F5" s="58" t="s">
        <v>51</v>
      </c>
      <c r="G5" s="59">
        <v>46020</v>
      </c>
      <c r="H5" s="190">
        <v>7262</v>
      </c>
      <c r="I5" s="141">
        <v>7379.0839999999989</v>
      </c>
      <c r="J5" s="60">
        <f t="shared" ref="J5:J12" si="0">+I5/H5</f>
        <v>1.0161228311759845</v>
      </c>
    </row>
    <row r="6" spans="1:11" ht="15" customHeight="1" x14ac:dyDescent="0.25">
      <c r="A6" s="164"/>
      <c r="B6" s="169" t="s">
        <v>35</v>
      </c>
      <c r="C6" s="177">
        <v>18773</v>
      </c>
      <c r="D6" s="173">
        <v>800.22199999999987</v>
      </c>
      <c r="E6" s="245">
        <f t="shared" ref="E6:E23" si="1">+D6/$D$4</f>
        <v>0.19248191412492649</v>
      </c>
      <c r="F6" s="58" t="s">
        <v>52</v>
      </c>
      <c r="G6" s="59">
        <v>46021</v>
      </c>
      <c r="H6" s="190">
        <v>9505</v>
      </c>
      <c r="I6" s="141">
        <v>9377.2959999999985</v>
      </c>
      <c r="J6" s="60">
        <f t="shared" si="0"/>
        <v>0.98656454497632806</v>
      </c>
    </row>
    <row r="7" spans="1:11" ht="15" customHeight="1" x14ac:dyDescent="0.25">
      <c r="A7" s="164"/>
      <c r="B7" s="169" t="s">
        <v>4</v>
      </c>
      <c r="C7" s="177">
        <v>2325</v>
      </c>
      <c r="D7" s="173">
        <v>99.110000000000014</v>
      </c>
      <c r="E7" s="80">
        <f t="shared" si="1"/>
        <v>2.3839487678321104E-2</v>
      </c>
      <c r="F7" s="58" t="s">
        <v>53</v>
      </c>
      <c r="G7" s="59">
        <v>46022</v>
      </c>
      <c r="H7" s="190">
        <v>9232</v>
      </c>
      <c r="I7" s="141">
        <v>8743.7679999999982</v>
      </c>
      <c r="J7" s="60">
        <f t="shared" si="0"/>
        <v>0.94711525129982654</v>
      </c>
    </row>
    <row r="8" spans="1:11" ht="15" customHeight="1" x14ac:dyDescent="0.25">
      <c r="A8" s="164"/>
      <c r="B8" s="169" t="s">
        <v>37</v>
      </c>
      <c r="C8" s="177">
        <v>11660</v>
      </c>
      <c r="D8" s="173">
        <v>497.44800000000004</v>
      </c>
      <c r="E8" s="245">
        <f t="shared" si="1"/>
        <v>0.11965397504394587</v>
      </c>
      <c r="F8" s="58" t="s">
        <v>54</v>
      </c>
      <c r="G8" s="59">
        <v>46023</v>
      </c>
      <c r="H8" s="190">
        <v>8885</v>
      </c>
      <c r="I8" s="141">
        <v>8620.119999999999</v>
      </c>
      <c r="J8" s="60">
        <f t="shared" si="0"/>
        <v>0.97018795723128859</v>
      </c>
    </row>
    <row r="9" spans="1:11" ht="15" customHeight="1" x14ac:dyDescent="0.25">
      <c r="A9" s="164"/>
      <c r="B9" s="169" t="s">
        <v>38</v>
      </c>
      <c r="C9" s="177">
        <v>19750</v>
      </c>
      <c r="D9" s="173">
        <v>842.18100000000004</v>
      </c>
      <c r="E9" s="245">
        <f t="shared" si="1"/>
        <v>0.20257454921214957</v>
      </c>
      <c r="F9" s="58" t="s">
        <v>55</v>
      </c>
      <c r="G9" s="59">
        <v>46024</v>
      </c>
      <c r="H9" s="190">
        <v>8923</v>
      </c>
      <c r="I9" s="141">
        <v>7247.08</v>
      </c>
      <c r="J9" s="60">
        <f t="shared" si="0"/>
        <v>0.81217976017034632</v>
      </c>
    </row>
    <row r="10" spans="1:11" ht="15" customHeight="1" x14ac:dyDescent="0.25">
      <c r="A10" s="164"/>
      <c r="B10" s="169" t="s">
        <v>42</v>
      </c>
      <c r="C10" s="177"/>
      <c r="D10" s="173"/>
      <c r="E10" s="80">
        <f t="shared" si="1"/>
        <v>0</v>
      </c>
      <c r="F10" s="58" t="s">
        <v>56</v>
      </c>
      <c r="G10" s="59">
        <v>46025</v>
      </c>
      <c r="H10" s="190">
        <v>7391</v>
      </c>
      <c r="I10" s="141">
        <v>7073.63</v>
      </c>
      <c r="J10" s="60">
        <f t="shared" si="0"/>
        <v>0.95705993776214315</v>
      </c>
    </row>
    <row r="11" spans="1:11" ht="15" customHeight="1" x14ac:dyDescent="0.25">
      <c r="A11" s="164"/>
      <c r="B11" s="169" t="s">
        <v>196</v>
      </c>
      <c r="C11" s="177">
        <v>1440</v>
      </c>
      <c r="D11" s="173">
        <v>36.33</v>
      </c>
      <c r="E11" s="80">
        <f t="shared" si="1"/>
        <v>8.7386599470629153E-3</v>
      </c>
      <c r="F11" s="58" t="s">
        <v>57</v>
      </c>
      <c r="G11" s="59">
        <v>46026</v>
      </c>
      <c r="H11" s="190">
        <v>5060</v>
      </c>
      <c r="I11" s="141">
        <v>4157.3879999999999</v>
      </c>
      <c r="J11" s="60">
        <f t="shared" si="0"/>
        <v>0.8216181818181818</v>
      </c>
    </row>
    <row r="12" spans="1:11" ht="15" customHeight="1" x14ac:dyDescent="0.25">
      <c r="A12" s="164"/>
      <c r="B12" s="169" t="s">
        <v>95</v>
      </c>
      <c r="C12" s="177"/>
      <c r="D12" s="173"/>
      <c r="E12" s="80">
        <f t="shared" si="1"/>
        <v>0</v>
      </c>
      <c r="H12" s="139">
        <f>+SUM(H5:H11)</f>
        <v>56258</v>
      </c>
      <c r="I12" s="142">
        <f>+SUM(I5:I11)</f>
        <v>52598.365999999995</v>
      </c>
      <c r="J12" s="140">
        <f t="shared" si="0"/>
        <v>0.93494909168473805</v>
      </c>
    </row>
    <row r="13" spans="1:11" ht="15" customHeight="1" x14ac:dyDescent="0.25">
      <c r="A13" s="164"/>
      <c r="B13" s="169" t="s">
        <v>49</v>
      </c>
      <c r="C13" s="177">
        <v>42</v>
      </c>
      <c r="D13" s="173">
        <v>63.21</v>
      </c>
      <c r="E13" s="80">
        <f t="shared" si="1"/>
        <v>1.520425805818461E-2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41</v>
      </c>
      <c r="C14" s="177">
        <v>147</v>
      </c>
      <c r="D14" s="173">
        <v>220.96299999999997</v>
      </c>
      <c r="E14" s="80">
        <f t="shared" si="1"/>
        <v>5.3149477508474062E-2</v>
      </c>
      <c r="F14" s="112" t="s">
        <v>108</v>
      </c>
      <c r="G14" s="190">
        <v>204007.80300000001</v>
      </c>
      <c r="H14" s="190">
        <v>190629.128</v>
      </c>
      <c r="I14" s="190">
        <f>+D25</f>
        <v>72437.172000000006</v>
      </c>
      <c r="J14" s="98">
        <f t="shared" ref="J14:K26" si="2">+H14/G14</f>
        <v>0.93442076820953746</v>
      </c>
      <c r="K14" s="98">
        <f>+I14/H14</f>
        <v>0.37999005062856922</v>
      </c>
    </row>
    <row r="15" spans="1:11" ht="15" customHeight="1" x14ac:dyDescent="0.25">
      <c r="A15" s="164"/>
      <c r="B15" s="169" t="s">
        <v>39</v>
      </c>
      <c r="C15" s="177">
        <v>35</v>
      </c>
      <c r="D15" s="173">
        <v>52.804000000000002</v>
      </c>
      <c r="E15" s="80">
        <f t="shared" si="1"/>
        <v>1.2701244146565104E-2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si="2"/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85</v>
      </c>
      <c r="C16" s="177">
        <v>373</v>
      </c>
      <c r="D16" s="173">
        <v>561.76</v>
      </c>
      <c r="E16" s="245">
        <f t="shared" si="1"/>
        <v>0.13512330338183495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41</v>
      </c>
      <c r="C17" s="177"/>
      <c r="D17" s="173"/>
      <c r="E17" s="80">
        <f t="shared" si="1"/>
        <v>0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88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45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85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9</v>
      </c>
      <c r="C21" s="177"/>
      <c r="D21" s="173">
        <v>93.59</v>
      </c>
      <c r="E21" s="80">
        <f t="shared" si="1"/>
        <v>2.2511730923358609E-2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46</v>
      </c>
      <c r="C22" s="177"/>
      <c r="D22" s="173">
        <v>92.44</v>
      </c>
      <c r="E22" s="80">
        <f t="shared" si="1"/>
        <v>2.2235114932741423E-2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A23" s="164"/>
      <c r="B23" s="169" t="s">
        <v>40</v>
      </c>
      <c r="C23" s="177"/>
      <c r="D23" s="173">
        <v>487.01</v>
      </c>
      <c r="E23" s="245">
        <f t="shared" si="1"/>
        <v>0.11714326399171787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B24" s="178" t="s">
        <v>0</v>
      </c>
      <c r="C24" s="170"/>
      <c r="D24" s="171">
        <f>SUM(D5:D23)</f>
        <v>4157.3879999999999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B25" s="166" t="s">
        <v>1</v>
      </c>
      <c r="C25" s="167"/>
      <c r="D25" s="233">
        <v>72437.172000000006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72437.172000000006</v>
      </c>
      <c r="J26" s="378">
        <f t="shared" si="2"/>
        <v>1.0267879425243049</v>
      </c>
      <c r="K26" s="378">
        <f t="shared" si="2"/>
        <v>2.7691734774609584E-2</v>
      </c>
    </row>
    <row r="27" spans="1:11" ht="16.5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9.5" thickBot="1" x14ac:dyDescent="0.3">
      <c r="E28" s="313">
        <f>+D25/H2</f>
        <v>0.35022750860231439</v>
      </c>
      <c r="F28" s="179"/>
      <c r="G28" s="179"/>
      <c r="J28" s="179"/>
    </row>
    <row r="29" spans="1:11" x14ac:dyDescent="0.25">
      <c r="D29" s="108">
        <f>+(H2/31)*11</f>
        <v>73390.901667715079</v>
      </c>
      <c r="E29" s="314">
        <f>+D29/H2</f>
        <v>0.35483870967741937</v>
      </c>
      <c r="F29" s="352"/>
    </row>
    <row r="30" spans="1:11" x14ac:dyDescent="0.25">
      <c r="D30" s="183">
        <f>+D25-D29</f>
        <v>-953.72966771507345</v>
      </c>
      <c r="E30" s="99">
        <f>E28-E29</f>
        <v>-4.611201075104987E-3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574</v>
      </c>
      <c r="D33" s="108">
        <v>2142</v>
      </c>
      <c r="E33" s="57">
        <f>+C33/D33</f>
        <v>0.26797385620915032</v>
      </c>
      <c r="G33" s="86" t="s">
        <v>86</v>
      </c>
      <c r="H33" s="87">
        <v>12726</v>
      </c>
      <c r="I33" s="88">
        <f>+H33*0.025</f>
        <v>318.15000000000003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1487</v>
      </c>
      <c r="D34" s="108">
        <v>1890</v>
      </c>
      <c r="E34" s="57">
        <f>+C34/D34</f>
        <v>0.78677248677248679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1700</v>
      </c>
      <c r="D35" s="108">
        <v>3006</v>
      </c>
      <c r="E35" s="57">
        <f>+C35/D35</f>
        <v>0.56553559547571519</v>
      </c>
      <c r="G35" s="89" t="s">
        <v>169</v>
      </c>
      <c r="H35" s="87">
        <v>238</v>
      </c>
      <c r="I35" s="88">
        <f>+H35*1.5</f>
        <v>357</v>
      </c>
      <c r="J35" s="298">
        <f>+I35+I33</f>
        <v>675.15000000000009</v>
      </c>
    </row>
    <row r="36" spans="1:11" x14ac:dyDescent="0.25">
      <c r="C36" s="162">
        <f>+SUM(C33:C35)</f>
        <v>3761</v>
      </c>
      <c r="D36" s="110">
        <f>+SUM(D33:D35)</f>
        <v>7038</v>
      </c>
      <c r="E36" s="57">
        <f>+C36/D36</f>
        <v>0.53438476840011362</v>
      </c>
      <c r="G36" s="89" t="s">
        <v>168</v>
      </c>
      <c r="H36" s="87">
        <v>60</v>
      </c>
      <c r="I36" s="88">
        <f>+H36*1.5</f>
        <v>90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16</v>
      </c>
      <c r="C40" s="74">
        <v>4</v>
      </c>
      <c r="D40" s="74">
        <v>9</v>
      </c>
      <c r="E40" s="75">
        <f>+SUM(B40:D40)</f>
        <v>29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2.25</v>
      </c>
      <c r="C44" s="199">
        <v>1574</v>
      </c>
      <c r="D44" s="200">
        <v>3600</v>
      </c>
      <c r="E44" s="201">
        <f t="shared" si="3"/>
        <v>0.43722222222222223</v>
      </c>
      <c r="F44" s="201">
        <f t="shared" si="4"/>
        <v>9.375E-2</v>
      </c>
      <c r="G44" s="202">
        <v>12</v>
      </c>
      <c r="H44" s="71"/>
    </row>
    <row r="45" spans="1:11" x14ac:dyDescent="0.25">
      <c r="A45" s="207" t="s">
        <v>72</v>
      </c>
      <c r="B45" s="199">
        <v>7.06</v>
      </c>
      <c r="C45" s="199">
        <v>1276</v>
      </c>
      <c r="D45" s="200">
        <v>3900</v>
      </c>
      <c r="E45" s="201">
        <f t="shared" si="3"/>
        <v>0.32717948717948719</v>
      </c>
      <c r="F45" s="201">
        <f t="shared" si="4"/>
        <v>0.29416666666666663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5.47</v>
      </c>
      <c r="C46" s="199">
        <v>2572</v>
      </c>
      <c r="D46" s="200">
        <v>3900</v>
      </c>
      <c r="E46" s="201">
        <f t="shared" si="3"/>
        <v>0.6594871794871795</v>
      </c>
      <c r="F46" s="201">
        <f t="shared" si="4"/>
        <v>0.22791666666666666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3.79</v>
      </c>
      <c r="C47" s="199">
        <v>2614</v>
      </c>
      <c r="D47" s="200">
        <v>3900</v>
      </c>
      <c r="E47" s="201">
        <f t="shared" si="3"/>
        <v>0.67025641025641025</v>
      </c>
      <c r="F47" s="201">
        <f t="shared" si="4"/>
        <v>0.15791666666666668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8.41</v>
      </c>
      <c r="C48" s="261">
        <v>3317</v>
      </c>
      <c r="D48" s="262">
        <v>4300</v>
      </c>
      <c r="E48" s="263">
        <f t="shared" si="3"/>
        <v>0.77139534883720928</v>
      </c>
      <c r="F48" s="201">
        <f t="shared" si="4"/>
        <v>0.35041666666666665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26.979999999999997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153</v>
      </c>
      <c r="H53" s="301">
        <v>46029</v>
      </c>
      <c r="I53" s="129" t="s">
        <v>175</v>
      </c>
      <c r="J53" s="162">
        <v>93</v>
      </c>
      <c r="K53" s="318">
        <f>+J53*1.5</f>
        <v>139.5</v>
      </c>
    </row>
    <row r="54" spans="2:11" x14ac:dyDescent="0.25">
      <c r="C54" s="71">
        <v>4</v>
      </c>
      <c r="D54" s="108">
        <v>1</v>
      </c>
      <c r="H54" s="301">
        <v>46029</v>
      </c>
      <c r="I54" s="129" t="s">
        <v>176</v>
      </c>
      <c r="J54" s="162">
        <v>99</v>
      </c>
      <c r="K54" s="318">
        <f>+J54*1.5</f>
        <v>148.5</v>
      </c>
    </row>
    <row r="55" spans="2:11" x14ac:dyDescent="0.25">
      <c r="C55" s="71">
        <v>5</v>
      </c>
      <c r="D55" s="108">
        <v>3</v>
      </c>
      <c r="H55" s="359" t="s">
        <v>239</v>
      </c>
      <c r="I55" s="345"/>
      <c r="J55" s="199">
        <f>+J54+J53</f>
        <v>192</v>
      </c>
      <c r="K55" s="346">
        <f>+J55*1.5</f>
        <v>288</v>
      </c>
    </row>
    <row r="56" spans="2:11" x14ac:dyDescent="0.25">
      <c r="C56" s="71">
        <v>6</v>
      </c>
      <c r="D56" s="108">
        <v>0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108">
        <v>8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B60" s="364" t="s">
        <v>231</v>
      </c>
      <c r="C60" s="199">
        <v>1153</v>
      </c>
      <c r="D60" s="384" t="s">
        <v>92</v>
      </c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C63" s="162" t="s">
        <v>237</v>
      </c>
      <c r="H63" s="359" t="s">
        <v>232</v>
      </c>
      <c r="I63" s="345"/>
      <c r="J63" s="200">
        <v>6042</v>
      </c>
      <c r="K63" s="346">
        <v>151.05000000000001</v>
      </c>
    </row>
    <row r="64" spans="2:11" x14ac:dyDescent="0.25">
      <c r="C64" s="162" t="s">
        <v>236</v>
      </c>
      <c r="H64" s="237" t="s">
        <v>205</v>
      </c>
      <c r="I64"/>
      <c r="J64" s="162" t="s">
        <v>177</v>
      </c>
      <c r="K64" s="215" t="s">
        <v>92</v>
      </c>
    </row>
    <row r="65" spans="8:11" x14ac:dyDescent="0.25">
      <c r="H65" s="301">
        <v>45942</v>
      </c>
      <c r="I65" s="129" t="s">
        <v>176</v>
      </c>
      <c r="J65" s="162">
        <v>47</v>
      </c>
      <c r="K65" s="318">
        <v>70.5</v>
      </c>
    </row>
    <row r="66" spans="8:11" x14ac:dyDescent="0.25">
      <c r="H66"/>
      <c r="I66" s="129"/>
      <c r="J66"/>
      <c r="K66" s="215"/>
    </row>
    <row r="67" spans="8:11" x14ac:dyDescent="0.25">
      <c r="H67" s="237" t="s">
        <v>167</v>
      </c>
      <c r="I67"/>
      <c r="J67" s="162" t="s">
        <v>157</v>
      </c>
      <c r="K67" s="215" t="s">
        <v>92</v>
      </c>
    </row>
    <row r="68" spans="8:11" hidden="1" x14ac:dyDescent="0.25">
      <c r="H68" s="301">
        <v>46005</v>
      </c>
      <c r="I68" s="129"/>
      <c r="J68" s="162">
        <v>519</v>
      </c>
      <c r="K68" s="318">
        <v>778.5</v>
      </c>
    </row>
    <row r="69" spans="8:11" hidden="1" x14ac:dyDescent="0.25">
      <c r="H69" s="301">
        <v>46018</v>
      </c>
      <c r="I69" s="129" t="s">
        <v>175</v>
      </c>
      <c r="J69" s="68">
        <v>46</v>
      </c>
      <c r="K69" s="318">
        <f t="shared" ref="K69:K77" si="5">+J69*1.5</f>
        <v>69</v>
      </c>
    </row>
    <row r="70" spans="8:11" hidden="1" x14ac:dyDescent="0.25">
      <c r="H70" s="301">
        <v>46018</v>
      </c>
      <c r="I70" s="129" t="s">
        <v>176</v>
      </c>
      <c r="J70" s="68">
        <v>170</v>
      </c>
      <c r="K70" s="318">
        <f t="shared" si="5"/>
        <v>255</v>
      </c>
    </row>
    <row r="71" spans="8:11" hidden="1" x14ac:dyDescent="0.25">
      <c r="H71" s="301">
        <v>46019</v>
      </c>
      <c r="I71" s="129" t="s">
        <v>175</v>
      </c>
      <c r="J71" s="68">
        <v>182</v>
      </c>
      <c r="K71" s="318">
        <f t="shared" si="5"/>
        <v>273</v>
      </c>
    </row>
    <row r="72" spans="8:11" hidden="1" x14ac:dyDescent="0.25">
      <c r="H72" s="301">
        <v>46019</v>
      </c>
      <c r="I72" s="129" t="s">
        <v>176</v>
      </c>
      <c r="J72" s="162">
        <v>139</v>
      </c>
      <c r="K72" s="318">
        <f t="shared" si="5"/>
        <v>208.5</v>
      </c>
    </row>
    <row r="73" spans="8:11" x14ac:dyDescent="0.25">
      <c r="H73" s="301">
        <v>46032</v>
      </c>
      <c r="I73" s="129" t="s">
        <v>175</v>
      </c>
      <c r="J73" s="68">
        <v>22</v>
      </c>
      <c r="K73" s="318">
        <f t="shared" si="5"/>
        <v>33</v>
      </c>
    </row>
    <row r="74" spans="8:11" x14ac:dyDescent="0.25">
      <c r="H74" s="301">
        <v>46032</v>
      </c>
      <c r="I74" s="129" t="s">
        <v>176</v>
      </c>
      <c r="J74" s="68">
        <v>166</v>
      </c>
      <c r="K74" s="318">
        <f t="shared" si="5"/>
        <v>249</v>
      </c>
    </row>
    <row r="75" spans="8:11" x14ac:dyDescent="0.25">
      <c r="H75" s="301">
        <v>46033</v>
      </c>
      <c r="I75" s="129" t="s">
        <v>175</v>
      </c>
      <c r="J75" s="68">
        <v>210</v>
      </c>
      <c r="K75" s="318">
        <f t="shared" si="5"/>
        <v>315</v>
      </c>
    </row>
    <row r="76" spans="8:11" x14ac:dyDescent="0.25">
      <c r="H76" s="301">
        <v>46033</v>
      </c>
      <c r="I76" s="129" t="s">
        <v>176</v>
      </c>
      <c r="J76" s="162">
        <v>121</v>
      </c>
      <c r="K76" s="318">
        <f t="shared" si="5"/>
        <v>181.5</v>
      </c>
    </row>
    <row r="77" spans="8:11" x14ac:dyDescent="0.25">
      <c r="H77" s="344"/>
      <c r="I77" s="345"/>
      <c r="J77" s="200">
        <f>+J74+J73+J75+J76</f>
        <v>519</v>
      </c>
      <c r="K77" s="346">
        <f t="shared" si="5"/>
        <v>778.5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topLeftCell="A21" workbookViewId="0">
      <selection activeCell="A29" sqref="A29:K77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1" ht="19.5" customHeight="1" thickBot="1" x14ac:dyDescent="0.4">
      <c r="A4" s="164"/>
      <c r="B4" s="386"/>
      <c r="C4" s="386"/>
      <c r="D4" s="165">
        <f>D24</f>
        <v>6875.9620000000014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38</v>
      </c>
      <c r="C5" s="176">
        <v>47777</v>
      </c>
      <c r="D5" s="172">
        <v>2039.712</v>
      </c>
      <c r="E5" s="245">
        <f t="shared" ref="E5:E23" si="0">+D5/$D$4</f>
        <v>0.29664387325002661</v>
      </c>
      <c r="F5" s="58" t="s">
        <v>51</v>
      </c>
      <c r="G5" s="59">
        <v>46034</v>
      </c>
      <c r="H5" s="190">
        <v>7334</v>
      </c>
      <c r="I5" s="141">
        <v>6875.9620000000014</v>
      </c>
      <c r="J5" s="60">
        <f t="shared" ref="J5:J12" si="1">+I5/H5</f>
        <v>0.93754595036814858</v>
      </c>
    </row>
    <row r="6" spans="1:11" ht="15" customHeight="1" x14ac:dyDescent="0.25">
      <c r="A6" s="164"/>
      <c r="B6" s="169" t="s">
        <v>10</v>
      </c>
      <c r="C6" s="177">
        <v>15195</v>
      </c>
      <c r="D6" s="173">
        <v>648.35799999999995</v>
      </c>
      <c r="E6" s="80">
        <f t="shared" si="0"/>
        <v>9.4293423960167294E-2</v>
      </c>
      <c r="F6" s="58" t="s">
        <v>52</v>
      </c>
      <c r="G6" s="59">
        <v>46035</v>
      </c>
      <c r="H6" s="190">
        <v>9492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19502</v>
      </c>
      <c r="D7" s="173">
        <v>830.62000000000012</v>
      </c>
      <c r="E7" s="245">
        <f t="shared" si="0"/>
        <v>0.12080055125377365</v>
      </c>
      <c r="F7" s="58" t="s">
        <v>53</v>
      </c>
      <c r="G7" s="59">
        <v>46036</v>
      </c>
      <c r="H7" s="190">
        <v>9271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37</v>
      </c>
      <c r="C8" s="177">
        <v>19375</v>
      </c>
      <c r="D8" s="173">
        <v>826.96399999999983</v>
      </c>
      <c r="E8" s="245">
        <f t="shared" si="0"/>
        <v>0.12026884383596065</v>
      </c>
      <c r="F8" s="58" t="s">
        <v>54</v>
      </c>
      <c r="G8" s="59">
        <v>46037</v>
      </c>
      <c r="H8" s="190">
        <v>8951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42</v>
      </c>
      <c r="C9" s="177">
        <v>15424</v>
      </c>
      <c r="D9" s="173">
        <v>658.32199999999989</v>
      </c>
      <c r="E9" s="245">
        <f t="shared" si="0"/>
        <v>9.5742530281580931E-2</v>
      </c>
      <c r="F9" s="58" t="s">
        <v>55</v>
      </c>
      <c r="G9" s="59">
        <v>46038</v>
      </c>
      <c r="H9" s="190">
        <v>8967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6</v>
      </c>
      <c r="C10" s="177">
        <v>1575</v>
      </c>
      <c r="D10" s="173">
        <v>66.996000000000009</v>
      </c>
      <c r="E10" s="80">
        <f t="shared" si="0"/>
        <v>9.7435093445833471E-3</v>
      </c>
      <c r="F10" s="58" t="s">
        <v>56</v>
      </c>
      <c r="G10" s="59">
        <v>46039</v>
      </c>
      <c r="H10" s="190">
        <v>7423.0000000000009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196</v>
      </c>
      <c r="C11" s="177"/>
      <c r="D11" s="173"/>
      <c r="E11" s="80">
        <f t="shared" si="0"/>
        <v>0</v>
      </c>
      <c r="F11" s="58" t="s">
        <v>57</v>
      </c>
      <c r="G11" s="59">
        <v>46040</v>
      </c>
      <c r="H11" s="190">
        <v>5054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/>
      <c r="D12" s="173"/>
      <c r="E12" s="80">
        <f t="shared" si="0"/>
        <v>0</v>
      </c>
      <c r="H12" s="139">
        <f>+SUM(H5:H11)</f>
        <v>56492</v>
      </c>
      <c r="I12" s="142">
        <f>+SUM(I5:I11)</f>
        <v>6875.9620000000014</v>
      </c>
      <c r="J12" s="140">
        <f t="shared" si="1"/>
        <v>0.12171567655597255</v>
      </c>
    </row>
    <row r="13" spans="1:11" ht="15" customHeight="1" x14ac:dyDescent="0.25">
      <c r="A13" s="164"/>
      <c r="B13" s="169" t="s">
        <v>43</v>
      </c>
      <c r="C13" s="177">
        <v>342</v>
      </c>
      <c r="D13" s="173">
        <v>516.71</v>
      </c>
      <c r="E13" s="80">
        <f t="shared" si="0"/>
        <v>7.5147303024653125E-2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49</v>
      </c>
      <c r="C14" s="177">
        <v>21</v>
      </c>
      <c r="D14" s="173">
        <v>31.56</v>
      </c>
      <c r="E14" s="80">
        <f t="shared" si="0"/>
        <v>4.5899032019083279E-3</v>
      </c>
      <c r="F14" s="112" t="s">
        <v>108</v>
      </c>
      <c r="G14" s="190">
        <v>204007.80300000001</v>
      </c>
      <c r="H14" s="190">
        <v>190629.128</v>
      </c>
      <c r="I14" s="190">
        <f>+D25</f>
        <v>79313.134000000005</v>
      </c>
      <c r="J14" s="98">
        <f t="shared" ref="J14:K26" si="2">+H14/G14</f>
        <v>0.93442076820953746</v>
      </c>
      <c r="K14" s="98">
        <f>+I14/H14</f>
        <v>0.41605988986111297</v>
      </c>
    </row>
    <row r="15" spans="1:11" ht="15" customHeight="1" x14ac:dyDescent="0.25">
      <c r="A15" s="164"/>
      <c r="B15" s="169" t="s">
        <v>45</v>
      </c>
      <c r="C15" s="177">
        <v>40</v>
      </c>
      <c r="D15" s="173">
        <v>60.1</v>
      </c>
      <c r="E15" s="80">
        <f t="shared" si="0"/>
        <v>8.7405951341790415E-3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si="2"/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41</v>
      </c>
      <c r="C16" s="177">
        <v>40</v>
      </c>
      <c r="D16" s="173">
        <v>60.13</v>
      </c>
      <c r="E16" s="80">
        <f t="shared" si="0"/>
        <v>8.7449581600363684E-3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39</v>
      </c>
      <c r="C17" s="177">
        <v>323</v>
      </c>
      <c r="D17" s="173">
        <v>488.02000000000004</v>
      </c>
      <c r="E17" s="80">
        <f t="shared" si="0"/>
        <v>7.0974795963095777E-2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85</v>
      </c>
      <c r="C18" s="177">
        <v>44</v>
      </c>
      <c r="D18" s="173">
        <v>66.260000000000005</v>
      </c>
      <c r="E18" s="80">
        <f t="shared" si="0"/>
        <v>9.6364697768835817E-3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45</v>
      </c>
      <c r="C19" s="177"/>
      <c r="D19" s="173"/>
      <c r="E19" s="80">
        <f t="shared" si="0"/>
        <v>0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491.37999999999994</v>
      </c>
      <c r="E20" s="80">
        <f t="shared" si="0"/>
        <v>7.1463454859116413E-2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184</v>
      </c>
      <c r="C21" s="177"/>
      <c r="D21" s="173">
        <v>32.69</v>
      </c>
      <c r="E21" s="80">
        <f t="shared" si="0"/>
        <v>4.7542438425343236E-3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9</v>
      </c>
      <c r="C22" s="177"/>
      <c r="D22" s="173">
        <v>29.62</v>
      </c>
      <c r="E22" s="80">
        <f t="shared" si="0"/>
        <v>4.3077608631344961E-3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A23" s="164"/>
      <c r="B23" s="169" t="s">
        <v>46</v>
      </c>
      <c r="C23" s="177"/>
      <c r="D23" s="173">
        <v>28.52</v>
      </c>
      <c r="E23" s="80">
        <f t="shared" si="0"/>
        <v>4.1477832483658274E-3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B24" s="178" t="s">
        <v>0</v>
      </c>
      <c r="C24" s="170"/>
      <c r="D24" s="171">
        <f>SUM(D5:D23)</f>
        <v>6875.9620000000014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B25" s="166" t="s">
        <v>1</v>
      </c>
      <c r="C25" s="167"/>
      <c r="D25" s="233">
        <v>79313.134000000005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79313.134000000005</v>
      </c>
      <c r="J26" s="378">
        <f t="shared" si="2"/>
        <v>1.0267879425243049</v>
      </c>
      <c r="K26" s="378">
        <f t="shared" si="2"/>
        <v>3.0320320496099291E-2</v>
      </c>
    </row>
    <row r="27" spans="1:11" ht="16.5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9.5" thickBot="1" x14ac:dyDescent="0.3">
      <c r="E28" s="313">
        <f>+D25/H2</f>
        <v>0.38347219463870724</v>
      </c>
      <c r="F28" s="179"/>
      <c r="G28" s="179"/>
      <c r="J28" s="179"/>
    </row>
    <row r="29" spans="1:11" x14ac:dyDescent="0.25">
      <c r="D29" s="108">
        <f>+(H2/31)*12</f>
        <v>80062.801819325541</v>
      </c>
      <c r="E29" s="314">
        <f>+D29/H2</f>
        <v>0.38709677419354838</v>
      </c>
      <c r="F29" s="352"/>
    </row>
    <row r="30" spans="1:11" x14ac:dyDescent="0.25">
      <c r="D30" s="183">
        <f>+D25-D29</f>
        <v>-749.66781932553567</v>
      </c>
      <c r="E30" s="99">
        <f>E28-E29</f>
        <v>-3.6245795548411341E-3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787</v>
      </c>
      <c r="D33" s="108">
        <v>2142</v>
      </c>
      <c r="E33" s="57">
        <f>+C33/D33</f>
        <v>0.3674136321195145</v>
      </c>
      <c r="G33" s="86" t="s">
        <v>86</v>
      </c>
      <c r="H33" s="87">
        <v>12726</v>
      </c>
      <c r="I33" s="88">
        <f>+H33*0.025</f>
        <v>318.15000000000003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1483</v>
      </c>
      <c r="D34" s="108">
        <v>1890</v>
      </c>
      <c r="E34" s="57">
        <f>+C34/D34</f>
        <v>0.78465608465608461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1631</v>
      </c>
      <c r="D35" s="108">
        <v>3006</v>
      </c>
      <c r="E35" s="57">
        <f>+C35/D35</f>
        <v>0.54258150365934799</v>
      </c>
      <c r="G35" s="89" t="s">
        <v>169</v>
      </c>
      <c r="H35" s="87">
        <v>238</v>
      </c>
      <c r="I35" s="88">
        <f>+H35*1.5</f>
        <v>357</v>
      </c>
      <c r="J35" s="298">
        <f>+I35+I33</f>
        <v>675.15000000000009</v>
      </c>
    </row>
    <row r="36" spans="1:11" x14ac:dyDescent="0.25">
      <c r="C36" s="162">
        <f>+SUM(C33:C35)</f>
        <v>3901</v>
      </c>
      <c r="D36" s="110">
        <f>+SUM(D33:D35)</f>
        <v>7038</v>
      </c>
      <c r="E36" s="57">
        <f>+C36/D36</f>
        <v>0.55427678317703888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45</v>
      </c>
      <c r="C40" s="74">
        <v>4</v>
      </c>
      <c r="D40" s="74">
        <v>19</v>
      </c>
      <c r="E40" s="75">
        <f>+SUM(B40:D40)</f>
        <v>68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6.67</v>
      </c>
      <c r="C44" s="199">
        <v>1886</v>
      </c>
      <c r="D44" s="200">
        <v>3600</v>
      </c>
      <c r="E44" s="201">
        <f t="shared" si="3"/>
        <v>0.52388888888888885</v>
      </c>
      <c r="F44" s="201">
        <f t="shared" si="4"/>
        <v>0.27791666666666665</v>
      </c>
      <c r="G44" s="202">
        <v>12</v>
      </c>
      <c r="H44" s="71"/>
    </row>
    <row r="45" spans="1:11" x14ac:dyDescent="0.25">
      <c r="A45" s="207" t="s">
        <v>72</v>
      </c>
      <c r="B45" s="199">
        <v>9.7100000000000009</v>
      </c>
      <c r="C45" s="199">
        <v>1489</v>
      </c>
      <c r="D45" s="200">
        <v>3900</v>
      </c>
      <c r="E45" s="201">
        <f t="shared" si="3"/>
        <v>0.38179487179487182</v>
      </c>
      <c r="F45" s="201">
        <f t="shared" si="4"/>
        <v>0.40458333333333335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13.1</v>
      </c>
      <c r="C46" s="199">
        <v>2257</v>
      </c>
      <c r="D46" s="200">
        <v>3900</v>
      </c>
      <c r="E46" s="201">
        <f t="shared" si="3"/>
        <v>0.57871794871794868</v>
      </c>
      <c r="F46" s="201">
        <f t="shared" si="4"/>
        <v>0.54583333333333328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14.02</v>
      </c>
      <c r="C47" s="199">
        <v>2634</v>
      </c>
      <c r="D47" s="200">
        <v>3900</v>
      </c>
      <c r="E47" s="201">
        <f t="shared" si="3"/>
        <v>0.67538461538461536</v>
      </c>
      <c r="F47" s="201">
        <f t="shared" si="4"/>
        <v>0.58416666666666661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8.1199999999999992</v>
      </c>
      <c r="C48" s="261">
        <v>2229</v>
      </c>
      <c r="D48" s="262">
        <v>4300</v>
      </c>
      <c r="E48" s="263">
        <f t="shared" si="3"/>
        <v>0.51837209302325582</v>
      </c>
      <c r="F48" s="201">
        <f t="shared" si="4"/>
        <v>0.33833333333333332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51.62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153</v>
      </c>
      <c r="H53" s="301">
        <v>46029</v>
      </c>
      <c r="I53" s="129" t="s">
        <v>175</v>
      </c>
      <c r="J53" s="162">
        <v>93</v>
      </c>
      <c r="K53" s="318">
        <f>+J53*1.5</f>
        <v>139.5</v>
      </c>
    </row>
    <row r="54" spans="2:11" x14ac:dyDescent="0.25">
      <c r="C54" s="71">
        <v>4</v>
      </c>
      <c r="D54" s="108">
        <v>2</v>
      </c>
      <c r="H54" s="301">
        <v>46029</v>
      </c>
      <c r="I54" s="129" t="s">
        <v>176</v>
      </c>
      <c r="J54" s="162">
        <v>99</v>
      </c>
      <c r="K54" s="318">
        <f>+J54*1.5</f>
        <v>148.5</v>
      </c>
    </row>
    <row r="55" spans="2:11" x14ac:dyDescent="0.25">
      <c r="C55" s="71">
        <v>5</v>
      </c>
      <c r="D55" s="108">
        <v>3</v>
      </c>
      <c r="H55" s="359" t="s">
        <v>239</v>
      </c>
      <c r="I55" s="345"/>
      <c r="J55" s="199">
        <f>+J54+J53</f>
        <v>192</v>
      </c>
      <c r="K55" s="346">
        <f>+J55*1.5</f>
        <v>288</v>
      </c>
    </row>
    <row r="56" spans="2:11" x14ac:dyDescent="0.25">
      <c r="C56" s="71">
        <v>6</v>
      </c>
      <c r="D56" s="108">
        <v>0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108">
        <v>8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B60" s="364" t="s">
        <v>231</v>
      </c>
      <c r="C60" s="199">
        <v>2070</v>
      </c>
      <c r="D60" s="384" t="s">
        <v>92</v>
      </c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C63" s="162" t="s">
        <v>237</v>
      </c>
      <c r="H63" s="359" t="s">
        <v>232</v>
      </c>
      <c r="I63" s="345"/>
      <c r="J63" s="200">
        <v>6042</v>
      </c>
      <c r="K63" s="346">
        <v>151.05000000000001</v>
      </c>
    </row>
    <row r="64" spans="2:11" x14ac:dyDescent="0.25">
      <c r="C64" s="162" t="s">
        <v>236</v>
      </c>
      <c r="H64" s="237" t="s">
        <v>205</v>
      </c>
      <c r="I64"/>
      <c r="J64" s="162" t="s">
        <v>177</v>
      </c>
      <c r="K64" s="215" t="s">
        <v>92</v>
      </c>
    </row>
    <row r="65" spans="2:11" x14ac:dyDescent="0.25">
      <c r="B65" s="66" t="s">
        <v>241</v>
      </c>
      <c r="H65" s="301">
        <v>45942</v>
      </c>
      <c r="I65" s="129" t="s">
        <v>176</v>
      </c>
      <c r="J65" s="162">
        <v>47</v>
      </c>
      <c r="K65" s="318">
        <v>70.5</v>
      </c>
    </row>
    <row r="66" spans="2:11" x14ac:dyDescent="0.25">
      <c r="B66" s="162" t="s">
        <v>222</v>
      </c>
      <c r="C66" s="389">
        <v>0.33</v>
      </c>
      <c r="H66"/>
      <c r="I66" s="129"/>
      <c r="J66"/>
      <c r="K66" s="215"/>
    </row>
    <row r="67" spans="2:11" x14ac:dyDescent="0.25">
      <c r="B67" s="162" t="s">
        <v>240</v>
      </c>
      <c r="C67" s="389">
        <v>0.28999999999999998</v>
      </c>
      <c r="H67" s="237" t="s">
        <v>167</v>
      </c>
      <c r="I67"/>
      <c r="J67" s="162" t="s">
        <v>157</v>
      </c>
      <c r="K67" s="215" t="s">
        <v>92</v>
      </c>
    </row>
    <row r="68" spans="2:11" x14ac:dyDescent="0.25">
      <c r="H68" s="301">
        <v>46005</v>
      </c>
      <c r="I68" s="129"/>
      <c r="J68" s="162">
        <v>519</v>
      </c>
      <c r="K68" s="318">
        <v>778.5</v>
      </c>
    </row>
    <row r="69" spans="2:11" x14ac:dyDescent="0.25">
      <c r="H69" s="301">
        <v>46018</v>
      </c>
      <c r="I69" s="129" t="s">
        <v>175</v>
      </c>
      <c r="J69" s="68">
        <v>46</v>
      </c>
      <c r="K69" s="318">
        <f t="shared" ref="K69:K77" si="5">+J69*1.5</f>
        <v>69</v>
      </c>
    </row>
    <row r="70" spans="2:11" x14ac:dyDescent="0.25">
      <c r="H70" s="301">
        <v>46018</v>
      </c>
      <c r="I70" s="129" t="s">
        <v>176</v>
      </c>
      <c r="J70" s="68">
        <v>170</v>
      </c>
      <c r="K70" s="318">
        <f t="shared" si="5"/>
        <v>255</v>
      </c>
    </row>
    <row r="71" spans="2:11" x14ac:dyDescent="0.25">
      <c r="H71" s="301">
        <v>46019</v>
      </c>
      <c r="I71" s="129" t="s">
        <v>175</v>
      </c>
      <c r="J71" s="68">
        <v>182</v>
      </c>
      <c r="K71" s="318">
        <f t="shared" si="5"/>
        <v>273</v>
      </c>
    </row>
    <row r="72" spans="2:11" x14ac:dyDescent="0.25">
      <c r="H72" s="301">
        <v>46019</v>
      </c>
      <c r="I72" s="129" t="s">
        <v>176</v>
      </c>
      <c r="J72" s="162">
        <v>139</v>
      </c>
      <c r="K72" s="318">
        <f t="shared" si="5"/>
        <v>208.5</v>
      </c>
    </row>
    <row r="73" spans="2:11" x14ac:dyDescent="0.25">
      <c r="H73" s="301">
        <v>46032</v>
      </c>
      <c r="I73" s="129" t="s">
        <v>175</v>
      </c>
      <c r="J73" s="68">
        <v>22</v>
      </c>
      <c r="K73" s="318">
        <f t="shared" si="5"/>
        <v>33</v>
      </c>
    </row>
    <row r="74" spans="2:11" x14ac:dyDescent="0.25">
      <c r="H74" s="301">
        <v>46032</v>
      </c>
      <c r="I74" s="129" t="s">
        <v>176</v>
      </c>
      <c r="J74" s="68">
        <v>166</v>
      </c>
      <c r="K74" s="318">
        <f t="shared" si="5"/>
        <v>249</v>
      </c>
    </row>
    <row r="75" spans="2:11" x14ac:dyDescent="0.25">
      <c r="H75" s="301">
        <v>46033</v>
      </c>
      <c r="I75" s="129" t="s">
        <v>175</v>
      </c>
      <c r="J75" s="68">
        <v>210</v>
      </c>
      <c r="K75" s="318">
        <f t="shared" si="5"/>
        <v>315</v>
      </c>
    </row>
    <row r="76" spans="2:11" x14ac:dyDescent="0.25">
      <c r="H76" s="301">
        <v>46033</v>
      </c>
      <c r="I76" s="129" t="s">
        <v>176</v>
      </c>
      <c r="J76" s="162">
        <v>121</v>
      </c>
      <c r="K76" s="318">
        <f t="shared" si="5"/>
        <v>181.5</v>
      </c>
    </row>
    <row r="77" spans="2:11" x14ac:dyDescent="0.25">
      <c r="H77" s="344"/>
      <c r="I77" s="345"/>
      <c r="J77" s="200">
        <f>+J74+J73+J75+J76</f>
        <v>519</v>
      </c>
      <c r="K77" s="346">
        <f t="shared" si="5"/>
        <v>778.5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topLeftCell="A26" workbookViewId="0">
      <selection activeCell="J35" sqref="J35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v>46035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1" ht="19.5" customHeight="1" thickBot="1" x14ac:dyDescent="0.4">
      <c r="A4" s="164"/>
      <c r="B4" s="388"/>
      <c r="C4" s="388"/>
      <c r="D4" s="165">
        <f>D24</f>
        <v>8800.8780000000006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38</v>
      </c>
      <c r="C5" s="176">
        <v>45698</v>
      </c>
      <c r="D5" s="172">
        <v>1950.778</v>
      </c>
      <c r="E5" s="245">
        <f t="shared" ref="E5:E23" si="0">+D5/$D$4</f>
        <v>0.22165720283817136</v>
      </c>
      <c r="F5" s="58" t="s">
        <v>51</v>
      </c>
      <c r="G5" s="59">
        <v>46034</v>
      </c>
      <c r="H5" s="190">
        <v>7334</v>
      </c>
      <c r="I5" s="141">
        <v>6875.9620000000014</v>
      </c>
      <c r="J5" s="60">
        <f t="shared" ref="J5:J12" si="1">+I5/H5</f>
        <v>0.93754595036814858</v>
      </c>
    </row>
    <row r="6" spans="1:11" ht="15" customHeight="1" x14ac:dyDescent="0.25">
      <c r="A6" s="164"/>
      <c r="B6" s="169" t="s">
        <v>37</v>
      </c>
      <c r="C6" s="177">
        <v>43727</v>
      </c>
      <c r="D6" s="173">
        <v>1867.0640000000003</v>
      </c>
      <c r="E6" s="245">
        <f t="shared" si="0"/>
        <v>0.2121451973314481</v>
      </c>
      <c r="F6" s="58" t="s">
        <v>52</v>
      </c>
      <c r="G6" s="59">
        <v>46035</v>
      </c>
      <c r="H6" s="190">
        <v>9492</v>
      </c>
      <c r="I6" s="141">
        <v>8800.8780000000006</v>
      </c>
      <c r="J6" s="60">
        <f t="shared" si="1"/>
        <v>0.92718900126422255</v>
      </c>
    </row>
    <row r="7" spans="1:11" ht="15" customHeight="1" x14ac:dyDescent="0.25">
      <c r="A7" s="164"/>
      <c r="B7" s="169" t="s">
        <v>35</v>
      </c>
      <c r="C7" s="177">
        <v>36786</v>
      </c>
      <c r="D7" s="173">
        <v>1566.9960000000001</v>
      </c>
      <c r="E7" s="245">
        <f t="shared" si="0"/>
        <v>0.17804996274235366</v>
      </c>
      <c r="F7" s="58" t="s">
        <v>53</v>
      </c>
      <c r="G7" s="59">
        <v>46036</v>
      </c>
      <c r="H7" s="190">
        <v>9271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42</v>
      </c>
      <c r="C8" s="177">
        <v>17072</v>
      </c>
      <c r="D8" s="173">
        <v>728.13800000000015</v>
      </c>
      <c r="E8" s="80">
        <f t="shared" si="0"/>
        <v>8.2734699878807563E-2</v>
      </c>
      <c r="F8" s="58" t="s">
        <v>54</v>
      </c>
      <c r="G8" s="59">
        <v>46037</v>
      </c>
      <c r="H8" s="190">
        <v>8951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10</v>
      </c>
      <c r="C9" s="177">
        <v>13465</v>
      </c>
      <c r="D9" s="173">
        <v>575.00800000000004</v>
      </c>
      <c r="E9" s="80">
        <f t="shared" si="0"/>
        <v>6.5335299500799804E-2</v>
      </c>
      <c r="F9" s="58" t="s">
        <v>55</v>
      </c>
      <c r="G9" s="59">
        <v>46038</v>
      </c>
      <c r="H9" s="190">
        <v>8967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6</v>
      </c>
      <c r="C10" s="177">
        <v>3583</v>
      </c>
      <c r="D10" s="173">
        <v>152.744</v>
      </c>
      <c r="E10" s="80">
        <f t="shared" si="0"/>
        <v>1.7355541117602128E-2</v>
      </c>
      <c r="F10" s="58" t="s">
        <v>56</v>
      </c>
      <c r="G10" s="59">
        <v>46039</v>
      </c>
      <c r="H10" s="190">
        <v>7423.0000000000009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</v>
      </c>
      <c r="C11" s="177">
        <v>740</v>
      </c>
      <c r="D11" s="173">
        <v>31.61</v>
      </c>
      <c r="E11" s="80">
        <f t="shared" si="0"/>
        <v>3.5916871021277647E-3</v>
      </c>
      <c r="F11" s="58" t="s">
        <v>57</v>
      </c>
      <c r="G11" s="59">
        <v>46040</v>
      </c>
      <c r="H11" s="190">
        <v>5054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/>
      <c r="D12" s="173"/>
      <c r="E12" s="80">
        <f t="shared" si="0"/>
        <v>0</v>
      </c>
      <c r="H12" s="139">
        <f>+SUM(H5:H11)</f>
        <v>56492</v>
      </c>
      <c r="I12" s="142">
        <f>+SUM(I5:I11)</f>
        <v>15676.840000000002</v>
      </c>
      <c r="J12" s="140">
        <f t="shared" si="1"/>
        <v>0.2775054875026553</v>
      </c>
    </row>
    <row r="13" spans="1:11" ht="15" customHeight="1" x14ac:dyDescent="0.25">
      <c r="A13" s="164"/>
      <c r="B13" s="169" t="s">
        <v>39</v>
      </c>
      <c r="C13" s="177">
        <v>409</v>
      </c>
      <c r="D13" s="173">
        <v>617.29999999999995</v>
      </c>
      <c r="E13" s="80">
        <f t="shared" si="0"/>
        <v>7.0140729140887981E-2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43</v>
      </c>
      <c r="C14" s="177">
        <v>272</v>
      </c>
      <c r="D14" s="173">
        <v>409.96999999999997</v>
      </c>
      <c r="E14" s="80">
        <f t="shared" si="0"/>
        <v>4.6582852301781705E-2</v>
      </c>
      <c r="F14" s="112" t="s">
        <v>108</v>
      </c>
      <c r="G14" s="190">
        <v>204007.80300000001</v>
      </c>
      <c r="H14" s="190">
        <v>190629.128</v>
      </c>
      <c r="I14" s="190">
        <f>+D25</f>
        <v>88114.012000000002</v>
      </c>
      <c r="J14" s="98">
        <f t="shared" ref="J14:K26" si="2">+H14/G14</f>
        <v>0.93442076820953746</v>
      </c>
      <c r="K14" s="98">
        <f>+I14/H14</f>
        <v>0.46222743042710662</v>
      </c>
    </row>
    <row r="15" spans="1:11" ht="15" customHeight="1" x14ac:dyDescent="0.25">
      <c r="A15" s="164"/>
      <c r="B15" s="169" t="s">
        <v>41</v>
      </c>
      <c r="C15" s="177">
        <v>172</v>
      </c>
      <c r="D15" s="173">
        <v>258.43</v>
      </c>
      <c r="E15" s="80">
        <f t="shared" si="0"/>
        <v>2.9364115716636451E-2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si="2"/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45</v>
      </c>
      <c r="C16" s="177">
        <v>40</v>
      </c>
      <c r="D16" s="173">
        <v>60.129999999999995</v>
      </c>
      <c r="E16" s="80">
        <f t="shared" si="0"/>
        <v>6.8322728709567376E-3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49</v>
      </c>
      <c r="C17" s="177">
        <v>22</v>
      </c>
      <c r="D17" s="173">
        <v>33.06</v>
      </c>
      <c r="E17" s="80">
        <f t="shared" si="0"/>
        <v>3.7564433912161944E-3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88</v>
      </c>
      <c r="C18" s="177">
        <v>20</v>
      </c>
      <c r="D18" s="173">
        <v>30.36</v>
      </c>
      <c r="E18" s="80">
        <f t="shared" si="0"/>
        <v>3.4496558184308425E-3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45</v>
      </c>
      <c r="C19" s="177"/>
      <c r="D19" s="173"/>
      <c r="E19" s="80">
        <f t="shared" si="0"/>
        <v>0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/>
      <c r="E20" s="80">
        <f t="shared" si="0"/>
        <v>0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429.37</v>
      </c>
      <c r="E21" s="80">
        <f t="shared" si="0"/>
        <v>4.8787177824757937E-2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9</v>
      </c>
      <c r="C22" s="177"/>
      <c r="D22" s="173">
        <v>60.34</v>
      </c>
      <c r="E22" s="80">
        <f t="shared" si="0"/>
        <v>6.8561341266178211E-3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A23" s="164"/>
      <c r="B23" s="169" t="s">
        <v>46</v>
      </c>
      <c r="C23" s="177"/>
      <c r="D23" s="173">
        <v>29.58</v>
      </c>
      <c r="E23" s="80">
        <f t="shared" si="0"/>
        <v>3.3610282974039633E-3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B24" s="178" t="s">
        <v>0</v>
      </c>
      <c r="C24" s="170"/>
      <c r="D24" s="171">
        <f>SUM(D5:D23)</f>
        <v>8800.8780000000006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B25" s="166" t="s">
        <v>1</v>
      </c>
      <c r="C25" s="167"/>
      <c r="D25" s="233">
        <v>88114.012000000002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88114.012000000002</v>
      </c>
      <c r="J26" s="378">
        <f t="shared" si="2"/>
        <v>1.0267879425243049</v>
      </c>
      <c r="K26" s="378">
        <f t="shared" si="2"/>
        <v>3.3684775134937159E-2</v>
      </c>
    </row>
    <row r="27" spans="1:11" ht="16.5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9.5" thickBot="1" x14ac:dyDescent="0.3">
      <c r="E28" s="313">
        <f>+D25/H2</f>
        <v>0.42602368430002252</v>
      </c>
      <c r="F28" s="179"/>
      <c r="G28" s="179"/>
      <c r="J28" s="179"/>
    </row>
    <row r="29" spans="1:11" x14ac:dyDescent="0.25">
      <c r="D29" s="108">
        <f>+(H2/31)*13</f>
        <v>86734.701970936003</v>
      </c>
      <c r="E29" s="314">
        <f>+D29/H2</f>
        <v>0.41935483870967744</v>
      </c>
      <c r="F29" s="352"/>
    </row>
    <row r="30" spans="1:11" x14ac:dyDescent="0.25">
      <c r="D30" s="183">
        <f>+D25-D29</f>
        <v>1379.3100290639995</v>
      </c>
      <c r="E30" s="99">
        <f>E28-E29</f>
        <v>6.668845590345085E-3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1055</v>
      </c>
      <c r="D33" s="108">
        <v>2142</v>
      </c>
      <c r="E33" s="57">
        <f>+C33/D33</f>
        <v>0.49253034547152197</v>
      </c>
      <c r="G33" s="86" t="s">
        <v>86</v>
      </c>
      <c r="H33" s="87">
        <v>12726</v>
      </c>
      <c r="I33" s="88">
        <f>+H33*0.025</f>
        <v>318.15000000000003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1595</v>
      </c>
      <c r="D34" s="108">
        <v>1890</v>
      </c>
      <c r="E34" s="57">
        <f>+C34/D34</f>
        <v>0.84391534391534395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880</v>
      </c>
      <c r="D35" s="108">
        <v>3006</v>
      </c>
      <c r="E35" s="57">
        <f>+C35/D35</f>
        <v>0.29274783765801732</v>
      </c>
      <c r="G35" s="89" t="s">
        <v>169</v>
      </c>
      <c r="H35" s="87">
        <v>178</v>
      </c>
      <c r="I35" s="88">
        <f>+H35*1.5</f>
        <v>267</v>
      </c>
      <c r="J35" s="298">
        <f>+I35+I33</f>
        <v>585.15000000000009</v>
      </c>
    </row>
    <row r="36" spans="1:11" x14ac:dyDescent="0.25">
      <c r="C36" s="162">
        <f>+SUM(C33:C35)</f>
        <v>3530</v>
      </c>
      <c r="D36" s="110">
        <f>+SUM(D33:D35)</f>
        <v>7038</v>
      </c>
      <c r="E36" s="57">
        <f>+C36/D36</f>
        <v>0.50156294401818702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55</v>
      </c>
      <c r="C40" s="74">
        <v>4</v>
      </c>
      <c r="D40" s="74">
        <v>18</v>
      </c>
      <c r="E40" s="75">
        <f>+SUM(B40:D40)</f>
        <v>77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7.51</v>
      </c>
      <c r="C44" s="199">
        <v>2318</v>
      </c>
      <c r="D44" s="200">
        <v>3600</v>
      </c>
      <c r="E44" s="201">
        <f t="shared" si="3"/>
        <v>0.64388888888888884</v>
      </c>
      <c r="F44" s="201">
        <f t="shared" si="4"/>
        <v>0.31291666666666668</v>
      </c>
      <c r="G44" s="202">
        <v>12</v>
      </c>
      <c r="H44" s="71"/>
    </row>
    <row r="45" spans="1:11" x14ac:dyDescent="0.25">
      <c r="A45" s="207" t="s">
        <v>72</v>
      </c>
      <c r="B45" s="199">
        <v>10.15</v>
      </c>
      <c r="C45" s="199">
        <v>1700</v>
      </c>
      <c r="D45" s="200">
        <v>3900</v>
      </c>
      <c r="E45" s="201">
        <f t="shared" si="3"/>
        <v>0.4358974358974359</v>
      </c>
      <c r="F45" s="201">
        <f t="shared" si="4"/>
        <v>0.42291666666666666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16.149999999999999</v>
      </c>
      <c r="C46" s="199">
        <v>3019</v>
      </c>
      <c r="D46" s="200">
        <v>3900</v>
      </c>
      <c r="E46" s="201">
        <f t="shared" si="3"/>
        <v>0.77410256410256406</v>
      </c>
      <c r="F46" s="201">
        <f t="shared" si="4"/>
        <v>0.67291666666666661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11.65</v>
      </c>
      <c r="C47" s="199">
        <v>2567</v>
      </c>
      <c r="D47" s="200">
        <v>3900</v>
      </c>
      <c r="E47" s="201">
        <f t="shared" si="3"/>
        <v>0.65820512820512822</v>
      </c>
      <c r="F47" s="201">
        <f t="shared" si="4"/>
        <v>0.48541666666666666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11.91</v>
      </c>
      <c r="C48" s="261">
        <v>2446</v>
      </c>
      <c r="D48" s="262">
        <v>4300</v>
      </c>
      <c r="E48" s="263">
        <f t="shared" si="3"/>
        <v>0.56883720930232562</v>
      </c>
      <c r="F48" s="201">
        <f t="shared" si="4"/>
        <v>0.49625000000000002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57.370000000000005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153</v>
      </c>
      <c r="H53" s="301">
        <v>46029</v>
      </c>
      <c r="I53" s="129" t="s">
        <v>175</v>
      </c>
      <c r="J53" s="162">
        <v>93</v>
      </c>
      <c r="K53" s="318">
        <f>+J53*1.5</f>
        <v>139.5</v>
      </c>
    </row>
    <row r="54" spans="2:11" x14ac:dyDescent="0.25">
      <c r="C54" s="71">
        <v>4</v>
      </c>
      <c r="D54" s="108">
        <v>0</v>
      </c>
      <c r="H54" s="301">
        <v>46029</v>
      </c>
      <c r="I54" s="129" t="s">
        <v>176</v>
      </c>
      <c r="J54" s="162">
        <v>99</v>
      </c>
      <c r="K54" s="318">
        <f>+J54*1.5</f>
        <v>148.5</v>
      </c>
    </row>
    <row r="55" spans="2:11" x14ac:dyDescent="0.25">
      <c r="C55" s="71">
        <v>5</v>
      </c>
      <c r="D55" s="108">
        <v>5</v>
      </c>
      <c r="H55" s="359" t="s">
        <v>239</v>
      </c>
      <c r="I55" s="345"/>
      <c r="J55" s="199">
        <f>+J54+J53</f>
        <v>192</v>
      </c>
      <c r="K55" s="346">
        <f>+J55*1.5</f>
        <v>288</v>
      </c>
    </row>
    <row r="56" spans="2:11" x14ac:dyDescent="0.25">
      <c r="C56" s="71">
        <v>6</v>
      </c>
      <c r="D56" s="108">
        <v>0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 t="s">
        <v>153</v>
      </c>
      <c r="H57" s="301">
        <v>45970</v>
      </c>
      <c r="I57" s="129" t="s">
        <v>176</v>
      </c>
      <c r="J57" s="162">
        <v>3367</v>
      </c>
      <c r="K57" s="318">
        <v>84.175000000000011</v>
      </c>
    </row>
    <row r="58" spans="2:11" x14ac:dyDescent="0.25">
      <c r="C58" s="71">
        <v>8</v>
      </c>
      <c r="D58" s="108">
        <v>5</v>
      </c>
      <c r="H58" s="301">
        <v>45984</v>
      </c>
      <c r="I58" s="129" t="s">
        <v>175</v>
      </c>
      <c r="J58" s="162">
        <v>6792</v>
      </c>
      <c r="K58" s="318">
        <v>169.8</v>
      </c>
    </row>
    <row r="59" spans="2:11" x14ac:dyDescent="0.25">
      <c r="H59" s="301">
        <v>46006</v>
      </c>
      <c r="I59" s="129" t="s">
        <v>175</v>
      </c>
      <c r="J59" s="162">
        <v>5733</v>
      </c>
      <c r="K59" s="318">
        <v>143.32500000000002</v>
      </c>
    </row>
    <row r="60" spans="2:11" x14ac:dyDescent="0.25">
      <c r="B60" s="364" t="s">
        <v>231</v>
      </c>
      <c r="C60" s="199">
        <v>1465</v>
      </c>
      <c r="D60" s="384" t="s">
        <v>92</v>
      </c>
      <c r="H60" s="301">
        <v>46008</v>
      </c>
      <c r="I60" s="129" t="s">
        <v>176</v>
      </c>
      <c r="J60" s="162">
        <v>2482</v>
      </c>
      <c r="K60" s="318">
        <v>62.050000000000004</v>
      </c>
    </row>
    <row r="61" spans="2:11" x14ac:dyDescent="0.25">
      <c r="H61" s="301">
        <v>46012</v>
      </c>
      <c r="I61" s="129" t="s">
        <v>175</v>
      </c>
      <c r="J61" s="162">
        <v>6042</v>
      </c>
      <c r="K61" s="318">
        <v>151.05000000000001</v>
      </c>
    </row>
    <row r="62" spans="2:11" x14ac:dyDescent="0.25">
      <c r="H62" s="301"/>
      <c r="I62" s="129"/>
      <c r="K62" s="318"/>
    </row>
    <row r="63" spans="2:11" x14ac:dyDescent="0.25">
      <c r="H63" s="359" t="s">
        <v>232</v>
      </c>
      <c r="I63" s="345"/>
      <c r="J63" s="200">
        <v>6042</v>
      </c>
      <c r="K63" s="346">
        <v>151.05000000000001</v>
      </c>
    </row>
    <row r="64" spans="2:11" x14ac:dyDescent="0.25">
      <c r="H64" s="237" t="s">
        <v>205</v>
      </c>
      <c r="I64"/>
      <c r="J64" s="162" t="s">
        <v>177</v>
      </c>
      <c r="K64" s="215" t="s">
        <v>92</v>
      </c>
    </row>
    <row r="65" spans="2:11" x14ac:dyDescent="0.25">
      <c r="B65" s="66" t="s">
        <v>241</v>
      </c>
      <c r="C65" s="391">
        <v>46035</v>
      </c>
      <c r="D65" s="391">
        <v>46036</v>
      </c>
      <c r="H65" s="301">
        <v>45942</v>
      </c>
      <c r="I65" s="129" t="s">
        <v>176</v>
      </c>
      <c r="J65" s="162">
        <v>47</v>
      </c>
      <c r="K65" s="318">
        <v>70.5</v>
      </c>
    </row>
    <row r="66" spans="2:11" x14ac:dyDescent="0.25">
      <c r="B66" s="162" t="s">
        <v>222</v>
      </c>
      <c r="C66" s="389">
        <v>0.33</v>
      </c>
      <c r="H66"/>
      <c r="I66" s="129"/>
      <c r="J66"/>
      <c r="K66" s="215"/>
    </row>
    <row r="67" spans="2:11" x14ac:dyDescent="0.25">
      <c r="B67" s="162" t="s">
        <v>240</v>
      </c>
      <c r="C67" s="389">
        <v>0.28999999999999998</v>
      </c>
      <c r="H67" s="237" t="s">
        <v>167</v>
      </c>
      <c r="I67"/>
      <c r="J67" s="162" t="s">
        <v>157</v>
      </c>
      <c r="K67" s="215" t="s">
        <v>92</v>
      </c>
    </row>
    <row r="68" spans="2:11" x14ac:dyDescent="0.25">
      <c r="H68" s="301">
        <v>46005</v>
      </c>
      <c r="I68" s="129"/>
      <c r="J68" s="162">
        <v>519</v>
      </c>
      <c r="K68" s="318">
        <v>778.5</v>
      </c>
    </row>
    <row r="69" spans="2:11" x14ac:dyDescent="0.25">
      <c r="B69" s="162" t="s">
        <v>242</v>
      </c>
      <c r="H69" s="301">
        <v>46018</v>
      </c>
      <c r="I69" s="129" t="s">
        <v>175</v>
      </c>
      <c r="J69" s="68">
        <v>46</v>
      </c>
      <c r="K69" s="318">
        <f t="shared" ref="K69:K77" si="5">+J69*1.5</f>
        <v>69</v>
      </c>
    </row>
    <row r="70" spans="2:11" x14ac:dyDescent="0.25">
      <c r="H70" s="301">
        <v>46018</v>
      </c>
      <c r="I70" s="129" t="s">
        <v>176</v>
      </c>
      <c r="J70" s="68">
        <v>170</v>
      </c>
      <c r="K70" s="318">
        <f t="shared" si="5"/>
        <v>255</v>
      </c>
    </row>
    <row r="71" spans="2:11" x14ac:dyDescent="0.25">
      <c r="H71" s="301">
        <v>46019</v>
      </c>
      <c r="I71" s="129" t="s">
        <v>175</v>
      </c>
      <c r="J71" s="68">
        <v>182</v>
      </c>
      <c r="K71" s="318">
        <f t="shared" si="5"/>
        <v>273</v>
      </c>
    </row>
    <row r="72" spans="2:11" x14ac:dyDescent="0.25">
      <c r="H72" s="301">
        <v>46019</v>
      </c>
      <c r="I72" s="129" t="s">
        <v>176</v>
      </c>
      <c r="J72" s="162">
        <v>139</v>
      </c>
      <c r="K72" s="318">
        <f t="shared" si="5"/>
        <v>208.5</v>
      </c>
    </row>
    <row r="73" spans="2:11" x14ac:dyDescent="0.25">
      <c r="H73" s="301">
        <v>46032</v>
      </c>
      <c r="I73" s="129" t="s">
        <v>175</v>
      </c>
      <c r="J73" s="68">
        <v>22</v>
      </c>
      <c r="K73" s="318">
        <f t="shared" si="5"/>
        <v>33</v>
      </c>
    </row>
    <row r="74" spans="2:11" x14ac:dyDescent="0.25">
      <c r="H74" s="301">
        <v>46032</v>
      </c>
      <c r="I74" s="129" t="s">
        <v>176</v>
      </c>
      <c r="J74" s="68">
        <v>166</v>
      </c>
      <c r="K74" s="318">
        <f t="shared" si="5"/>
        <v>249</v>
      </c>
    </row>
    <row r="75" spans="2:11" x14ac:dyDescent="0.25">
      <c r="H75" s="301">
        <v>46033</v>
      </c>
      <c r="I75" s="129" t="s">
        <v>175</v>
      </c>
      <c r="J75" s="68">
        <v>210</v>
      </c>
      <c r="K75" s="318">
        <f t="shared" si="5"/>
        <v>315</v>
      </c>
    </row>
    <row r="76" spans="2:11" x14ac:dyDescent="0.25">
      <c r="H76" s="301">
        <v>46033</v>
      </c>
      <c r="I76" s="129" t="s">
        <v>176</v>
      </c>
      <c r="J76" s="162">
        <v>121</v>
      </c>
      <c r="K76" s="318">
        <f t="shared" si="5"/>
        <v>181.5</v>
      </c>
    </row>
    <row r="77" spans="2:11" x14ac:dyDescent="0.25">
      <c r="H77" s="344"/>
      <c r="I77" s="345"/>
      <c r="J77" s="200">
        <f>+J74+J73+J75+J76</f>
        <v>519</v>
      </c>
      <c r="K77" s="346">
        <f t="shared" si="5"/>
        <v>778.5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23" workbookViewId="0">
      <selection activeCell="J35" sqref="J35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7" width="11.42578125" style="162"/>
    <col min="8" max="8" width="11.85546875" style="162" bestFit="1" customWidth="1"/>
    <col min="9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1" ht="19.5" customHeight="1" thickBot="1" x14ac:dyDescent="0.4">
      <c r="A4" s="164"/>
      <c r="B4" s="390"/>
      <c r="C4" s="390"/>
      <c r="D4" s="165">
        <f>D24</f>
        <v>7264.9619999999995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7065</v>
      </c>
      <c r="D5" s="172">
        <v>301.36400000000003</v>
      </c>
      <c r="E5" s="245">
        <f t="shared" ref="E5:E23" si="0">+D5/$D$4</f>
        <v>4.1481841198894094E-2</v>
      </c>
      <c r="F5" s="58" t="s">
        <v>51</v>
      </c>
      <c r="G5" s="59">
        <v>46034</v>
      </c>
      <c r="H5" s="190">
        <v>7334</v>
      </c>
      <c r="I5" s="141">
        <v>6875.9620000000014</v>
      </c>
      <c r="J5" s="60">
        <f t="shared" ref="J5:J12" si="1">+I5/H5</f>
        <v>0.93754595036814858</v>
      </c>
    </row>
    <row r="6" spans="1:11" ht="15" customHeight="1" x14ac:dyDescent="0.25">
      <c r="A6" s="164"/>
      <c r="B6" s="169" t="s">
        <v>10</v>
      </c>
      <c r="C6" s="177">
        <v>12623</v>
      </c>
      <c r="D6" s="173">
        <v>538.14800000000002</v>
      </c>
      <c r="E6" s="245">
        <f t="shared" si="0"/>
        <v>7.4074441132658375E-2</v>
      </c>
      <c r="F6" s="58" t="s">
        <v>52</v>
      </c>
      <c r="G6" s="59">
        <v>46035</v>
      </c>
      <c r="H6" s="190">
        <v>9492</v>
      </c>
      <c r="I6" s="141">
        <v>8800.8780000000006</v>
      </c>
      <c r="J6" s="60">
        <f t="shared" si="1"/>
        <v>0.92718900126422255</v>
      </c>
    </row>
    <row r="7" spans="1:11" ht="15" customHeight="1" x14ac:dyDescent="0.25">
      <c r="A7" s="164"/>
      <c r="B7" s="169" t="s">
        <v>35</v>
      </c>
      <c r="C7" s="177">
        <v>33967</v>
      </c>
      <c r="D7" s="173">
        <v>1447.39</v>
      </c>
      <c r="E7" s="245">
        <f t="shared" si="0"/>
        <v>0.19922884662025764</v>
      </c>
      <c r="F7" s="58" t="s">
        <v>53</v>
      </c>
      <c r="G7" s="59">
        <v>46036</v>
      </c>
      <c r="H7" s="190">
        <v>9271</v>
      </c>
      <c r="I7" s="141">
        <v>7264.9619999999995</v>
      </c>
      <c r="J7" s="60">
        <f t="shared" si="1"/>
        <v>0.78362226297055326</v>
      </c>
    </row>
    <row r="8" spans="1:11" ht="15" customHeight="1" x14ac:dyDescent="0.25">
      <c r="A8" s="164"/>
      <c r="B8" s="169" t="s">
        <v>37</v>
      </c>
      <c r="C8" s="177">
        <v>21342</v>
      </c>
      <c r="D8" s="173">
        <v>910.8839999999999</v>
      </c>
      <c r="E8" s="80">
        <f t="shared" si="0"/>
        <v>0.12538042181087802</v>
      </c>
      <c r="F8" s="58" t="s">
        <v>54</v>
      </c>
      <c r="G8" s="59">
        <v>46037</v>
      </c>
      <c r="H8" s="190">
        <v>8951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38</v>
      </c>
      <c r="C9" s="177">
        <v>46855</v>
      </c>
      <c r="D9" s="173">
        <v>1999.6579999999999</v>
      </c>
      <c r="E9" s="80">
        <f t="shared" si="0"/>
        <v>0.27524686295675049</v>
      </c>
      <c r="F9" s="58" t="s">
        <v>55</v>
      </c>
      <c r="G9" s="59">
        <v>46038</v>
      </c>
      <c r="H9" s="190">
        <v>8967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42</v>
      </c>
      <c r="C10" s="177">
        <v>8330</v>
      </c>
      <c r="D10" s="173">
        <v>355.56799999999998</v>
      </c>
      <c r="E10" s="80">
        <f t="shared" si="0"/>
        <v>4.8942857512537574E-2</v>
      </c>
      <c r="F10" s="58" t="s">
        <v>56</v>
      </c>
      <c r="G10" s="59">
        <v>46039</v>
      </c>
      <c r="H10" s="190">
        <v>7423.0000000000009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</v>
      </c>
      <c r="C11" s="177"/>
      <c r="D11" s="173"/>
      <c r="E11" s="80">
        <f t="shared" si="0"/>
        <v>0</v>
      </c>
      <c r="F11" s="58" t="s">
        <v>57</v>
      </c>
      <c r="G11" s="59">
        <v>46040</v>
      </c>
      <c r="H11" s="190">
        <v>5054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/>
      <c r="D12" s="173"/>
      <c r="E12" s="80">
        <f t="shared" si="0"/>
        <v>0</v>
      </c>
      <c r="H12" s="139">
        <f>+SUM(H5:H11)</f>
        <v>56492</v>
      </c>
      <c r="I12" s="142">
        <f>+SUM(I5:I11)</f>
        <v>22941.802000000003</v>
      </c>
      <c r="J12" s="140">
        <f t="shared" si="1"/>
        <v>0.40610709480988466</v>
      </c>
    </row>
    <row r="13" spans="1:11" ht="15" customHeight="1" x14ac:dyDescent="0.25">
      <c r="A13" s="164"/>
      <c r="B13" s="169" t="s">
        <v>43</v>
      </c>
      <c r="C13" s="177">
        <v>355</v>
      </c>
      <c r="D13" s="173">
        <v>535.7399999999999</v>
      </c>
      <c r="E13" s="80">
        <f t="shared" si="0"/>
        <v>7.3742987231041252E-2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41</v>
      </c>
      <c r="C14" s="177">
        <v>61</v>
      </c>
      <c r="D14" s="173">
        <v>91.55</v>
      </c>
      <c r="E14" s="80">
        <f t="shared" si="0"/>
        <v>1.2601580022029022E-2</v>
      </c>
      <c r="F14" s="112" t="s">
        <v>108</v>
      </c>
      <c r="G14" s="190">
        <v>204007.80300000001</v>
      </c>
      <c r="H14" s="190">
        <v>190629.128</v>
      </c>
      <c r="I14" s="190">
        <f>+D25</f>
        <v>95378.974000000002</v>
      </c>
      <c r="J14" s="98">
        <f>+H14/G14</f>
        <v>0.93442076820953746</v>
      </c>
      <c r="K14" s="98">
        <f>+I14/H14</f>
        <v>0.50033788120774492</v>
      </c>
    </row>
    <row r="15" spans="1:11" ht="15" customHeight="1" x14ac:dyDescent="0.25">
      <c r="A15" s="164"/>
      <c r="B15" s="169" t="s">
        <v>88</v>
      </c>
      <c r="C15" s="177">
        <v>60</v>
      </c>
      <c r="D15" s="173">
        <v>91.289999999999992</v>
      </c>
      <c r="E15" s="80">
        <f t="shared" si="0"/>
        <v>1.2565791810060397E-2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ref="J15:K26" si="2">+H15/G15</f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39</v>
      </c>
      <c r="C16" s="177">
        <v>299</v>
      </c>
      <c r="D16" s="173">
        <v>451.40999999999997</v>
      </c>
      <c r="E16" s="80">
        <f t="shared" si="0"/>
        <v>6.2135218325987111E-2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49</v>
      </c>
      <c r="C17" s="177"/>
      <c r="D17" s="173"/>
      <c r="E17" s="80">
        <f t="shared" si="0"/>
        <v>0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88</v>
      </c>
      <c r="C18" s="177"/>
      <c r="D18" s="173"/>
      <c r="E18" s="80">
        <f t="shared" si="0"/>
        <v>0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45</v>
      </c>
      <c r="C19" s="177"/>
      <c r="D19" s="173"/>
      <c r="E19" s="80">
        <f t="shared" si="0"/>
        <v>0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/>
      <c r="E20" s="80">
        <f t="shared" si="0"/>
        <v>0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184</v>
      </c>
      <c r="C21" s="177"/>
      <c r="D21" s="173">
        <v>32.18</v>
      </c>
      <c r="E21" s="80">
        <f t="shared" si="0"/>
        <v>4.4294794659627953E-3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46</v>
      </c>
      <c r="C22" s="177"/>
      <c r="D22" s="173">
        <v>29.63</v>
      </c>
      <c r="E22" s="80">
        <f t="shared" si="0"/>
        <v>4.0784796947320578E-3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A23" s="164"/>
      <c r="B23" s="169" t="s">
        <v>40</v>
      </c>
      <c r="C23" s="177"/>
      <c r="D23" s="173">
        <v>480.15000000000003</v>
      </c>
      <c r="E23" s="80">
        <f t="shared" si="0"/>
        <v>6.6091192218211192E-2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B24" s="178" t="s">
        <v>0</v>
      </c>
      <c r="C24" s="170"/>
      <c r="D24" s="171">
        <f>SUM(D5:D23)</f>
        <v>7264.9619999999995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B25" s="166" t="s">
        <v>1</v>
      </c>
      <c r="C25" s="167"/>
      <c r="D25" s="233">
        <v>95378.974000000002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95378.974000000002</v>
      </c>
      <c r="J26" s="378">
        <f t="shared" si="2"/>
        <v>1.0267879425243049</v>
      </c>
      <c r="K26" s="378">
        <f t="shared" si="2"/>
        <v>3.646207020730162E-2</v>
      </c>
    </row>
    <row r="27" spans="1:11" ht="16.5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9.5" thickBot="1" x14ac:dyDescent="0.3">
      <c r="E28" s="313">
        <f>+D25/H2</f>
        <v>0.46114915194459716</v>
      </c>
      <c r="F28" s="179"/>
      <c r="G28" s="179"/>
      <c r="J28" s="179"/>
    </row>
    <row r="29" spans="1:11" x14ac:dyDescent="0.25">
      <c r="D29" s="108">
        <f>+(H2/31)*14</f>
        <v>93406.602122546465</v>
      </c>
      <c r="E29" s="314">
        <f>+D29/H2</f>
        <v>0.45161290322580644</v>
      </c>
      <c r="F29" s="352"/>
    </row>
    <row r="30" spans="1:11" x14ac:dyDescent="0.25">
      <c r="D30" s="183">
        <f>+D25-D29</f>
        <v>1972.3718774535373</v>
      </c>
      <c r="E30" s="99">
        <f>E28-E29</f>
        <v>9.5362487187907186E-3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1228</v>
      </c>
      <c r="D33" s="108">
        <v>2142</v>
      </c>
      <c r="E33" s="57">
        <f>+C33/D33</f>
        <v>0.5732959850606909</v>
      </c>
      <c r="G33" s="86" t="s">
        <v>86</v>
      </c>
      <c r="H33" s="87">
        <v>12726</v>
      </c>
      <c r="I33" s="88">
        <f>+H33*0.025</f>
        <v>318.15000000000003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1785</v>
      </c>
      <c r="D34" s="108">
        <v>1890</v>
      </c>
      <c r="E34" s="57">
        <f>+C34/D34</f>
        <v>0.94444444444444442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166</v>
      </c>
      <c r="D35" s="108">
        <v>3006</v>
      </c>
      <c r="E35" s="57">
        <f>+C35/D35</f>
        <v>5.5222887558216902E-2</v>
      </c>
      <c r="G35" s="89" t="s">
        <v>169</v>
      </c>
      <c r="H35" s="87">
        <v>319</v>
      </c>
      <c r="I35" s="88">
        <f>+H35*1.5</f>
        <v>478.5</v>
      </c>
      <c r="J35" s="298">
        <f>+I35+I33</f>
        <v>796.65000000000009</v>
      </c>
    </row>
    <row r="36" spans="1:11" x14ac:dyDescent="0.25">
      <c r="C36" s="162">
        <f>+SUM(C33:C35)</f>
        <v>3179</v>
      </c>
      <c r="D36" s="110">
        <f>+SUM(D33:D35)</f>
        <v>7038</v>
      </c>
      <c r="E36" s="57">
        <f>+C36/D36</f>
        <v>0.45169082125603865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43</v>
      </c>
      <c r="C40" s="74">
        <v>5</v>
      </c>
      <c r="D40" s="74">
        <v>13</v>
      </c>
      <c r="E40" s="75">
        <f>+SUM(B40:D40)</f>
        <v>61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8.5299999999999994</v>
      </c>
      <c r="C44" s="199">
        <v>2033</v>
      </c>
      <c r="D44" s="200">
        <v>3600</v>
      </c>
      <c r="E44" s="201">
        <f t="shared" si="3"/>
        <v>0.56472222222222224</v>
      </c>
      <c r="F44" s="201">
        <f t="shared" si="4"/>
        <v>0.35541666666666666</v>
      </c>
      <c r="G44" s="202">
        <v>12</v>
      </c>
      <c r="H44" s="71"/>
    </row>
    <row r="45" spans="1:11" x14ac:dyDescent="0.25">
      <c r="A45" s="207" t="s">
        <v>72</v>
      </c>
      <c r="B45" s="199">
        <v>13.01</v>
      </c>
      <c r="C45" s="199">
        <v>1528</v>
      </c>
      <c r="D45" s="200">
        <v>3900</v>
      </c>
      <c r="E45" s="201">
        <f t="shared" si="3"/>
        <v>0.39179487179487177</v>
      </c>
      <c r="F45" s="201">
        <f t="shared" si="4"/>
        <v>0.54208333333333336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14.95</v>
      </c>
      <c r="C46" s="199">
        <v>2792</v>
      </c>
      <c r="D46" s="200">
        <v>3900</v>
      </c>
      <c r="E46" s="201">
        <f t="shared" si="3"/>
        <v>0.71589743589743593</v>
      </c>
      <c r="F46" s="201">
        <f t="shared" si="4"/>
        <v>0.62291666666666667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14.48</v>
      </c>
      <c r="C47" s="199">
        <v>911</v>
      </c>
      <c r="D47" s="200">
        <v>3900</v>
      </c>
      <c r="E47" s="201">
        <f t="shared" si="3"/>
        <v>0.23358974358974358</v>
      </c>
      <c r="F47" s="201">
        <f t="shared" si="4"/>
        <v>0.60333333333333339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5.56</v>
      </c>
      <c r="C48" s="261">
        <v>1711</v>
      </c>
      <c r="D48" s="262">
        <v>4300</v>
      </c>
      <c r="E48" s="263">
        <f t="shared" si="3"/>
        <v>0.39790697674418607</v>
      </c>
      <c r="F48" s="201">
        <f t="shared" si="4"/>
        <v>0.23166666666666666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56.53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153</v>
      </c>
      <c r="H53" s="301">
        <v>46029</v>
      </c>
      <c r="I53" s="129" t="s">
        <v>175</v>
      </c>
      <c r="J53" s="162">
        <v>93</v>
      </c>
      <c r="K53" s="318">
        <f>+J53*1.5</f>
        <v>139.5</v>
      </c>
    </row>
    <row r="54" spans="2:11" x14ac:dyDescent="0.25">
      <c r="C54" s="71">
        <v>4</v>
      </c>
      <c r="D54" s="108">
        <v>3</v>
      </c>
      <c r="H54" s="301">
        <v>46029</v>
      </c>
      <c r="I54" s="129" t="s">
        <v>176</v>
      </c>
      <c r="J54" s="162">
        <v>99</v>
      </c>
      <c r="K54" s="318">
        <f>+J54*1.5</f>
        <v>148.5</v>
      </c>
    </row>
    <row r="55" spans="2:11" x14ac:dyDescent="0.25">
      <c r="C55" s="71">
        <v>5</v>
      </c>
      <c r="D55" s="108">
        <v>10</v>
      </c>
      <c r="H55" s="301">
        <v>46036</v>
      </c>
      <c r="I55" s="129" t="s">
        <v>175</v>
      </c>
      <c r="J55" s="162">
        <v>50</v>
      </c>
      <c r="K55" s="318">
        <f>+J55*1.5</f>
        <v>75</v>
      </c>
    </row>
    <row r="56" spans="2:11" x14ac:dyDescent="0.25">
      <c r="C56" s="71">
        <v>6</v>
      </c>
      <c r="D56" s="108">
        <v>2</v>
      </c>
      <c r="H56" s="301">
        <v>46036</v>
      </c>
      <c r="I56" s="129" t="s">
        <v>176</v>
      </c>
      <c r="J56" s="162">
        <v>105</v>
      </c>
      <c r="K56" s="318">
        <f>+J56*1.5</f>
        <v>157.5</v>
      </c>
    </row>
    <row r="57" spans="2:11" x14ac:dyDescent="0.25">
      <c r="C57" s="71">
        <v>7</v>
      </c>
      <c r="D57" s="225" t="s">
        <v>153</v>
      </c>
      <c r="H57" s="359" t="s">
        <v>243</v>
      </c>
      <c r="I57" s="345"/>
      <c r="J57" s="199">
        <f>+J56+J55</f>
        <v>155</v>
      </c>
      <c r="K57" s="346">
        <f>+J57*1.5</f>
        <v>232.5</v>
      </c>
    </row>
    <row r="58" spans="2:11" x14ac:dyDescent="0.25">
      <c r="C58" s="71">
        <v>8</v>
      </c>
      <c r="D58" s="108">
        <v>8</v>
      </c>
      <c r="H58" s="237" t="s">
        <v>197</v>
      </c>
      <c r="I58"/>
      <c r="J58" s="162" t="s">
        <v>157</v>
      </c>
      <c r="K58" s="215" t="s">
        <v>92</v>
      </c>
    </row>
    <row r="59" spans="2:11" x14ac:dyDescent="0.25">
      <c r="H59" s="301">
        <v>45970</v>
      </c>
      <c r="I59" s="129" t="s">
        <v>176</v>
      </c>
      <c r="J59" s="162">
        <v>3367</v>
      </c>
      <c r="K59" s="318">
        <v>84.175000000000011</v>
      </c>
    </row>
    <row r="60" spans="2:11" x14ac:dyDescent="0.25">
      <c r="B60" s="364" t="s">
        <v>231</v>
      </c>
      <c r="C60" s="199">
        <v>1768</v>
      </c>
      <c r="D60" s="384" t="s">
        <v>92</v>
      </c>
      <c r="H60" s="301">
        <v>45984</v>
      </c>
      <c r="I60" s="129" t="s">
        <v>175</v>
      </c>
      <c r="J60" s="162">
        <v>6792</v>
      </c>
      <c r="K60" s="318">
        <v>169.8</v>
      </c>
    </row>
    <row r="61" spans="2:11" x14ac:dyDescent="0.25">
      <c r="H61" s="301">
        <v>46006</v>
      </c>
      <c r="I61" s="129" t="s">
        <v>175</v>
      </c>
      <c r="J61" s="162">
        <v>5733</v>
      </c>
      <c r="K61" s="318"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v>62.050000000000004</v>
      </c>
    </row>
    <row r="63" spans="2:11" x14ac:dyDescent="0.25">
      <c r="H63" s="301">
        <v>46012</v>
      </c>
      <c r="I63" s="129" t="s">
        <v>175</v>
      </c>
      <c r="J63" s="162">
        <v>6042</v>
      </c>
      <c r="K63" s="318">
        <v>151.05000000000001</v>
      </c>
    </row>
    <row r="64" spans="2:11" x14ac:dyDescent="0.25">
      <c r="H64" s="301"/>
      <c r="I64" s="129"/>
      <c r="K64" s="318"/>
    </row>
    <row r="65" spans="2:11" x14ac:dyDescent="0.25">
      <c r="B65" s="66" t="s">
        <v>241</v>
      </c>
      <c r="C65" s="391">
        <v>46035</v>
      </c>
      <c r="D65" s="391">
        <v>46036</v>
      </c>
      <c r="H65" s="359" t="s">
        <v>232</v>
      </c>
      <c r="I65" s="345"/>
      <c r="J65" s="200">
        <v>6042</v>
      </c>
      <c r="K65" s="346">
        <v>151.05000000000001</v>
      </c>
    </row>
    <row r="66" spans="2:11" x14ac:dyDescent="0.25">
      <c r="B66" s="162" t="s">
        <v>222</v>
      </c>
      <c r="C66" s="389">
        <v>0.33</v>
      </c>
      <c r="H66" s="237" t="s">
        <v>205</v>
      </c>
      <c r="I66"/>
      <c r="J66" s="162" t="s">
        <v>177</v>
      </c>
      <c r="K66" s="215" t="s">
        <v>92</v>
      </c>
    </row>
    <row r="67" spans="2:11" x14ac:dyDescent="0.25">
      <c r="B67" s="162" t="s">
        <v>240</v>
      </c>
      <c r="C67" s="389">
        <v>0.28999999999999998</v>
      </c>
      <c r="H67" s="301">
        <v>45942</v>
      </c>
      <c r="I67" s="129" t="s">
        <v>176</v>
      </c>
      <c r="J67" s="162">
        <v>47</v>
      </c>
      <c r="K67" s="318">
        <v>70.5</v>
      </c>
    </row>
    <row r="68" spans="2:11" x14ac:dyDescent="0.25">
      <c r="H68"/>
      <c r="I68" s="129"/>
      <c r="J68"/>
      <c r="K68" s="215"/>
    </row>
    <row r="69" spans="2:11" x14ac:dyDescent="0.25">
      <c r="H69" s="237" t="s">
        <v>167</v>
      </c>
      <c r="I69"/>
      <c r="J69" s="162" t="s">
        <v>157</v>
      </c>
      <c r="K69" s="215" t="s">
        <v>92</v>
      </c>
    </row>
    <row r="70" spans="2:11" x14ac:dyDescent="0.25">
      <c r="H70" s="301">
        <v>46005</v>
      </c>
      <c r="I70" s="129"/>
      <c r="J70" s="162">
        <v>519</v>
      </c>
      <c r="K70" s="318">
        <v>778.5</v>
      </c>
    </row>
    <row r="71" spans="2:11" x14ac:dyDescent="0.25">
      <c r="H71" s="301">
        <v>46018</v>
      </c>
      <c r="I71" s="129" t="s">
        <v>175</v>
      </c>
      <c r="J71" s="68">
        <v>46</v>
      </c>
      <c r="K71" s="318">
        <f t="shared" ref="K71:K79" si="5">+J71*1.5</f>
        <v>69</v>
      </c>
    </row>
    <row r="72" spans="2:11" x14ac:dyDescent="0.25">
      <c r="H72" s="301">
        <v>46018</v>
      </c>
      <c r="I72" s="129" t="s">
        <v>176</v>
      </c>
      <c r="J72" s="68">
        <v>170</v>
      </c>
      <c r="K72" s="318">
        <f t="shared" si="5"/>
        <v>255</v>
      </c>
    </row>
    <row r="73" spans="2:11" x14ac:dyDescent="0.25">
      <c r="H73" s="301">
        <v>46019</v>
      </c>
      <c r="I73" s="129" t="s">
        <v>175</v>
      </c>
      <c r="J73" s="68">
        <v>182</v>
      </c>
      <c r="K73" s="318">
        <f t="shared" si="5"/>
        <v>273</v>
      </c>
    </row>
    <row r="74" spans="2:11" x14ac:dyDescent="0.25">
      <c r="H74" s="301">
        <v>46019</v>
      </c>
      <c r="I74" s="129" t="s">
        <v>176</v>
      </c>
      <c r="J74" s="162">
        <v>139</v>
      </c>
      <c r="K74" s="318">
        <f t="shared" si="5"/>
        <v>208.5</v>
      </c>
    </row>
    <row r="75" spans="2:11" x14ac:dyDescent="0.25">
      <c r="H75" s="301">
        <v>46032</v>
      </c>
      <c r="I75" s="129" t="s">
        <v>175</v>
      </c>
      <c r="J75" s="68">
        <v>22</v>
      </c>
      <c r="K75" s="318">
        <f t="shared" si="5"/>
        <v>33</v>
      </c>
    </row>
    <row r="76" spans="2:11" x14ac:dyDescent="0.25">
      <c r="H76" s="301">
        <v>46032</v>
      </c>
      <c r="I76" s="129" t="s">
        <v>176</v>
      </c>
      <c r="J76" s="68">
        <v>166</v>
      </c>
      <c r="K76" s="318">
        <f t="shared" si="5"/>
        <v>249</v>
      </c>
    </row>
    <row r="77" spans="2:11" x14ac:dyDescent="0.25">
      <c r="H77" s="301">
        <v>46033</v>
      </c>
      <c r="I77" s="129" t="s">
        <v>175</v>
      </c>
      <c r="J77" s="68">
        <v>210</v>
      </c>
      <c r="K77" s="318">
        <f t="shared" si="5"/>
        <v>315</v>
      </c>
    </row>
    <row r="78" spans="2:11" x14ac:dyDescent="0.25">
      <c r="H78" s="301">
        <v>46033</v>
      </c>
      <c r="I78" s="129" t="s">
        <v>176</v>
      </c>
      <c r="J78" s="162">
        <v>121</v>
      </c>
      <c r="K78" s="318">
        <f t="shared" si="5"/>
        <v>181.5</v>
      </c>
    </row>
    <row r="79" spans="2:11" x14ac:dyDescent="0.25">
      <c r="H79" s="344"/>
      <c r="I79" s="345"/>
      <c r="J79" s="200">
        <f>+J76+J75+J77+J78</f>
        <v>519</v>
      </c>
      <c r="K79" s="346">
        <f t="shared" si="5"/>
        <v>778.5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opLeftCell="A25" workbookViewId="0">
      <selection activeCell="J35" sqref="J35"/>
    </sheetView>
  </sheetViews>
  <sheetFormatPr baseColWidth="10" defaultColWidth="11.42578125" defaultRowHeight="15.75" x14ac:dyDescent="0.25"/>
  <cols>
    <col min="1" max="1" width="2.42578125" style="162" customWidth="1"/>
    <col min="2" max="2" width="42.85546875" style="162" customWidth="1"/>
    <col min="3" max="3" width="13.28515625" style="162" customWidth="1"/>
    <col min="4" max="4" width="14.5703125" style="163" customWidth="1"/>
    <col min="5" max="5" width="11.85546875" style="162" bestFit="1" customWidth="1"/>
    <col min="6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1" ht="19.5" customHeight="1" thickBot="1" x14ac:dyDescent="0.4">
      <c r="A4" s="164"/>
      <c r="B4" s="392"/>
      <c r="C4" s="392"/>
      <c r="D4" s="165">
        <f>D19</f>
        <v>6368.6870000000008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2350</v>
      </c>
      <c r="D5" s="172">
        <v>100.28</v>
      </c>
      <c r="E5" s="245">
        <f t="shared" ref="E5:E23" si="0">+D5/$D$4</f>
        <v>1.5745788731649082E-2</v>
      </c>
      <c r="F5" s="58" t="s">
        <v>51</v>
      </c>
      <c r="G5" s="59">
        <v>46034</v>
      </c>
      <c r="H5" s="190">
        <v>7334</v>
      </c>
      <c r="I5" s="141">
        <v>6875.9620000000014</v>
      </c>
      <c r="J5" s="60">
        <f t="shared" ref="J5:J12" si="1">+I5/H5</f>
        <v>0.93754595036814858</v>
      </c>
    </row>
    <row r="6" spans="1:11" ht="15" customHeight="1" x14ac:dyDescent="0.25">
      <c r="A6" s="164"/>
      <c r="B6" s="169" t="s">
        <v>10</v>
      </c>
      <c r="C6" s="177">
        <v>3070</v>
      </c>
      <c r="D6" s="173">
        <v>130.97</v>
      </c>
      <c r="E6" s="245">
        <f t="shared" si="0"/>
        <v>2.056467840231432E-2</v>
      </c>
      <c r="F6" s="58" t="s">
        <v>52</v>
      </c>
      <c r="G6" s="59">
        <v>46035</v>
      </c>
      <c r="H6" s="190">
        <v>9492</v>
      </c>
      <c r="I6" s="141">
        <v>8800.8780000000006</v>
      </c>
      <c r="J6" s="60">
        <f t="shared" si="1"/>
        <v>0.92718900126422255</v>
      </c>
    </row>
    <row r="7" spans="1:11" ht="15" customHeight="1" x14ac:dyDescent="0.25">
      <c r="A7" s="164"/>
      <c r="B7" s="169" t="s">
        <v>35</v>
      </c>
      <c r="C7" s="177">
        <v>23606</v>
      </c>
      <c r="D7" s="173">
        <v>1006.2919999999999</v>
      </c>
      <c r="E7" s="245">
        <f t="shared" si="0"/>
        <v>0.15800619499749316</v>
      </c>
      <c r="F7" s="58" t="s">
        <v>53</v>
      </c>
      <c r="G7" s="59">
        <v>46036</v>
      </c>
      <c r="H7" s="190">
        <v>9271</v>
      </c>
      <c r="I7" s="141">
        <v>7264.9619999999995</v>
      </c>
      <c r="J7" s="60">
        <f t="shared" si="1"/>
        <v>0.78362226297055326</v>
      </c>
    </row>
    <row r="8" spans="1:11" ht="15" customHeight="1" x14ac:dyDescent="0.25">
      <c r="A8" s="164"/>
      <c r="B8" s="169" t="s">
        <v>4</v>
      </c>
      <c r="C8" s="177">
        <v>400</v>
      </c>
      <c r="D8" s="173">
        <v>17.096</v>
      </c>
      <c r="E8" s="80">
        <f t="shared" si="0"/>
        <v>2.6843837670150845E-3</v>
      </c>
      <c r="F8" s="58" t="s">
        <v>54</v>
      </c>
      <c r="G8" s="59">
        <v>46037</v>
      </c>
      <c r="H8" s="190">
        <v>8951</v>
      </c>
      <c r="I8" s="141">
        <v>6368.6870000000008</v>
      </c>
      <c r="J8" s="60">
        <f t="shared" si="1"/>
        <v>0.7115056418277288</v>
      </c>
    </row>
    <row r="9" spans="1:11" ht="15" customHeight="1" x14ac:dyDescent="0.25">
      <c r="A9" s="164"/>
      <c r="B9" s="169" t="s">
        <v>37</v>
      </c>
      <c r="C9" s="177">
        <v>34891</v>
      </c>
      <c r="D9" s="173">
        <v>1489.1880000000003</v>
      </c>
      <c r="E9" s="80">
        <f t="shared" si="0"/>
        <v>0.23382967321207654</v>
      </c>
      <c r="F9" s="58" t="s">
        <v>55</v>
      </c>
      <c r="G9" s="59">
        <v>46038</v>
      </c>
      <c r="H9" s="190">
        <v>8967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33479</v>
      </c>
      <c r="D10" s="173">
        <v>1427.7210000000002</v>
      </c>
      <c r="E10" s="80">
        <f t="shared" si="0"/>
        <v>0.22417823328419187</v>
      </c>
      <c r="F10" s="58" t="s">
        <v>56</v>
      </c>
      <c r="G10" s="59">
        <v>46039</v>
      </c>
      <c r="H10" s="190">
        <v>7423.0000000000009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13406</v>
      </c>
      <c r="D11" s="173">
        <v>571.93999999999994</v>
      </c>
      <c r="E11" s="80">
        <f t="shared" si="0"/>
        <v>8.980501004367146E-2</v>
      </c>
      <c r="F11" s="58" t="s">
        <v>57</v>
      </c>
      <c r="G11" s="59">
        <v>46040</v>
      </c>
      <c r="H11" s="190">
        <v>5054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1200</v>
      </c>
      <c r="D12" s="173">
        <v>30.27</v>
      </c>
      <c r="E12" s="80">
        <f t="shared" si="0"/>
        <v>4.7529420114381495E-3</v>
      </c>
      <c r="H12" s="139">
        <f>+SUM(H5:H11)</f>
        <v>56492</v>
      </c>
      <c r="I12" s="142">
        <f>+SUM(I5:I11)</f>
        <v>29310.489000000005</v>
      </c>
      <c r="J12" s="140">
        <f t="shared" si="1"/>
        <v>0.51884318133541041</v>
      </c>
    </row>
    <row r="13" spans="1:11" ht="15" customHeight="1" x14ac:dyDescent="0.25">
      <c r="A13" s="164"/>
      <c r="B13" s="169" t="s">
        <v>39</v>
      </c>
      <c r="C13" s="177">
        <v>367</v>
      </c>
      <c r="D13" s="173">
        <v>553.88</v>
      </c>
      <c r="E13" s="80">
        <f t="shared" si="0"/>
        <v>8.6969260696906595E-2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43</v>
      </c>
      <c r="C14" s="177">
        <v>324</v>
      </c>
      <c r="D14" s="173">
        <v>489.63000000000011</v>
      </c>
      <c r="E14" s="80">
        <f t="shared" si="0"/>
        <v>7.6880839017524336E-2</v>
      </c>
      <c r="F14" s="112" t="s">
        <v>108</v>
      </c>
      <c r="G14" s="190">
        <v>204007.80300000001</v>
      </c>
      <c r="H14" s="190">
        <v>190629.128</v>
      </c>
      <c r="I14" s="190">
        <f>+D20</f>
        <v>101747.66100000001</v>
      </c>
      <c r="J14" s="98">
        <f>+H14/G14</f>
        <v>0.93442076820953746</v>
      </c>
      <c r="K14" s="98">
        <f>+I14/H14</f>
        <v>0.53374666331160059</v>
      </c>
    </row>
    <row r="15" spans="1:11" ht="15" customHeight="1" x14ac:dyDescent="0.25">
      <c r="A15" s="164"/>
      <c r="B15" s="169" t="s">
        <v>41</v>
      </c>
      <c r="C15" s="177">
        <v>83</v>
      </c>
      <c r="D15" s="173">
        <v>124.56</v>
      </c>
      <c r="E15" s="80">
        <f t="shared" si="0"/>
        <v>1.955819150791992E-2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ref="J15:K26" si="2">+H15/G15</f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88</v>
      </c>
      <c r="C16" s="177">
        <v>60</v>
      </c>
      <c r="D16" s="173">
        <v>91.33</v>
      </c>
      <c r="E16" s="80">
        <f t="shared" si="0"/>
        <v>1.4340475517167037E-2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40</v>
      </c>
      <c r="C17" s="177"/>
      <c r="D17" s="173">
        <v>244.5</v>
      </c>
      <c r="E17" s="80">
        <f t="shared" si="0"/>
        <v>3.8390958764341843E-2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thickBot="1" x14ac:dyDescent="0.3">
      <c r="A18" s="164"/>
      <c r="B18" s="169" t="s">
        <v>9</v>
      </c>
      <c r="C18" s="177"/>
      <c r="D18" s="173">
        <v>91.03</v>
      </c>
      <c r="E18" s="80">
        <f t="shared" si="0"/>
        <v>1.4293370046290544E-2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thickBot="1" x14ac:dyDescent="0.3">
      <c r="B19" s="178" t="s">
        <v>0</v>
      </c>
      <c r="C19" s="170"/>
      <c r="D19" s="171">
        <f>SUM(D5:D18)</f>
        <v>6368.6870000000008</v>
      </c>
      <c r="E19" s="80">
        <f t="shared" si="0"/>
        <v>1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B20" s="166" t="s">
        <v>1</v>
      </c>
      <c r="C20" s="167"/>
      <c r="D20" s="233">
        <v>101747.66100000001</v>
      </c>
      <c r="E20" s="80">
        <f t="shared" si="0"/>
        <v>15.976238273289297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x14ac:dyDescent="0.25">
      <c r="E21" s="80">
        <f t="shared" si="0"/>
        <v>0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x14ac:dyDescent="0.25">
      <c r="E22" s="80">
        <f t="shared" si="0"/>
        <v>0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x14ac:dyDescent="0.25">
      <c r="E23" s="80">
        <f t="shared" si="0"/>
        <v>0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101747.66100000001</v>
      </c>
      <c r="J26" s="378">
        <f t="shared" si="2"/>
        <v>1.0267879425243049</v>
      </c>
      <c r="K26" s="378">
        <f t="shared" si="2"/>
        <v>3.8896731671811915E-2</v>
      </c>
    </row>
    <row r="27" spans="1:11" ht="16.5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9.5" thickBot="1" x14ac:dyDescent="0.3">
      <c r="E28" s="313">
        <f>+D20/H2</f>
        <v>0.49194120690055193</v>
      </c>
      <c r="F28" s="179"/>
      <c r="G28" s="179"/>
      <c r="J28" s="179"/>
    </row>
    <row r="29" spans="1:11" x14ac:dyDescent="0.25">
      <c r="D29" s="108">
        <f>+(H2/31)*15</f>
        <v>100078.50227415693</v>
      </c>
      <c r="E29" s="314">
        <f>+D29/H2</f>
        <v>0.4838709677419355</v>
      </c>
      <c r="F29" s="352"/>
    </row>
    <row r="30" spans="1:11" ht="15" customHeight="1" x14ac:dyDescent="0.25">
      <c r="D30" s="183">
        <f>+D20-D29</f>
        <v>1669.1587258430809</v>
      </c>
      <c r="E30" s="99">
        <f>E28-E29</f>
        <v>8.0702391586164324E-3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1076</v>
      </c>
      <c r="D33" s="108">
        <v>2142</v>
      </c>
      <c r="E33" s="57">
        <f>+C33/D33</f>
        <v>0.50233426704014938</v>
      </c>
      <c r="G33" s="86" t="s">
        <v>86</v>
      </c>
      <c r="H33" s="87">
        <v>12097</v>
      </c>
      <c r="I33" s="88">
        <f>+H33*0.025</f>
        <v>302.42500000000001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1068</v>
      </c>
      <c r="D34" s="108">
        <v>1890</v>
      </c>
      <c r="E34" s="57">
        <f>+C34/D34</f>
        <v>0.56507936507936507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101</v>
      </c>
      <c r="D35" s="108">
        <v>3006</v>
      </c>
      <c r="E35" s="57">
        <f>+C35/D35</f>
        <v>3.3599467731204258E-2</v>
      </c>
      <c r="G35" s="89" t="s">
        <v>169</v>
      </c>
      <c r="H35" s="87">
        <v>294</v>
      </c>
      <c r="I35" s="88">
        <f>+H35*1.5</f>
        <v>441</v>
      </c>
      <c r="J35" s="298">
        <f>+I35+I33</f>
        <v>743.42499999999995</v>
      </c>
    </row>
    <row r="36" spans="1:11" x14ac:dyDescent="0.25">
      <c r="C36" s="162">
        <f>+SUM(C33:C35)</f>
        <v>2245</v>
      </c>
      <c r="D36" s="110">
        <f>+SUM(D33:D35)</f>
        <v>7038</v>
      </c>
      <c r="E36" s="57">
        <f>+C36/D36</f>
        <v>0.31898266552998011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69</v>
      </c>
      <c r="C40" s="74">
        <v>5</v>
      </c>
      <c r="D40" s="74">
        <v>28</v>
      </c>
      <c r="E40" s="75">
        <f>+SUM(B40:D40)</f>
        <v>102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9.57</v>
      </c>
      <c r="C44" s="199">
        <v>2015</v>
      </c>
      <c r="D44" s="200">
        <v>3600</v>
      </c>
      <c r="E44" s="201">
        <f t="shared" si="3"/>
        <v>0.55972222222222223</v>
      </c>
      <c r="F44" s="201">
        <f t="shared" si="4"/>
        <v>0.39874999999999999</v>
      </c>
      <c r="G44" s="202">
        <v>12</v>
      </c>
      <c r="H44" s="71"/>
    </row>
    <row r="45" spans="1:11" x14ac:dyDescent="0.25">
      <c r="A45" s="207" t="s">
        <v>72</v>
      </c>
      <c r="B45" s="199">
        <v>14.54</v>
      </c>
      <c r="C45" s="199">
        <v>1528</v>
      </c>
      <c r="D45" s="200">
        <v>3900</v>
      </c>
      <c r="E45" s="201">
        <f t="shared" si="3"/>
        <v>0.39179487179487177</v>
      </c>
      <c r="F45" s="201">
        <f t="shared" si="4"/>
        <v>0.60583333333333333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15.5</v>
      </c>
      <c r="C46" s="199">
        <v>2964</v>
      </c>
      <c r="D46" s="200">
        <v>3900</v>
      </c>
      <c r="E46" s="201">
        <f t="shared" si="3"/>
        <v>0.76</v>
      </c>
      <c r="F46" s="201">
        <f t="shared" si="4"/>
        <v>0.64583333333333337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6.26</v>
      </c>
      <c r="C47" s="199">
        <v>488</v>
      </c>
      <c r="D47" s="200">
        <v>3900</v>
      </c>
      <c r="E47" s="201">
        <f t="shared" si="3"/>
        <v>0.12512820512820513</v>
      </c>
      <c r="F47" s="201">
        <f t="shared" si="4"/>
        <v>0.26083333333333331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0</v>
      </c>
      <c r="C48" s="261">
        <v>0</v>
      </c>
      <c r="D48" s="262">
        <v>4300</v>
      </c>
      <c r="E48" s="263">
        <f t="shared" si="3"/>
        <v>0</v>
      </c>
      <c r="F48" s="201">
        <f t="shared" si="4"/>
        <v>0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45.87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153</v>
      </c>
      <c r="H53" s="301">
        <v>46029</v>
      </c>
      <c r="I53" s="129" t="s">
        <v>175</v>
      </c>
      <c r="J53" s="162">
        <v>93</v>
      </c>
      <c r="K53" s="318">
        <f>+J53*1.5</f>
        <v>139.5</v>
      </c>
    </row>
    <row r="54" spans="2:11" x14ac:dyDescent="0.25">
      <c r="C54" s="71">
        <v>4</v>
      </c>
      <c r="D54" s="108">
        <v>0</v>
      </c>
      <c r="H54" s="301">
        <v>46029</v>
      </c>
      <c r="I54" s="129" t="s">
        <v>176</v>
      </c>
      <c r="J54" s="162">
        <v>99</v>
      </c>
      <c r="K54" s="318">
        <f>+J54*1.5</f>
        <v>148.5</v>
      </c>
    </row>
    <row r="55" spans="2:11" x14ac:dyDescent="0.25">
      <c r="C55" s="71">
        <v>5</v>
      </c>
      <c r="D55" s="108">
        <v>13</v>
      </c>
      <c r="H55" s="301">
        <v>46036</v>
      </c>
      <c r="I55" s="129" t="s">
        <v>175</v>
      </c>
      <c r="J55" s="162">
        <v>50</v>
      </c>
      <c r="K55" s="318">
        <f>+J55*1.5</f>
        <v>75</v>
      </c>
    </row>
    <row r="56" spans="2:11" x14ac:dyDescent="0.25">
      <c r="C56" s="71">
        <v>6</v>
      </c>
      <c r="D56" s="108">
        <v>0</v>
      </c>
      <c r="H56" s="301">
        <v>46036</v>
      </c>
      <c r="I56" s="129" t="s">
        <v>176</v>
      </c>
      <c r="J56" s="162">
        <v>105</v>
      </c>
      <c r="K56" s="318">
        <f>+J56*1.5</f>
        <v>157.5</v>
      </c>
    </row>
    <row r="57" spans="2:11" x14ac:dyDescent="0.25">
      <c r="C57" s="71">
        <v>7</v>
      </c>
      <c r="D57" s="225" t="s">
        <v>153</v>
      </c>
      <c r="H57" s="301">
        <v>46037</v>
      </c>
      <c r="I57" s="129" t="s">
        <v>175</v>
      </c>
      <c r="J57" s="162">
        <v>30</v>
      </c>
      <c r="K57" s="162">
        <f>+J57*1.5</f>
        <v>45</v>
      </c>
    </row>
    <row r="58" spans="2:11" x14ac:dyDescent="0.25">
      <c r="C58" s="71">
        <v>8</v>
      </c>
      <c r="D58" s="108">
        <v>11</v>
      </c>
      <c r="H58" s="301">
        <v>46037</v>
      </c>
      <c r="I58" s="129" t="s">
        <v>176</v>
      </c>
    </row>
    <row r="59" spans="2:11" x14ac:dyDescent="0.25">
      <c r="H59" s="359" t="s">
        <v>244</v>
      </c>
      <c r="I59" s="345"/>
      <c r="J59" s="199">
        <f>+J56+J55+J57</f>
        <v>185</v>
      </c>
      <c r="K59" s="346">
        <f>+J59*1.5</f>
        <v>277.5</v>
      </c>
    </row>
    <row r="60" spans="2:11" x14ac:dyDescent="0.25">
      <c r="B60" s="364" t="s">
        <v>231</v>
      </c>
      <c r="C60" s="199">
        <v>1830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45970</v>
      </c>
      <c r="I61" s="129" t="s">
        <v>176</v>
      </c>
      <c r="J61" s="162">
        <v>3367</v>
      </c>
      <c r="K61" s="318">
        <v>84.175000000000011</v>
      </c>
    </row>
    <row r="62" spans="2:11" x14ac:dyDescent="0.25">
      <c r="B62" s="162" t="s">
        <v>245</v>
      </c>
      <c r="C62" s="162">
        <f>19*32</f>
        <v>608</v>
      </c>
      <c r="H62" s="301">
        <v>45984</v>
      </c>
      <c r="I62" s="129" t="s">
        <v>175</v>
      </c>
      <c r="J62" s="162">
        <v>6792</v>
      </c>
      <c r="K62" s="318">
        <v>169.8</v>
      </c>
    </row>
    <row r="63" spans="2:11" x14ac:dyDescent="0.25">
      <c r="H63" s="301">
        <v>46006</v>
      </c>
      <c r="I63" s="129" t="s">
        <v>175</v>
      </c>
      <c r="J63" s="162">
        <v>5733</v>
      </c>
      <c r="K63" s="318">
        <v>143.32500000000002</v>
      </c>
    </row>
    <row r="64" spans="2:11" x14ac:dyDescent="0.25">
      <c r="H64" s="301">
        <v>46008</v>
      </c>
      <c r="I64" s="129" t="s">
        <v>176</v>
      </c>
      <c r="J64" s="162">
        <v>2482</v>
      </c>
      <c r="K64" s="318">
        <v>62.050000000000004</v>
      </c>
    </row>
    <row r="65" spans="2:11" x14ac:dyDescent="0.25">
      <c r="B65" s="66" t="s">
        <v>241</v>
      </c>
      <c r="C65" s="391">
        <v>46035</v>
      </c>
      <c r="D65" s="391">
        <v>46036</v>
      </c>
      <c r="H65" s="301">
        <v>46012</v>
      </c>
      <c r="I65" s="129" t="s">
        <v>175</v>
      </c>
      <c r="J65" s="162">
        <v>6042</v>
      </c>
      <c r="K65" s="318">
        <v>151.05000000000001</v>
      </c>
    </row>
    <row r="66" spans="2:11" x14ac:dyDescent="0.25">
      <c r="B66" s="162" t="s">
        <v>222</v>
      </c>
      <c r="C66" s="389">
        <v>0.33</v>
      </c>
      <c r="H66" s="301"/>
      <c r="I66" s="129"/>
      <c r="K66" s="318"/>
    </row>
    <row r="67" spans="2:11" x14ac:dyDescent="0.25">
      <c r="B67" s="162" t="s">
        <v>240</v>
      </c>
      <c r="C67" s="389">
        <v>0.28999999999999998</v>
      </c>
      <c r="H67" s="359" t="s">
        <v>232</v>
      </c>
      <c r="I67" s="345"/>
      <c r="J67" s="200">
        <v>6042</v>
      </c>
      <c r="K67" s="346">
        <v>151.05000000000001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46005</v>
      </c>
      <c r="I72" s="129"/>
      <c r="J72" s="162">
        <v>519</v>
      </c>
      <c r="K72" s="318">
        <v>778.5</v>
      </c>
    </row>
    <row r="73" spans="2:11" x14ac:dyDescent="0.25">
      <c r="H73" s="301">
        <v>46018</v>
      </c>
      <c r="I73" s="129" t="s">
        <v>175</v>
      </c>
      <c r="J73" s="68">
        <v>46</v>
      </c>
      <c r="K73" s="318">
        <f t="shared" ref="K73:K81" si="5">+J73*1.5</f>
        <v>69</v>
      </c>
    </row>
    <row r="74" spans="2:11" x14ac:dyDescent="0.25">
      <c r="H74" s="301">
        <v>46018</v>
      </c>
      <c r="I74" s="129" t="s">
        <v>176</v>
      </c>
      <c r="J74" s="68">
        <v>170</v>
      </c>
      <c r="K74" s="318">
        <f t="shared" si="5"/>
        <v>255</v>
      </c>
    </row>
    <row r="75" spans="2:11" x14ac:dyDescent="0.25">
      <c r="H75" s="301">
        <v>46019</v>
      </c>
      <c r="I75" s="129" t="s">
        <v>175</v>
      </c>
      <c r="J75" s="68">
        <v>182</v>
      </c>
      <c r="K75" s="318">
        <f t="shared" si="5"/>
        <v>273</v>
      </c>
    </row>
    <row r="76" spans="2:11" x14ac:dyDescent="0.25">
      <c r="H76" s="301">
        <v>46019</v>
      </c>
      <c r="I76" s="129" t="s">
        <v>176</v>
      </c>
      <c r="J76" s="162">
        <v>139</v>
      </c>
      <c r="K76" s="318">
        <f t="shared" si="5"/>
        <v>208.5</v>
      </c>
    </row>
    <row r="77" spans="2:11" x14ac:dyDescent="0.25">
      <c r="H77" s="301">
        <v>46032</v>
      </c>
      <c r="I77" s="129" t="s">
        <v>175</v>
      </c>
      <c r="J77" s="68">
        <v>22</v>
      </c>
      <c r="K77" s="318">
        <f t="shared" si="5"/>
        <v>33</v>
      </c>
    </row>
    <row r="78" spans="2:11" x14ac:dyDescent="0.25">
      <c r="H78" s="301">
        <v>46032</v>
      </c>
      <c r="I78" s="129" t="s">
        <v>176</v>
      </c>
      <c r="J78" s="68">
        <v>166</v>
      </c>
      <c r="K78" s="318">
        <f t="shared" si="5"/>
        <v>249</v>
      </c>
    </row>
    <row r="79" spans="2:11" x14ac:dyDescent="0.25">
      <c r="H79" s="301">
        <v>46033</v>
      </c>
      <c r="I79" s="129" t="s">
        <v>175</v>
      </c>
      <c r="J79" s="68">
        <v>210</v>
      </c>
      <c r="K79" s="318">
        <f t="shared" si="5"/>
        <v>315</v>
      </c>
    </row>
    <row r="80" spans="2:11" x14ac:dyDescent="0.25">
      <c r="H80" s="301">
        <v>46033</v>
      </c>
      <c r="I80" s="129" t="s">
        <v>176</v>
      </c>
      <c r="J80" s="162">
        <v>121</v>
      </c>
      <c r="K80" s="318">
        <f t="shared" si="5"/>
        <v>181.5</v>
      </c>
    </row>
    <row r="81" spans="8:11" x14ac:dyDescent="0.25">
      <c r="H81" s="344"/>
      <c r="I81" s="345"/>
      <c r="J81" s="200">
        <f>+J78+J77+J79+J80</f>
        <v>519</v>
      </c>
      <c r="K81" s="346">
        <f t="shared" si="5"/>
        <v>778.5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25" workbookViewId="0">
      <selection activeCell="J35" sqref="J35"/>
    </sheetView>
  </sheetViews>
  <sheetFormatPr baseColWidth="10" defaultColWidth="11.42578125" defaultRowHeight="15.75" x14ac:dyDescent="0.25"/>
  <cols>
    <col min="1" max="1" width="2.42578125" style="162" customWidth="1"/>
    <col min="2" max="2" width="47" style="162" customWidth="1"/>
    <col min="3" max="3" width="13.28515625" style="162" customWidth="1"/>
    <col min="4" max="4" width="14.5703125" style="163" customWidth="1"/>
    <col min="5" max="5" width="19.7109375" style="162" customWidth="1"/>
    <col min="6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1" ht="19.5" customHeight="1" thickBot="1" x14ac:dyDescent="0.4">
      <c r="A4" s="164"/>
      <c r="B4" s="393"/>
      <c r="C4" s="393"/>
      <c r="D4" s="165">
        <f>D23</f>
        <v>5491.7119999999995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3724</v>
      </c>
      <c r="D5" s="172">
        <v>158.70400000000001</v>
      </c>
      <c r="E5" s="80">
        <f t="shared" ref="E5:E23" si="0">+D5/$D$4</f>
        <v>2.8898820622785759E-2</v>
      </c>
      <c r="F5" s="58" t="s">
        <v>51</v>
      </c>
      <c r="G5" s="59">
        <v>46034</v>
      </c>
      <c r="H5" s="190">
        <v>7334</v>
      </c>
      <c r="I5" s="141">
        <v>6875.9620000000014</v>
      </c>
      <c r="J5" s="60">
        <f t="shared" ref="J5:J12" si="1">+I5/H5</f>
        <v>0.93754595036814858</v>
      </c>
    </row>
    <row r="6" spans="1:11" ht="15" customHeight="1" x14ac:dyDescent="0.25">
      <c r="A6" s="164"/>
      <c r="B6" s="169" t="s">
        <v>10</v>
      </c>
      <c r="C6" s="177">
        <v>9431</v>
      </c>
      <c r="D6" s="173">
        <v>402.096</v>
      </c>
      <c r="E6" s="80">
        <f t="shared" si="0"/>
        <v>7.3218697557337314E-2</v>
      </c>
      <c r="F6" s="58" t="s">
        <v>52</v>
      </c>
      <c r="G6" s="59">
        <v>46035</v>
      </c>
      <c r="H6" s="190">
        <v>9492</v>
      </c>
      <c r="I6" s="141">
        <v>8800.8780000000006</v>
      </c>
      <c r="J6" s="60">
        <f t="shared" si="1"/>
        <v>0.92718900126422255</v>
      </c>
    </row>
    <row r="7" spans="1:11" ht="15" customHeight="1" x14ac:dyDescent="0.25">
      <c r="A7" s="164"/>
      <c r="B7" s="169" t="s">
        <v>35</v>
      </c>
      <c r="C7" s="177">
        <v>20144</v>
      </c>
      <c r="D7" s="173">
        <v>858.49599999999998</v>
      </c>
      <c r="E7" s="245">
        <f t="shared" si="0"/>
        <v>0.1563257505127727</v>
      </c>
      <c r="F7" s="58" t="s">
        <v>53</v>
      </c>
      <c r="G7" s="59">
        <v>46036</v>
      </c>
      <c r="H7" s="190">
        <v>9271</v>
      </c>
      <c r="I7" s="141">
        <v>7264.9619999999995</v>
      </c>
      <c r="J7" s="60">
        <f t="shared" si="1"/>
        <v>0.78362226297055326</v>
      </c>
    </row>
    <row r="8" spans="1:11" ht="15" customHeight="1" x14ac:dyDescent="0.25">
      <c r="A8" s="164"/>
      <c r="B8" s="169" t="s">
        <v>4</v>
      </c>
      <c r="C8" s="177">
        <v>790</v>
      </c>
      <c r="D8" s="173">
        <v>33.700000000000003</v>
      </c>
      <c r="E8" s="80">
        <f t="shared" si="0"/>
        <v>6.1365199049039729E-3</v>
      </c>
      <c r="F8" s="58" t="s">
        <v>54</v>
      </c>
      <c r="G8" s="59">
        <v>46037</v>
      </c>
      <c r="H8" s="190">
        <v>8951</v>
      </c>
      <c r="I8" s="141">
        <v>6368.6870000000008</v>
      </c>
      <c r="J8" s="60">
        <f t="shared" si="1"/>
        <v>0.7115056418277288</v>
      </c>
    </row>
    <row r="9" spans="1:11" ht="15" customHeight="1" x14ac:dyDescent="0.25">
      <c r="A9" s="164"/>
      <c r="B9" s="169" t="s">
        <v>37</v>
      </c>
      <c r="C9" s="177">
        <v>15701</v>
      </c>
      <c r="D9" s="173">
        <v>670.452</v>
      </c>
      <c r="E9" s="245">
        <f t="shared" si="0"/>
        <v>0.12208433362856611</v>
      </c>
      <c r="F9" s="58" t="s">
        <v>55</v>
      </c>
      <c r="G9" s="59">
        <v>46038</v>
      </c>
      <c r="H9" s="190">
        <v>8967</v>
      </c>
      <c r="I9" s="141">
        <v>7728.8</v>
      </c>
      <c r="J9" s="60">
        <f t="shared" si="1"/>
        <v>0.8619159139065462</v>
      </c>
    </row>
    <row r="10" spans="1:11" ht="15" customHeight="1" x14ac:dyDescent="0.25">
      <c r="A10" s="164"/>
      <c r="B10" s="169" t="s">
        <v>38</v>
      </c>
      <c r="C10" s="177">
        <v>27473</v>
      </c>
      <c r="D10" s="173">
        <v>1171.2840000000001</v>
      </c>
      <c r="E10" s="245">
        <f t="shared" si="0"/>
        <v>0.21328212404437819</v>
      </c>
      <c r="F10" s="58" t="s">
        <v>56</v>
      </c>
      <c r="G10" s="59">
        <v>46039</v>
      </c>
      <c r="H10" s="190">
        <v>7423.0000000000009</v>
      </c>
      <c r="I10" s="141">
        <v>7797.49</v>
      </c>
      <c r="J10" s="60">
        <f t="shared" si="1"/>
        <v>1.0504499528492521</v>
      </c>
    </row>
    <row r="11" spans="1:11" ht="15" customHeight="1" x14ac:dyDescent="0.25">
      <c r="A11" s="164"/>
      <c r="B11" s="169" t="s">
        <v>42</v>
      </c>
      <c r="C11" s="177">
        <v>3090</v>
      </c>
      <c r="D11" s="173">
        <v>131.87</v>
      </c>
      <c r="E11" s="80">
        <f t="shared" si="0"/>
        <v>2.4012548363788928E-2</v>
      </c>
      <c r="F11" s="58" t="s">
        <v>57</v>
      </c>
      <c r="G11" s="59">
        <v>46040</v>
      </c>
      <c r="H11" s="190">
        <v>5054</v>
      </c>
      <c r="I11" s="141">
        <v>5491.7119999999995</v>
      </c>
      <c r="J11" s="60">
        <f t="shared" si="1"/>
        <v>1.0866070439256035</v>
      </c>
    </row>
    <row r="12" spans="1:11" ht="15" customHeight="1" x14ac:dyDescent="0.25">
      <c r="A12" s="164"/>
      <c r="B12" s="169" t="s">
        <v>196</v>
      </c>
      <c r="C12" s="177">
        <v>2520</v>
      </c>
      <c r="D12" s="173">
        <v>63.4</v>
      </c>
      <c r="E12" s="80">
        <f t="shared" si="0"/>
        <v>1.154466949468581E-2</v>
      </c>
      <c r="H12" s="139">
        <f>+SUM(H5:H11)</f>
        <v>56492</v>
      </c>
      <c r="I12" s="142">
        <f>+SUM(I5:I11)</f>
        <v>50328.491000000002</v>
      </c>
      <c r="J12" s="140">
        <f t="shared" si="1"/>
        <v>0.8908958967641436</v>
      </c>
    </row>
    <row r="13" spans="1:11" ht="15" customHeight="1" x14ac:dyDescent="0.25">
      <c r="A13" s="164"/>
      <c r="B13" s="169" t="s">
        <v>44</v>
      </c>
      <c r="C13" s="177">
        <v>64</v>
      </c>
      <c r="D13" s="173">
        <v>96.52</v>
      </c>
      <c r="E13" s="80">
        <f t="shared" si="0"/>
        <v>1.7575575703897072E-2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39</v>
      </c>
      <c r="C14" s="177">
        <v>525</v>
      </c>
      <c r="D14" s="173">
        <v>791.41</v>
      </c>
      <c r="E14" s="245">
        <f t="shared" si="0"/>
        <v>0.14410988777270184</v>
      </c>
      <c r="F14" s="112" t="s">
        <v>108</v>
      </c>
      <c r="G14" s="190">
        <v>204007.80300000001</v>
      </c>
      <c r="H14" s="190">
        <v>190629.128</v>
      </c>
      <c r="I14" s="190">
        <f>+D24</f>
        <v>122864.284</v>
      </c>
      <c r="J14" s="98">
        <f>+H14/G14</f>
        <v>0.93442076820953746</v>
      </c>
      <c r="K14" s="98">
        <f>+I14/H14</f>
        <v>0.64451999171920882</v>
      </c>
    </row>
    <row r="15" spans="1:11" ht="15" customHeight="1" x14ac:dyDescent="0.25">
      <c r="A15" s="164"/>
      <c r="B15" s="169" t="s">
        <v>43</v>
      </c>
      <c r="C15" s="177">
        <v>221</v>
      </c>
      <c r="D15" s="173">
        <v>333.37</v>
      </c>
      <c r="E15" s="80">
        <f t="shared" si="0"/>
        <v>6.0704202988066384E-2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ref="J15:K26" si="2">+H15/G15</f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49</v>
      </c>
      <c r="C16" s="177">
        <v>20</v>
      </c>
      <c r="D16" s="173">
        <v>30.16</v>
      </c>
      <c r="E16" s="80">
        <f t="shared" si="0"/>
        <v>5.4919121760208843E-3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45</v>
      </c>
      <c r="C17" s="177">
        <v>22</v>
      </c>
      <c r="D17" s="173">
        <v>33.18</v>
      </c>
      <c r="E17" s="80">
        <f t="shared" si="0"/>
        <v>6.0418317639380952E-3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41</v>
      </c>
      <c r="C18" s="177">
        <v>132</v>
      </c>
      <c r="D18" s="173">
        <v>198.76</v>
      </c>
      <c r="E18" s="80">
        <f t="shared" si="0"/>
        <v>3.61927209584188E-2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88</v>
      </c>
      <c r="C19" s="177"/>
      <c r="D19" s="173">
        <v>30.49</v>
      </c>
      <c r="E19" s="80">
        <f t="shared" si="0"/>
        <v>5.5520027270184596E-3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184</v>
      </c>
      <c r="C20" s="177"/>
      <c r="D20" s="173">
        <v>32.4</v>
      </c>
      <c r="E20" s="80">
        <f t="shared" si="0"/>
        <v>5.899799552489279E-3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394.22</v>
      </c>
      <c r="E21" s="80">
        <f t="shared" si="0"/>
        <v>7.1784536406861846E-2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thickBot="1" x14ac:dyDescent="0.3">
      <c r="A22" s="164"/>
      <c r="B22" s="169" t="s">
        <v>9</v>
      </c>
      <c r="C22" s="177"/>
      <c r="D22" s="173">
        <v>61.2</v>
      </c>
      <c r="E22" s="80">
        <f t="shared" si="0"/>
        <v>1.1144065821368638E-2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B23" s="178" t="s">
        <v>0</v>
      </c>
      <c r="C23" s="170"/>
      <c r="D23" s="171">
        <f>SUM(D5:D22)</f>
        <v>5491.7119999999995</v>
      </c>
      <c r="E23" s="80">
        <f t="shared" si="0"/>
        <v>1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B24" s="166" t="s">
        <v>1</v>
      </c>
      <c r="C24" s="167"/>
      <c r="D24" s="233">
        <v>122864.284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122864.284</v>
      </c>
      <c r="J26" s="378">
        <f t="shared" si="2"/>
        <v>1.0267879425243049</v>
      </c>
      <c r="K26" s="378">
        <f t="shared" si="2"/>
        <v>4.6969326270775838E-2</v>
      </c>
    </row>
    <row r="27" spans="1:11" ht="15" customHeight="1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9.5" thickBot="1" x14ac:dyDescent="0.3">
      <c r="E28" s="313">
        <f>+D24/H2</f>
        <v>0.59403826645147317</v>
      </c>
      <c r="F28" s="179"/>
      <c r="G28" s="179"/>
      <c r="J28" s="179"/>
    </row>
    <row r="29" spans="1:11" x14ac:dyDescent="0.25">
      <c r="D29" s="108">
        <f>+(H2/31)*18</f>
        <v>120094.20272898831</v>
      </c>
      <c r="E29" s="314">
        <f>+D29/H2</f>
        <v>0.58064516129032262</v>
      </c>
      <c r="F29" s="352"/>
    </row>
    <row r="30" spans="1:11" x14ac:dyDescent="0.25">
      <c r="D30" s="183">
        <f>+D24-D29</f>
        <v>2770.0812710116879</v>
      </c>
      <c r="E30" s="99">
        <f>E28-E29</f>
        <v>1.3393105161150554E-2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118</v>
      </c>
      <c r="D33" s="108">
        <v>2142</v>
      </c>
      <c r="E33" s="57">
        <f>+C33/D33</f>
        <v>5.5088702147525676E-2</v>
      </c>
      <c r="G33" s="86" t="s">
        <v>86</v>
      </c>
      <c r="H33" s="87">
        <v>10007</v>
      </c>
      <c r="I33" s="88">
        <f>+H33*0.025</f>
        <v>250.17500000000001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1162</v>
      </c>
      <c r="D34" s="108">
        <v>1890</v>
      </c>
      <c r="E34" s="57">
        <f>+C34/D34</f>
        <v>0.61481481481481481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ht="15" customHeight="1" x14ac:dyDescent="0.25">
      <c r="B35" s="162" t="s">
        <v>63</v>
      </c>
      <c r="C35" s="67">
        <v>277</v>
      </c>
      <c r="D35" s="108">
        <v>3006</v>
      </c>
      <c r="E35" s="57">
        <f>+C35/D35</f>
        <v>9.2149035262807724E-2</v>
      </c>
      <c r="G35" s="89" t="s">
        <v>169</v>
      </c>
      <c r="H35" s="87">
        <v>339</v>
      </c>
      <c r="I35" s="88">
        <f>+H35*1.5</f>
        <v>508.5</v>
      </c>
      <c r="J35" s="298">
        <f>+I35+I33</f>
        <v>758.67499999999995</v>
      </c>
    </row>
    <row r="36" spans="1:11" x14ac:dyDescent="0.25">
      <c r="C36" s="162">
        <f>+SUM(C33:C35)</f>
        <v>1557</v>
      </c>
      <c r="D36" s="110">
        <f>+SUM(D33:D35)</f>
        <v>7038</v>
      </c>
      <c r="E36" s="57">
        <f>+C36/D36</f>
        <v>0.22122762148337596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30</v>
      </c>
      <c r="C40" s="74">
        <v>0</v>
      </c>
      <c r="D40" s="74">
        <v>9</v>
      </c>
      <c r="E40" s="75">
        <f>+SUM(B40:D40)</f>
        <v>39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2.5299999999999998</v>
      </c>
      <c r="C44" s="199">
        <v>2081</v>
      </c>
      <c r="D44" s="200">
        <v>3600</v>
      </c>
      <c r="E44" s="201">
        <f t="shared" si="3"/>
        <v>0.57805555555555554</v>
      </c>
      <c r="F44" s="201">
        <f t="shared" si="4"/>
        <v>0.10541666666666666</v>
      </c>
      <c r="G44" s="202">
        <v>12</v>
      </c>
      <c r="H44" s="71"/>
    </row>
    <row r="45" spans="1:11" x14ac:dyDescent="0.25">
      <c r="A45" s="207" t="s">
        <v>72</v>
      </c>
      <c r="B45" s="199">
        <v>11.83</v>
      </c>
      <c r="C45" s="199">
        <v>1485</v>
      </c>
      <c r="D45" s="200">
        <v>3900</v>
      </c>
      <c r="E45" s="201">
        <f t="shared" si="3"/>
        <v>0.38076923076923075</v>
      </c>
      <c r="F45" s="201">
        <f t="shared" si="4"/>
        <v>0.49291666666666667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7.22</v>
      </c>
      <c r="C46" s="199">
        <v>2299</v>
      </c>
      <c r="D46" s="200">
        <v>3900</v>
      </c>
      <c r="E46" s="201">
        <f t="shared" si="3"/>
        <v>0.58948717948717944</v>
      </c>
      <c r="F46" s="201">
        <f t="shared" si="4"/>
        <v>0.30083333333333334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2</v>
      </c>
      <c r="C47" s="199">
        <v>2225</v>
      </c>
      <c r="D47" s="200">
        <v>3900</v>
      </c>
      <c r="E47" s="201">
        <f t="shared" si="3"/>
        <v>0.57051282051282048</v>
      </c>
      <c r="F47" s="201">
        <f t="shared" si="4"/>
        <v>8.3333333333333329E-2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5.5</v>
      </c>
      <c r="C48" s="261">
        <v>2545</v>
      </c>
      <c r="D48" s="262">
        <v>4300</v>
      </c>
      <c r="E48" s="263">
        <f t="shared" si="3"/>
        <v>0.5918604651162791</v>
      </c>
      <c r="F48" s="201">
        <f t="shared" si="4"/>
        <v>0.22916666666666666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29.08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 t="s">
        <v>153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 t="s">
        <v>153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225" t="s">
        <v>153</v>
      </c>
      <c r="H53" s="301">
        <v>46029</v>
      </c>
      <c r="I53" s="129" t="s">
        <v>175</v>
      </c>
      <c r="J53" s="162">
        <v>93</v>
      </c>
      <c r="K53" s="318">
        <f t="shared" ref="K53:K59" si="5">+J53*1.5</f>
        <v>139.5</v>
      </c>
    </row>
    <row r="54" spans="2:11" x14ac:dyDescent="0.25">
      <c r="C54" s="71">
        <v>4</v>
      </c>
      <c r="D54" s="108">
        <v>0</v>
      </c>
      <c r="H54" s="301">
        <v>46029</v>
      </c>
      <c r="I54" s="129" t="s">
        <v>176</v>
      </c>
      <c r="J54" s="162">
        <v>99</v>
      </c>
      <c r="K54" s="318">
        <f t="shared" si="5"/>
        <v>148.5</v>
      </c>
    </row>
    <row r="55" spans="2:11" x14ac:dyDescent="0.25">
      <c r="C55" s="71">
        <v>5</v>
      </c>
      <c r="D55" s="108">
        <v>7</v>
      </c>
      <c r="H55" s="301">
        <v>46036</v>
      </c>
      <c r="I55" s="129" t="s">
        <v>175</v>
      </c>
      <c r="J55" s="162">
        <v>50</v>
      </c>
      <c r="K55" s="318">
        <f t="shared" si="5"/>
        <v>75</v>
      </c>
    </row>
    <row r="56" spans="2:11" x14ac:dyDescent="0.25">
      <c r="C56" s="71">
        <v>6</v>
      </c>
      <c r="D56" s="108">
        <v>0</v>
      </c>
      <c r="H56" s="301">
        <v>46036</v>
      </c>
      <c r="I56" s="129" t="s">
        <v>176</v>
      </c>
      <c r="J56" s="162">
        <v>105</v>
      </c>
      <c r="K56" s="318">
        <f t="shared" si="5"/>
        <v>157.5</v>
      </c>
    </row>
    <row r="57" spans="2:11" x14ac:dyDescent="0.25">
      <c r="C57" s="71">
        <v>7</v>
      </c>
      <c r="D57" s="225" t="s">
        <v>153</v>
      </c>
      <c r="H57" s="301">
        <v>46037</v>
      </c>
      <c r="I57" s="129" t="s">
        <v>175</v>
      </c>
      <c r="J57" s="162">
        <v>30</v>
      </c>
      <c r="K57" s="162">
        <f t="shared" si="5"/>
        <v>45</v>
      </c>
    </row>
    <row r="58" spans="2:11" x14ac:dyDescent="0.25">
      <c r="C58" s="71">
        <v>8</v>
      </c>
      <c r="D58" s="108">
        <v>0</v>
      </c>
      <c r="H58" s="301">
        <v>46040</v>
      </c>
      <c r="I58" s="129" t="s">
        <v>175</v>
      </c>
      <c r="J58" s="162">
        <v>46</v>
      </c>
      <c r="K58" s="162">
        <f t="shared" si="5"/>
        <v>69</v>
      </c>
    </row>
    <row r="59" spans="2:11" x14ac:dyDescent="0.25">
      <c r="H59" s="359" t="s">
        <v>249</v>
      </c>
      <c r="I59" s="345"/>
      <c r="J59" s="199">
        <f>+J58</f>
        <v>46</v>
      </c>
      <c r="K59" s="346">
        <f t="shared" si="5"/>
        <v>69</v>
      </c>
    </row>
    <row r="60" spans="2:11" x14ac:dyDescent="0.25">
      <c r="B60" s="364" t="s">
        <v>231</v>
      </c>
      <c r="C60" s="199">
        <v>1686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45970</v>
      </c>
      <c r="I61" s="129" t="s">
        <v>176</v>
      </c>
      <c r="J61" s="162">
        <v>3367</v>
      </c>
      <c r="K61" s="318">
        <v>84.175000000000011</v>
      </c>
    </row>
    <row r="62" spans="2:11" x14ac:dyDescent="0.25">
      <c r="H62" s="301">
        <v>45984</v>
      </c>
      <c r="I62" s="129" t="s">
        <v>175</v>
      </c>
      <c r="J62" s="162">
        <v>6792</v>
      </c>
      <c r="K62" s="318">
        <v>169.8</v>
      </c>
    </row>
    <row r="63" spans="2:11" x14ac:dyDescent="0.25">
      <c r="H63" s="301">
        <v>46006</v>
      </c>
      <c r="I63" s="129" t="s">
        <v>175</v>
      </c>
      <c r="J63" s="162">
        <v>5733</v>
      </c>
      <c r="K63" s="318">
        <v>143.32500000000002</v>
      </c>
    </row>
    <row r="64" spans="2:11" x14ac:dyDescent="0.25">
      <c r="H64" s="301">
        <v>46008</v>
      </c>
      <c r="I64" s="129" t="s">
        <v>176</v>
      </c>
      <c r="J64" s="162">
        <v>2482</v>
      </c>
      <c r="K64" s="318">
        <v>62.050000000000004</v>
      </c>
    </row>
    <row r="65" spans="2:11" x14ac:dyDescent="0.25">
      <c r="B65" s="66"/>
      <c r="C65" s="391"/>
      <c r="D65" s="391"/>
      <c r="H65" s="301">
        <v>46012</v>
      </c>
      <c r="I65" s="129" t="s">
        <v>175</v>
      </c>
      <c r="J65" s="162">
        <v>6042</v>
      </c>
      <c r="K65" s="318">
        <v>151.05000000000001</v>
      </c>
    </row>
    <row r="66" spans="2:11" x14ac:dyDescent="0.25">
      <c r="C66" s="389"/>
      <c r="H66" s="301"/>
      <c r="I66" s="129"/>
      <c r="K66" s="318"/>
    </row>
    <row r="67" spans="2:11" x14ac:dyDescent="0.25">
      <c r="C67" s="389"/>
      <c r="H67" s="359" t="s">
        <v>232</v>
      </c>
      <c r="I67" s="345"/>
      <c r="J67" s="200">
        <v>6042</v>
      </c>
      <c r="K67" s="346">
        <v>151.05000000000001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C71" s="162" t="s">
        <v>246</v>
      </c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C72" s="162" t="s">
        <v>247</v>
      </c>
      <c r="H72" s="301">
        <v>46032</v>
      </c>
      <c r="I72" s="129" t="s">
        <v>175</v>
      </c>
      <c r="J72" s="68">
        <v>22</v>
      </c>
      <c r="K72" s="318">
        <f>+J72*1.5</f>
        <v>33</v>
      </c>
    </row>
    <row r="73" spans="2:11" x14ac:dyDescent="0.25">
      <c r="C73" s="162" t="s">
        <v>248</v>
      </c>
      <c r="H73" s="301">
        <v>46032</v>
      </c>
      <c r="I73" s="129" t="s">
        <v>176</v>
      </c>
      <c r="J73" s="68">
        <v>166</v>
      </c>
      <c r="K73" s="318">
        <f>+J73*1.5</f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>+J74*1.5</f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>+J75*1.5</f>
        <v>181.5</v>
      </c>
    </row>
    <row r="76" spans="2:11" x14ac:dyDescent="0.25">
      <c r="H76" s="301"/>
      <c r="I76" s="129"/>
      <c r="K76" s="318"/>
    </row>
    <row r="79" spans="2:11" x14ac:dyDescent="0.25">
      <c r="H79" s="344"/>
      <c r="I79" s="345"/>
      <c r="J79" s="200">
        <f>+J73+J72+J74+J75</f>
        <v>519</v>
      </c>
      <c r="K79" s="346">
        <f>+J79*1.5</f>
        <v>778.5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26" workbookViewId="0">
      <selection activeCell="A29" sqref="A29:K7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9.7109375" style="162" customWidth="1"/>
    <col min="6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</row>
    <row r="4" spans="1:11" ht="19.5" customHeight="1" thickBot="1" x14ac:dyDescent="0.4">
      <c r="A4" s="164"/>
      <c r="B4" s="394"/>
      <c r="C4" s="394"/>
      <c r="D4" s="165">
        <f>D24</f>
        <v>7074.4740000000002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2260</v>
      </c>
      <c r="D5" s="172">
        <v>96.397999999999996</v>
      </c>
      <c r="E5" s="80">
        <f t="shared" ref="E5:E23" si="0">+D5/$D$4</f>
        <v>1.362617206593734E-2</v>
      </c>
      <c r="F5" s="58" t="s">
        <v>51</v>
      </c>
      <c r="G5" s="59">
        <v>46041</v>
      </c>
      <c r="H5" s="190">
        <v>7397.0000000000009</v>
      </c>
      <c r="I5" s="141"/>
      <c r="J5" s="60">
        <f t="shared" ref="J5:J12" si="1">+I5/H5</f>
        <v>0</v>
      </c>
    </row>
    <row r="6" spans="1:11" ht="15" customHeight="1" x14ac:dyDescent="0.25">
      <c r="A6" s="164"/>
      <c r="B6" s="169" t="s">
        <v>10</v>
      </c>
      <c r="C6" s="177">
        <v>4039</v>
      </c>
      <c r="D6" s="173">
        <v>172.16200000000001</v>
      </c>
      <c r="E6" s="80">
        <f t="shared" si="0"/>
        <v>2.4335660856199346E-2</v>
      </c>
      <c r="F6" s="58" t="s">
        <v>52</v>
      </c>
      <c r="G6" s="59">
        <v>46042</v>
      </c>
      <c r="H6" s="190">
        <v>9573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26856</v>
      </c>
      <c r="D7" s="173">
        <v>1143.894</v>
      </c>
      <c r="E7" s="245">
        <f t="shared" si="0"/>
        <v>0.16169315202798115</v>
      </c>
      <c r="F7" s="58" t="s">
        <v>53</v>
      </c>
      <c r="G7" s="59">
        <v>46043</v>
      </c>
      <c r="H7" s="190">
        <v>9300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</v>
      </c>
      <c r="C8" s="177">
        <v>2305</v>
      </c>
      <c r="D8" s="173">
        <v>98.1</v>
      </c>
      <c r="E8" s="80">
        <f t="shared" si="0"/>
        <v>1.3866755323434645E-2</v>
      </c>
      <c r="F8" s="58" t="s">
        <v>54</v>
      </c>
      <c r="G8" s="59">
        <v>46044</v>
      </c>
      <c r="H8" s="190">
        <v>9024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28711</v>
      </c>
      <c r="D9" s="173">
        <v>1225.546</v>
      </c>
      <c r="E9" s="245">
        <f t="shared" si="0"/>
        <v>0.17323492884417979</v>
      </c>
      <c r="F9" s="58" t="s">
        <v>55</v>
      </c>
      <c r="G9" s="59">
        <v>46045</v>
      </c>
      <c r="H9" s="190">
        <v>9053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38416</v>
      </c>
      <c r="D10" s="173">
        <v>1639.646</v>
      </c>
      <c r="E10" s="245">
        <f t="shared" si="0"/>
        <v>0.23176931599437639</v>
      </c>
      <c r="F10" s="58" t="s">
        <v>56</v>
      </c>
      <c r="G10" s="59">
        <v>46046</v>
      </c>
      <c r="H10" s="190">
        <v>7741.0000000000009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14825</v>
      </c>
      <c r="D11" s="173">
        <v>632.43600000000004</v>
      </c>
      <c r="E11" s="80">
        <f t="shared" si="0"/>
        <v>8.9396893677183634E-2</v>
      </c>
      <c r="F11" s="58" t="s">
        <v>57</v>
      </c>
      <c r="G11" s="59">
        <v>46047</v>
      </c>
      <c r="H11" s="190">
        <v>5563.0000000000009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196</v>
      </c>
      <c r="C12" s="177">
        <v>9432</v>
      </c>
      <c r="D12" s="173">
        <v>237.56</v>
      </c>
      <c r="E12" s="80">
        <f t="shared" si="0"/>
        <v>3.3579881698625226E-2</v>
      </c>
      <c r="H12" s="139">
        <f>+SUM(H5:H11)</f>
        <v>57651</v>
      </c>
      <c r="I12" s="142">
        <f>+SUM(I5:I11)</f>
        <v>0</v>
      </c>
      <c r="J12" s="140">
        <f t="shared" si="1"/>
        <v>0</v>
      </c>
    </row>
    <row r="13" spans="1:11" ht="15" customHeight="1" x14ac:dyDescent="0.25">
      <c r="A13" s="164"/>
      <c r="B13" s="169" t="s">
        <v>95</v>
      </c>
      <c r="C13" s="177">
        <v>1177</v>
      </c>
      <c r="D13" s="173">
        <v>29.891999999999999</v>
      </c>
      <c r="E13" s="80">
        <f t="shared" si="0"/>
        <v>4.2253318055872425E-3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44</v>
      </c>
      <c r="C14" s="177">
        <v>20</v>
      </c>
      <c r="D14" s="173">
        <v>30.18</v>
      </c>
      <c r="E14" s="245">
        <f t="shared" si="0"/>
        <v>4.266041545986316E-3</v>
      </c>
      <c r="F14" s="112" t="s">
        <v>108</v>
      </c>
      <c r="G14" s="190">
        <v>204007.80300000001</v>
      </c>
      <c r="H14" s="190">
        <v>190629.128</v>
      </c>
      <c r="I14" s="190">
        <f>+D25</f>
        <v>129971.96799999999</v>
      </c>
      <c r="J14" s="98">
        <f>+H14/G14</f>
        <v>0.93442076820953746</v>
      </c>
      <c r="K14" s="98">
        <f>+I14/H14</f>
        <v>0.6818053954482759</v>
      </c>
    </row>
    <row r="15" spans="1:11" ht="15" customHeight="1" x14ac:dyDescent="0.25">
      <c r="A15" s="164"/>
      <c r="B15" s="169" t="s">
        <v>39</v>
      </c>
      <c r="C15" s="177">
        <v>440</v>
      </c>
      <c r="D15" s="173">
        <v>663.42</v>
      </c>
      <c r="E15" s="80">
        <f t="shared" si="0"/>
        <v>9.3776583248450687E-2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ref="J15:K26" si="2">+H15/G15</f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43</v>
      </c>
      <c r="C16" s="177">
        <v>290</v>
      </c>
      <c r="D16" s="173">
        <v>437.07</v>
      </c>
      <c r="E16" s="80">
        <f t="shared" si="0"/>
        <v>6.1781271653553321E-2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49</v>
      </c>
      <c r="C17" s="177">
        <v>22</v>
      </c>
      <c r="D17" s="173">
        <v>33.08</v>
      </c>
      <c r="E17" s="80">
        <f t="shared" si="0"/>
        <v>4.6759660152825497E-3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45</v>
      </c>
      <c r="C18" s="177"/>
      <c r="D18" s="173"/>
      <c r="E18" s="80">
        <f t="shared" si="0"/>
        <v>0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41</v>
      </c>
      <c r="C19" s="177">
        <v>177</v>
      </c>
      <c r="D19" s="173">
        <v>266.25</v>
      </c>
      <c r="E19" s="80">
        <f t="shared" si="0"/>
        <v>3.7635306879352445E-2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88</v>
      </c>
      <c r="C20" s="177"/>
      <c r="D20" s="173"/>
      <c r="E20" s="80">
        <f t="shared" si="0"/>
        <v>0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46</v>
      </c>
      <c r="C21" s="177"/>
      <c r="D21" s="173">
        <v>32.58</v>
      </c>
      <c r="E21" s="80">
        <f t="shared" si="0"/>
        <v>4.6052893826452673E-3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40</v>
      </c>
      <c r="C22" s="177"/>
      <c r="D22" s="173">
        <v>274.67</v>
      </c>
      <c r="E22" s="80">
        <f t="shared" si="0"/>
        <v>3.8825501372964269E-2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A23" s="164"/>
      <c r="B23" s="169" t="s">
        <v>9</v>
      </c>
      <c r="C23" s="177"/>
      <c r="D23" s="173">
        <v>61.59</v>
      </c>
      <c r="E23" s="80">
        <f t="shared" si="0"/>
        <v>8.7059476082603452E-3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B24" s="178" t="s">
        <v>0</v>
      </c>
      <c r="C24" s="170"/>
      <c r="D24" s="171">
        <f>SUM(D5:D23)</f>
        <v>7074.4740000000002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B25" s="166" t="s">
        <v>1</v>
      </c>
      <c r="C25" s="167"/>
      <c r="D25" s="233">
        <v>129971.96799999999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129971.96799999999</v>
      </c>
      <c r="J26" s="378">
        <f t="shared" si="2"/>
        <v>1.0267879425243049</v>
      </c>
      <c r="K26" s="378">
        <f t="shared" si="2"/>
        <v>4.9686496126464516E-2</v>
      </c>
    </row>
    <row r="27" spans="1:11" ht="15" customHeight="1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5" customHeight="1" thickBot="1" x14ac:dyDescent="0.3">
      <c r="E28" s="313">
        <f>+D25/H2</f>
        <v>0.62840330846681491</v>
      </c>
      <c r="F28" s="179"/>
      <c r="G28" s="179"/>
      <c r="J28" s="179"/>
    </row>
    <row r="29" spans="1:11" x14ac:dyDescent="0.25">
      <c r="D29" s="108">
        <f>+(H2/31)*19</f>
        <v>126766.10288059877</v>
      </c>
      <c r="E29" s="314">
        <f>+D29/H2</f>
        <v>0.61290322580645162</v>
      </c>
      <c r="F29" s="352"/>
    </row>
    <row r="30" spans="1:11" x14ac:dyDescent="0.25">
      <c r="D30" s="183">
        <f>+D25-D29</f>
        <v>3205.86511940122</v>
      </c>
      <c r="E30" s="99">
        <f>E28-E29</f>
        <v>1.550008266036329E-2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180</v>
      </c>
      <c r="D33" s="108">
        <v>2142</v>
      </c>
      <c r="E33" s="57">
        <f>+C33/D33</f>
        <v>8.4033613445378158E-2</v>
      </c>
      <c r="G33" s="86" t="s">
        <v>86</v>
      </c>
      <c r="H33" s="87">
        <v>8807</v>
      </c>
      <c r="I33" s="88">
        <f>+H33*0.025</f>
        <v>220.17500000000001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1036</v>
      </c>
      <c r="D34" s="108">
        <v>1890</v>
      </c>
      <c r="E34" s="57">
        <f>+C34/D34</f>
        <v>0.54814814814814816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ht="15" customHeight="1" x14ac:dyDescent="0.25">
      <c r="B35" s="162" t="s">
        <v>63</v>
      </c>
      <c r="C35" s="67">
        <v>412</v>
      </c>
      <c r="D35" s="108">
        <v>3006</v>
      </c>
      <c r="E35" s="57">
        <f>+C35/D35</f>
        <v>0.13705921490352629</v>
      </c>
      <c r="G35" s="89" t="s">
        <v>169</v>
      </c>
      <c r="H35" s="87">
        <v>319</v>
      </c>
      <c r="I35" s="88">
        <f>+H35*1.5</f>
        <v>478.5</v>
      </c>
      <c r="J35" s="298">
        <f>+I35+I33</f>
        <v>698.67499999999995</v>
      </c>
    </row>
    <row r="36" spans="1:11" ht="15" customHeight="1" x14ac:dyDescent="0.25">
      <c r="C36" s="162">
        <f>+SUM(C33:C35)</f>
        <v>1628</v>
      </c>
      <c r="D36" s="110">
        <f>+SUM(D33:D35)</f>
        <v>7038</v>
      </c>
      <c r="E36" s="57">
        <f>+C36/D36</f>
        <v>0.23131571469167378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56</v>
      </c>
      <c r="C40" s="74">
        <v>5</v>
      </c>
      <c r="D40" s="74">
        <v>7</v>
      </c>
      <c r="E40" s="75">
        <f>+SUM(B40:D40)</f>
        <v>68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7.12</v>
      </c>
      <c r="C44" s="199">
        <v>2306</v>
      </c>
      <c r="D44" s="200">
        <v>3600</v>
      </c>
      <c r="E44" s="201">
        <f t="shared" si="3"/>
        <v>0.64055555555555554</v>
      </c>
      <c r="F44" s="201">
        <f t="shared" si="4"/>
        <v>0.29666666666666669</v>
      </c>
      <c r="G44" s="202">
        <v>12</v>
      </c>
      <c r="H44" s="71"/>
    </row>
    <row r="45" spans="1:11" x14ac:dyDescent="0.25">
      <c r="A45" s="207" t="s">
        <v>72</v>
      </c>
      <c r="B45" s="199">
        <v>7.94</v>
      </c>
      <c r="C45" s="199">
        <v>1793</v>
      </c>
      <c r="D45" s="200">
        <v>3900</v>
      </c>
      <c r="E45" s="201">
        <f t="shared" si="3"/>
        <v>0.45974358974358975</v>
      </c>
      <c r="F45" s="201">
        <f t="shared" si="4"/>
        <v>0.33083333333333337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7.33</v>
      </c>
      <c r="C46" s="199">
        <v>3042</v>
      </c>
      <c r="D46" s="200">
        <v>3900</v>
      </c>
      <c r="E46" s="201">
        <f t="shared" si="3"/>
        <v>0.78</v>
      </c>
      <c r="F46" s="201">
        <f t="shared" si="4"/>
        <v>0.30541666666666667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12.11</v>
      </c>
      <c r="C47" s="199">
        <v>2306</v>
      </c>
      <c r="D47" s="200">
        <v>3900</v>
      </c>
      <c r="E47" s="201">
        <f t="shared" si="3"/>
        <v>0.59128205128205125</v>
      </c>
      <c r="F47" s="201">
        <f t="shared" si="4"/>
        <v>0.50458333333333327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15.09</v>
      </c>
      <c r="C48" s="261">
        <v>1813</v>
      </c>
      <c r="D48" s="262">
        <v>4300</v>
      </c>
      <c r="E48" s="263">
        <f t="shared" si="3"/>
        <v>0.42162790697674418</v>
      </c>
      <c r="F48" s="201">
        <f t="shared" si="4"/>
        <v>0.62875000000000003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49.59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108">
        <v>3</v>
      </c>
      <c r="E53" s="225" t="s">
        <v>250</v>
      </c>
      <c r="H53" s="301">
        <v>46029</v>
      </c>
      <c r="I53" s="129" t="s">
        <v>175</v>
      </c>
      <c r="J53" s="162">
        <v>93</v>
      </c>
      <c r="K53" s="318">
        <f t="shared" ref="K53:K59" si="5">+J53*1.5</f>
        <v>139.5</v>
      </c>
    </row>
    <row r="54" spans="2:11" x14ac:dyDescent="0.25">
      <c r="C54" s="71">
        <v>4</v>
      </c>
      <c r="D54" s="108">
        <v>0</v>
      </c>
      <c r="H54" s="301">
        <v>46029</v>
      </c>
      <c r="I54" s="129" t="s">
        <v>176</v>
      </c>
      <c r="J54" s="162">
        <v>99</v>
      </c>
      <c r="K54" s="318">
        <f t="shared" si="5"/>
        <v>148.5</v>
      </c>
    </row>
    <row r="55" spans="2:11" x14ac:dyDescent="0.25">
      <c r="C55" s="71">
        <v>5</v>
      </c>
      <c r="D55" s="108">
        <v>15</v>
      </c>
      <c r="H55" s="301">
        <v>46036</v>
      </c>
      <c r="I55" s="129" t="s">
        <v>175</v>
      </c>
      <c r="J55" s="162">
        <v>50</v>
      </c>
      <c r="K55" s="318">
        <f t="shared" si="5"/>
        <v>75</v>
      </c>
    </row>
    <row r="56" spans="2:11" x14ac:dyDescent="0.25">
      <c r="C56" s="71">
        <v>6</v>
      </c>
      <c r="D56" s="108">
        <v>0</v>
      </c>
      <c r="H56" s="301">
        <v>46036</v>
      </c>
      <c r="I56" s="129" t="s">
        <v>176</v>
      </c>
      <c r="J56" s="162">
        <v>105</v>
      </c>
      <c r="K56" s="318">
        <f t="shared" si="5"/>
        <v>157.5</v>
      </c>
    </row>
    <row r="57" spans="2:11" x14ac:dyDescent="0.25">
      <c r="C57" s="71">
        <v>7</v>
      </c>
      <c r="D57" s="225">
        <v>0</v>
      </c>
      <c r="E57" s="225" t="s">
        <v>250</v>
      </c>
      <c r="H57" s="301">
        <v>46037</v>
      </c>
      <c r="I57" s="129" t="s">
        <v>175</v>
      </c>
      <c r="J57" s="162">
        <v>30</v>
      </c>
      <c r="K57" s="162">
        <f t="shared" si="5"/>
        <v>45</v>
      </c>
    </row>
    <row r="58" spans="2:11" x14ac:dyDescent="0.25">
      <c r="C58" s="71">
        <v>8</v>
      </c>
      <c r="D58" s="108">
        <v>0</v>
      </c>
      <c r="H58" s="301">
        <v>46040</v>
      </c>
      <c r="I58" s="129" t="s">
        <v>175</v>
      </c>
      <c r="J58" s="162">
        <v>46</v>
      </c>
      <c r="K58" s="162">
        <f t="shared" si="5"/>
        <v>69</v>
      </c>
    </row>
    <row r="59" spans="2:11" x14ac:dyDescent="0.25">
      <c r="H59" s="359" t="s">
        <v>249</v>
      </c>
      <c r="I59" s="345"/>
      <c r="J59" s="199">
        <f>+J58</f>
        <v>46</v>
      </c>
      <c r="K59" s="346">
        <f t="shared" si="5"/>
        <v>69</v>
      </c>
    </row>
    <row r="60" spans="2:11" x14ac:dyDescent="0.25">
      <c r="B60" s="364" t="s">
        <v>231</v>
      </c>
      <c r="C60" s="199">
        <v>2351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45970</v>
      </c>
      <c r="I61" s="129" t="s">
        <v>176</v>
      </c>
      <c r="J61" s="162">
        <v>3367</v>
      </c>
      <c r="K61" s="318">
        <v>84.175000000000011</v>
      </c>
    </row>
    <row r="62" spans="2:11" x14ac:dyDescent="0.25">
      <c r="H62" s="301">
        <v>45984</v>
      </c>
      <c r="I62" s="129" t="s">
        <v>175</v>
      </c>
      <c r="J62" s="162">
        <v>6792</v>
      </c>
      <c r="K62" s="318">
        <v>169.8</v>
      </c>
    </row>
    <row r="63" spans="2:11" x14ac:dyDescent="0.25">
      <c r="H63" s="301">
        <v>46006</v>
      </c>
      <c r="I63" s="129" t="s">
        <v>175</v>
      </c>
      <c r="J63" s="162">
        <v>5733</v>
      </c>
      <c r="K63" s="318">
        <v>143.32500000000002</v>
      </c>
    </row>
    <row r="64" spans="2:11" x14ac:dyDescent="0.25">
      <c r="H64" s="301">
        <v>46008</v>
      </c>
      <c r="I64" s="129" t="s">
        <v>176</v>
      </c>
      <c r="J64" s="162">
        <v>2482</v>
      </c>
      <c r="K64" s="318">
        <v>62.050000000000004</v>
      </c>
    </row>
    <row r="65" spans="2:11" x14ac:dyDescent="0.25">
      <c r="B65" s="66"/>
      <c r="C65" s="391"/>
      <c r="D65" s="391"/>
      <c r="H65" s="301">
        <v>46012</v>
      </c>
      <c r="I65" s="129" t="s">
        <v>175</v>
      </c>
      <c r="J65" s="162">
        <v>6042</v>
      </c>
      <c r="K65" s="318">
        <v>151.05000000000001</v>
      </c>
    </row>
    <row r="66" spans="2:11" x14ac:dyDescent="0.25">
      <c r="C66" s="389"/>
      <c r="H66" s="301"/>
      <c r="I66" s="129"/>
      <c r="K66" s="318"/>
    </row>
    <row r="67" spans="2:11" x14ac:dyDescent="0.25">
      <c r="C67" s="389"/>
      <c r="H67" s="359" t="s">
        <v>232</v>
      </c>
      <c r="I67" s="345"/>
      <c r="J67" s="200">
        <v>6042</v>
      </c>
      <c r="K67" s="346">
        <v>151.05000000000001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C71" s="162" t="s">
        <v>246</v>
      </c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C72" s="162" t="s">
        <v>247</v>
      </c>
      <c r="H72" s="301">
        <v>46032</v>
      </c>
      <c r="I72" s="129" t="s">
        <v>175</v>
      </c>
      <c r="J72" s="68">
        <v>22</v>
      </c>
      <c r="K72" s="318">
        <f>+J72*1.5</f>
        <v>33</v>
      </c>
    </row>
    <row r="73" spans="2:11" x14ac:dyDescent="0.25">
      <c r="C73" s="162" t="s">
        <v>248</v>
      </c>
      <c r="H73" s="301">
        <v>46032</v>
      </c>
      <c r="I73" s="129" t="s">
        <v>176</v>
      </c>
      <c r="J73" s="68">
        <v>166</v>
      </c>
      <c r="K73" s="318">
        <f>+J73*1.5</f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>+J74*1.5</f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>+J75*1.5</f>
        <v>181.5</v>
      </c>
    </row>
    <row r="76" spans="2:11" x14ac:dyDescent="0.25">
      <c r="H76" s="301"/>
      <c r="I76" s="129"/>
      <c r="K76" s="318"/>
    </row>
    <row r="79" spans="2:11" x14ac:dyDescent="0.25">
      <c r="H79" s="344"/>
      <c r="I79" s="345"/>
      <c r="J79" s="200">
        <f>+J73+J72+J74+J75</f>
        <v>519</v>
      </c>
      <c r="K79" s="346">
        <f>+J79*1.5</f>
        <v>778.5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62" workbookViewId="0">
      <selection activeCell="A29" sqref="A29:K79"/>
    </sheetView>
  </sheetViews>
  <sheetFormatPr baseColWidth="10" defaultColWidth="11.42578125" defaultRowHeight="15.75" x14ac:dyDescent="0.25"/>
  <cols>
    <col min="1" max="1" width="2.42578125" style="162" customWidth="1"/>
    <col min="2" max="2" width="43.28515625" style="162" customWidth="1"/>
    <col min="3" max="3" width="13.28515625" style="162" customWidth="1"/>
    <col min="4" max="4" width="14.5703125" style="163" customWidth="1"/>
    <col min="5" max="5" width="14.5703125" style="162" customWidth="1"/>
    <col min="6" max="6" width="15.85546875" style="162" customWidth="1"/>
    <col min="7" max="7" width="14.140625" style="162" customWidth="1"/>
    <col min="8" max="10" width="11.42578125" style="162"/>
    <col min="11" max="11" width="10.5703125" style="162" bestFit="1" customWidth="1"/>
    <col min="12" max="16384" width="11.42578125" style="162"/>
  </cols>
  <sheetData>
    <row r="1" spans="1:11" ht="15" customHeight="1" x14ac:dyDescent="0.25">
      <c r="A1" s="161"/>
      <c r="B1" s="518">
        <v>46043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19.5" customHeight="1" thickBot="1" x14ac:dyDescent="0.4">
      <c r="A4" s="164"/>
      <c r="B4" s="395"/>
      <c r="C4" s="395"/>
      <c r="D4" s="165">
        <f>D24</f>
        <v>7597.2840000000015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4765</v>
      </c>
      <c r="D5" s="172">
        <v>203.154</v>
      </c>
      <c r="E5" s="80">
        <f t="shared" ref="E5:E23" si="0">+D5/$D$4</f>
        <v>2.6740345628779964E-2</v>
      </c>
      <c r="F5" s="58" t="s">
        <v>51</v>
      </c>
      <c r="G5" s="59">
        <v>46041</v>
      </c>
      <c r="H5" s="190">
        <v>7397.0000000000009</v>
      </c>
      <c r="I5" s="141">
        <v>7074.47</v>
      </c>
      <c r="J5" s="60">
        <f t="shared" ref="J5:J12" si="1">+I5/H5</f>
        <v>0.95639718804920903</v>
      </c>
    </row>
    <row r="6" spans="1:11" ht="15" customHeight="1" x14ac:dyDescent="0.25">
      <c r="A6" s="164"/>
      <c r="B6" s="169" t="s">
        <v>10</v>
      </c>
      <c r="C6" s="177">
        <v>3873</v>
      </c>
      <c r="D6" s="173">
        <v>165.28200000000001</v>
      </c>
      <c r="E6" s="80">
        <f t="shared" si="0"/>
        <v>2.1755406274136913E-2</v>
      </c>
      <c r="F6" s="58" t="s">
        <v>52</v>
      </c>
      <c r="G6" s="59">
        <v>46042</v>
      </c>
      <c r="H6" s="190">
        <v>9573</v>
      </c>
      <c r="I6" s="141">
        <v>9912.75</v>
      </c>
      <c r="J6" s="60">
        <f t="shared" si="1"/>
        <v>1.0354904418677531</v>
      </c>
    </row>
    <row r="7" spans="1:11" ht="15" customHeight="1" x14ac:dyDescent="0.25">
      <c r="A7" s="164"/>
      <c r="B7" s="169" t="s">
        <v>35</v>
      </c>
      <c r="C7" s="177">
        <v>20636</v>
      </c>
      <c r="D7" s="173">
        <v>879.13400000000001</v>
      </c>
      <c r="E7" s="245">
        <f t="shared" si="0"/>
        <v>0.11571687987443932</v>
      </c>
      <c r="F7" s="58" t="s">
        <v>53</v>
      </c>
      <c r="G7" s="59">
        <v>46043</v>
      </c>
      <c r="H7" s="190">
        <v>9300</v>
      </c>
      <c r="I7" s="141">
        <v>7597.2840000000015</v>
      </c>
      <c r="J7" s="60">
        <f t="shared" si="1"/>
        <v>0.81691225806451628</v>
      </c>
    </row>
    <row r="8" spans="1:11" ht="15" customHeight="1" x14ac:dyDescent="0.25">
      <c r="A8" s="164"/>
      <c r="B8" s="169" t="s">
        <v>4</v>
      </c>
      <c r="C8" s="177">
        <v>730</v>
      </c>
      <c r="D8" s="173">
        <v>31.14</v>
      </c>
      <c r="E8" s="80">
        <f t="shared" si="0"/>
        <v>4.0988332146066932E-3</v>
      </c>
      <c r="F8" s="58" t="s">
        <v>54</v>
      </c>
      <c r="G8" s="59">
        <v>46044</v>
      </c>
      <c r="H8" s="190">
        <v>9024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33728</v>
      </c>
      <c r="D9" s="173">
        <v>1439.0440000000001</v>
      </c>
      <c r="E9" s="245">
        <f t="shared" si="0"/>
        <v>0.18941558588569282</v>
      </c>
      <c r="F9" s="58" t="s">
        <v>55</v>
      </c>
      <c r="G9" s="59">
        <v>46045</v>
      </c>
      <c r="H9" s="190">
        <v>9053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50910</v>
      </c>
      <c r="D10" s="173">
        <v>2171.3220000000001</v>
      </c>
      <c r="E10" s="245">
        <f t="shared" si="0"/>
        <v>0.28580239991028367</v>
      </c>
      <c r="F10" s="58" t="s">
        <v>56</v>
      </c>
      <c r="G10" s="59">
        <v>46046</v>
      </c>
      <c r="H10" s="190">
        <v>7741.0000000000009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14625</v>
      </c>
      <c r="D11" s="173">
        <v>624.54600000000005</v>
      </c>
      <c r="E11" s="80">
        <f t="shared" si="0"/>
        <v>8.2206483264282329E-2</v>
      </c>
      <c r="F11" s="58" t="s">
        <v>57</v>
      </c>
      <c r="G11" s="59">
        <v>46047</v>
      </c>
      <c r="H11" s="190">
        <v>5563.0000000000009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196</v>
      </c>
      <c r="C12" s="177"/>
      <c r="D12" s="173"/>
      <c r="E12" s="80">
        <f t="shared" si="0"/>
        <v>0</v>
      </c>
      <c r="H12" s="139">
        <f>+SUM(H5:H11)</f>
        <v>57651</v>
      </c>
      <c r="I12" s="142">
        <f>+SUM(I5:I11)</f>
        <v>24584.504000000001</v>
      </c>
      <c r="J12" s="140">
        <f t="shared" si="1"/>
        <v>0.42643673136632498</v>
      </c>
    </row>
    <row r="13" spans="1:11" ht="15" customHeight="1" x14ac:dyDescent="0.25">
      <c r="A13" s="164"/>
      <c r="B13" s="169" t="s">
        <v>44</v>
      </c>
      <c r="C13" s="177">
        <v>20</v>
      </c>
      <c r="D13" s="173">
        <v>30.2</v>
      </c>
      <c r="E13" s="80">
        <f t="shared" si="0"/>
        <v>3.9751047874477235E-3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39</v>
      </c>
      <c r="C14" s="177">
        <v>397</v>
      </c>
      <c r="D14" s="173">
        <v>597.976</v>
      </c>
      <c r="E14" s="245">
        <f t="shared" si="0"/>
        <v>7.8709180807246371E-2</v>
      </c>
      <c r="F14" s="112" t="s">
        <v>108</v>
      </c>
      <c r="G14" s="190">
        <v>204007.80300000001</v>
      </c>
      <c r="H14" s="190">
        <v>190629.128</v>
      </c>
      <c r="I14" s="190">
        <f>+D25</f>
        <v>147543.20600000001</v>
      </c>
      <c r="J14" s="98">
        <f>+H14/G14</f>
        <v>0.93442076820953746</v>
      </c>
      <c r="K14" s="98">
        <f>+I14/H14</f>
        <v>0.77398038562081661</v>
      </c>
    </row>
    <row r="15" spans="1:11" ht="15" customHeight="1" x14ac:dyDescent="0.25">
      <c r="A15" s="164"/>
      <c r="B15" s="169" t="s">
        <v>43</v>
      </c>
      <c r="C15" s="177">
        <v>202</v>
      </c>
      <c r="D15" s="173">
        <v>304.04000000000002</v>
      </c>
      <c r="E15" s="80">
        <f t="shared" si="0"/>
        <v>4.0019564886609474E-2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ref="J15:K26" si="2">+H15/G15</f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49</v>
      </c>
      <c r="C16" s="177">
        <v>24</v>
      </c>
      <c r="D16" s="173">
        <v>36.1</v>
      </c>
      <c r="E16" s="80">
        <f t="shared" si="0"/>
        <v>4.7516981068497629E-3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45</v>
      </c>
      <c r="C17" s="177"/>
      <c r="D17" s="173"/>
      <c r="E17" s="80">
        <f t="shared" si="0"/>
        <v>0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41</v>
      </c>
      <c r="C18" s="177">
        <v>182</v>
      </c>
      <c r="D18" s="173">
        <v>273.82600000000002</v>
      </c>
      <c r="E18" s="80">
        <f t="shared" si="0"/>
        <v>3.6042617335353001E-2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88</v>
      </c>
      <c r="C19" s="177">
        <v>40</v>
      </c>
      <c r="D19" s="173">
        <v>61.21</v>
      </c>
      <c r="E19" s="80">
        <f t="shared" si="0"/>
        <v>8.0568266238303047E-3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184</v>
      </c>
      <c r="C20" s="177"/>
      <c r="D20" s="173"/>
      <c r="E20" s="80">
        <f t="shared" si="0"/>
        <v>0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46</v>
      </c>
      <c r="C21" s="177"/>
      <c r="D21" s="173">
        <v>57.84</v>
      </c>
      <c r="E21" s="80">
        <f t="shared" si="0"/>
        <v>7.613247049866767E-3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40</v>
      </c>
      <c r="C22" s="177"/>
      <c r="D22" s="173">
        <v>660.48</v>
      </c>
      <c r="E22" s="80">
        <f t="shared" si="0"/>
        <v>8.6936331457399763E-2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A23" s="164"/>
      <c r="B23" s="169" t="s">
        <v>9</v>
      </c>
      <c r="C23" s="177"/>
      <c r="D23" s="173">
        <v>61.99</v>
      </c>
      <c r="E23" s="80">
        <f t="shared" si="0"/>
        <v>8.1594948931749799E-3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B24" s="178" t="s">
        <v>0</v>
      </c>
      <c r="C24" s="170"/>
      <c r="D24" s="171">
        <f>SUM(D5:D23)</f>
        <v>7597.2840000000015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B25" s="166" t="s">
        <v>1</v>
      </c>
      <c r="C25" s="167"/>
      <c r="D25" s="233">
        <v>147543.20600000001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147543.20600000001</v>
      </c>
      <c r="J26" s="378">
        <f t="shared" si="2"/>
        <v>1.0267879425243049</v>
      </c>
      <c r="K26" s="378">
        <f t="shared" si="2"/>
        <v>5.6403738792392188E-2</v>
      </c>
    </row>
    <row r="27" spans="1:11" ht="16.5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9.5" thickBot="1" x14ac:dyDescent="0.3">
      <c r="E28" s="313">
        <f>+D25/H2</f>
        <v>0.71335873587911525</v>
      </c>
      <c r="F28" s="179"/>
      <c r="G28" s="179"/>
      <c r="J28" s="179"/>
    </row>
    <row r="29" spans="1:11" x14ac:dyDescent="0.25">
      <c r="B29" s="397" t="s">
        <v>251</v>
      </c>
      <c r="C29" s="112">
        <v>21</v>
      </c>
      <c r="D29" s="108">
        <f>+(H2/31)*C29</f>
        <v>140109.9031838197</v>
      </c>
      <c r="E29" s="314">
        <f>+D29/H2</f>
        <v>0.67741935483870963</v>
      </c>
      <c r="F29" s="352"/>
    </row>
    <row r="30" spans="1:11" x14ac:dyDescent="0.25">
      <c r="D30" s="183">
        <f>+D25-D29</f>
        <v>7433.3028161803086</v>
      </c>
      <c r="E30" s="99">
        <f>E28-E29</f>
        <v>3.5939381040405616E-2</v>
      </c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263</v>
      </c>
      <c r="D33" s="108">
        <v>2142</v>
      </c>
      <c r="E33" s="57">
        <f>+C33/D33</f>
        <v>0.12278244631185807</v>
      </c>
      <c r="G33" s="86" t="s">
        <v>86</v>
      </c>
      <c r="H33" s="87">
        <v>6667</v>
      </c>
      <c r="I33" s="88">
        <f>+H33*0.025</f>
        <v>166.67500000000001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885</v>
      </c>
      <c r="D34" s="108">
        <v>1890</v>
      </c>
      <c r="E34" s="57">
        <f>+C34/D34</f>
        <v>0.46825396825396826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1605</v>
      </c>
      <c r="D35" s="108">
        <v>3006</v>
      </c>
      <c r="E35" s="57">
        <f>+C35/D35</f>
        <v>0.53393213572854292</v>
      </c>
      <c r="G35" s="89" t="s">
        <v>169</v>
      </c>
      <c r="H35" s="87">
        <v>243</v>
      </c>
      <c r="I35" s="88">
        <f>+H35*1.5</f>
        <v>364.5</v>
      </c>
      <c r="J35" s="298">
        <f>+I35+I33</f>
        <v>531.17499999999995</v>
      </c>
    </row>
    <row r="36" spans="1:11" x14ac:dyDescent="0.25">
      <c r="C36" s="162">
        <f>+SUM(C33:C35)</f>
        <v>2753</v>
      </c>
      <c r="D36" s="110">
        <f>+SUM(D33:D35)</f>
        <v>7038</v>
      </c>
      <c r="E36" s="57">
        <f>+C36/D36</f>
        <v>0.39116226200625176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31</v>
      </c>
      <c r="C40" s="74">
        <v>4</v>
      </c>
      <c r="D40" s="74">
        <v>30</v>
      </c>
      <c r="E40" s="75">
        <f>+SUM(B40:D40)</f>
        <v>65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7.78</v>
      </c>
      <c r="C44" s="199">
        <v>2247</v>
      </c>
      <c r="D44" s="200">
        <v>3600</v>
      </c>
      <c r="E44" s="201">
        <f t="shared" si="3"/>
        <v>0.62416666666666665</v>
      </c>
      <c r="F44" s="201">
        <f t="shared" si="4"/>
        <v>0.32416666666666666</v>
      </c>
      <c r="G44" s="202">
        <v>12</v>
      </c>
      <c r="H44" s="71"/>
    </row>
    <row r="45" spans="1:11" x14ac:dyDescent="0.25">
      <c r="A45" s="207" t="s">
        <v>72</v>
      </c>
      <c r="B45" s="199">
        <v>8.0399999999999991</v>
      </c>
      <c r="C45" s="199">
        <v>1782</v>
      </c>
      <c r="D45" s="200">
        <v>3900</v>
      </c>
      <c r="E45" s="201">
        <f t="shared" si="3"/>
        <v>0.45692307692307693</v>
      </c>
      <c r="F45" s="201">
        <f t="shared" si="4"/>
        <v>0.33499999999999996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7.86</v>
      </c>
      <c r="C46" s="199">
        <v>2911</v>
      </c>
      <c r="D46" s="200">
        <v>3900</v>
      </c>
      <c r="E46" s="201">
        <f t="shared" si="3"/>
        <v>0.74641025641025638</v>
      </c>
      <c r="F46" s="201">
        <f t="shared" si="4"/>
        <v>0.32750000000000001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15.72</v>
      </c>
      <c r="C47" s="199">
        <v>2908</v>
      </c>
      <c r="D47" s="200">
        <v>3900</v>
      </c>
      <c r="E47" s="201">
        <f t="shared" si="3"/>
        <v>0.74564102564102563</v>
      </c>
      <c r="F47" s="201">
        <f t="shared" si="4"/>
        <v>0.65500000000000003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18.93</v>
      </c>
      <c r="C48" s="261">
        <v>2579</v>
      </c>
      <c r="D48" s="262">
        <v>4300</v>
      </c>
      <c r="E48" s="263">
        <f t="shared" si="3"/>
        <v>0.59976744186046516</v>
      </c>
      <c r="F48" s="201">
        <f t="shared" si="4"/>
        <v>0.78874999999999995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58.33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108">
        <v>3</v>
      </c>
      <c r="E53" s="225" t="s">
        <v>250</v>
      </c>
      <c r="H53" s="301">
        <v>46029</v>
      </c>
      <c r="I53" s="129" t="s">
        <v>175</v>
      </c>
      <c r="J53" s="162">
        <v>93</v>
      </c>
      <c r="K53" s="318">
        <f t="shared" ref="K53:K59" si="5">+J53*1.5</f>
        <v>139.5</v>
      </c>
    </row>
    <row r="54" spans="2:11" x14ac:dyDescent="0.25">
      <c r="C54" s="71">
        <v>4</v>
      </c>
      <c r="D54" s="108">
        <v>0</v>
      </c>
      <c r="H54" s="301">
        <v>46029</v>
      </c>
      <c r="I54" s="129" t="s">
        <v>176</v>
      </c>
      <c r="J54" s="162">
        <v>99</v>
      </c>
      <c r="K54" s="318">
        <f t="shared" si="5"/>
        <v>148.5</v>
      </c>
    </row>
    <row r="55" spans="2:11" x14ac:dyDescent="0.25">
      <c r="C55" s="71">
        <v>5</v>
      </c>
      <c r="D55" s="108">
        <v>19</v>
      </c>
      <c r="H55" s="301">
        <v>46036</v>
      </c>
      <c r="I55" s="129" t="s">
        <v>175</v>
      </c>
      <c r="J55" s="162">
        <v>50</v>
      </c>
      <c r="K55" s="318">
        <f t="shared" si="5"/>
        <v>75</v>
      </c>
    </row>
    <row r="56" spans="2:11" x14ac:dyDescent="0.25">
      <c r="C56" s="71">
        <v>6</v>
      </c>
      <c r="D56" s="108">
        <v>0</v>
      </c>
      <c r="H56" s="301">
        <v>46036</v>
      </c>
      <c r="I56" s="129" t="s">
        <v>176</v>
      </c>
      <c r="J56" s="162">
        <v>105</v>
      </c>
      <c r="K56" s="318">
        <f t="shared" si="5"/>
        <v>157.5</v>
      </c>
    </row>
    <row r="57" spans="2:11" x14ac:dyDescent="0.25">
      <c r="C57" s="71">
        <v>7</v>
      </c>
      <c r="D57" s="225">
        <v>0</v>
      </c>
      <c r="E57" s="225" t="s">
        <v>250</v>
      </c>
      <c r="H57" s="301">
        <v>46037</v>
      </c>
      <c r="I57" s="129" t="s">
        <v>175</v>
      </c>
      <c r="J57" s="162">
        <v>30</v>
      </c>
      <c r="K57" s="162">
        <f t="shared" si="5"/>
        <v>45</v>
      </c>
    </row>
    <row r="58" spans="2:11" x14ac:dyDescent="0.25">
      <c r="C58" s="71">
        <v>8</v>
      </c>
      <c r="D58" s="108">
        <v>1</v>
      </c>
      <c r="H58" s="301">
        <v>46040</v>
      </c>
      <c r="I58" s="129" t="s">
        <v>175</v>
      </c>
      <c r="J58" s="162">
        <v>46</v>
      </c>
      <c r="K58" s="162">
        <f t="shared" si="5"/>
        <v>69</v>
      </c>
    </row>
    <row r="59" spans="2:11" x14ac:dyDescent="0.25">
      <c r="H59" s="359" t="s">
        <v>249</v>
      </c>
      <c r="I59" s="345"/>
      <c r="J59" s="199">
        <f>+J58</f>
        <v>46</v>
      </c>
      <c r="K59" s="346">
        <f t="shared" si="5"/>
        <v>69</v>
      </c>
    </row>
    <row r="60" spans="2:11" x14ac:dyDescent="0.25">
      <c r="B60" s="364" t="s">
        <v>231</v>
      </c>
      <c r="C60" s="199">
        <v>2702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45970</v>
      </c>
      <c r="I61" s="129" t="s">
        <v>176</v>
      </c>
      <c r="J61" s="162">
        <v>3367</v>
      </c>
      <c r="K61" s="318">
        <v>84.175000000000011</v>
      </c>
    </row>
    <row r="62" spans="2:11" x14ac:dyDescent="0.25">
      <c r="H62" s="301">
        <v>45984</v>
      </c>
      <c r="I62" s="129" t="s">
        <v>175</v>
      </c>
      <c r="J62" s="162">
        <v>6792</v>
      </c>
      <c r="K62" s="318">
        <v>169.8</v>
      </c>
    </row>
    <row r="63" spans="2:11" x14ac:dyDescent="0.25">
      <c r="H63" s="301">
        <v>46006</v>
      </c>
      <c r="I63" s="129" t="s">
        <v>175</v>
      </c>
      <c r="J63" s="162">
        <v>5733</v>
      </c>
      <c r="K63" s="318">
        <v>143.32500000000002</v>
      </c>
    </row>
    <row r="64" spans="2:11" x14ac:dyDescent="0.25">
      <c r="H64" s="301">
        <v>46008</v>
      </c>
      <c r="I64" s="129" t="s">
        <v>176</v>
      </c>
      <c r="J64" s="162">
        <v>2482</v>
      </c>
      <c r="K64" s="318">
        <v>62.050000000000004</v>
      </c>
    </row>
    <row r="65" spans="2:11" x14ac:dyDescent="0.25">
      <c r="B65" s="66"/>
      <c r="C65" s="391"/>
      <c r="D65" s="391"/>
      <c r="H65" s="301">
        <v>46012</v>
      </c>
      <c r="I65" s="129" t="s">
        <v>175</v>
      </c>
      <c r="J65" s="162">
        <v>6042</v>
      </c>
      <c r="K65" s="318">
        <v>151.05000000000001</v>
      </c>
    </row>
    <row r="66" spans="2:11" x14ac:dyDescent="0.25">
      <c r="C66" s="389"/>
      <c r="H66" s="301"/>
      <c r="I66" s="129"/>
      <c r="K66" s="318"/>
    </row>
    <row r="67" spans="2:11" x14ac:dyDescent="0.25">
      <c r="C67" s="389"/>
      <c r="H67" s="359" t="s">
        <v>232</v>
      </c>
      <c r="I67" s="345"/>
      <c r="J67" s="200">
        <v>6042</v>
      </c>
      <c r="K67" s="346">
        <v>151.05000000000001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>+J72*1.5</f>
        <v>33</v>
      </c>
    </row>
    <row r="73" spans="2:11" x14ac:dyDescent="0.25">
      <c r="H73" s="301">
        <v>46032</v>
      </c>
      <c r="I73" s="129" t="s">
        <v>176</v>
      </c>
      <c r="J73" s="68">
        <v>166</v>
      </c>
      <c r="K73" s="318">
        <f>+J73*1.5</f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>+J74*1.5</f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>+J75*1.5</f>
        <v>181.5</v>
      </c>
    </row>
    <row r="76" spans="2:11" x14ac:dyDescent="0.25">
      <c r="H76" s="301"/>
      <c r="I76" s="129"/>
      <c r="K76" s="318"/>
    </row>
    <row r="79" spans="2:11" x14ac:dyDescent="0.25">
      <c r="H79" s="344"/>
      <c r="I79" s="345"/>
      <c r="J79" s="200">
        <f>+J73+J72+J74+J75</f>
        <v>519</v>
      </c>
      <c r="K79" s="346">
        <f>+J79*1.5</f>
        <v>778.5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55" workbookViewId="0">
      <selection activeCell="A29" sqref="A29:K79"/>
    </sheetView>
  </sheetViews>
  <sheetFormatPr baseColWidth="10" defaultColWidth="11.42578125" defaultRowHeight="15.75" x14ac:dyDescent="0.25"/>
  <cols>
    <col min="1" max="1" width="2.42578125" style="162" customWidth="1"/>
    <col min="2" max="2" width="41.42578125" style="162" customWidth="1"/>
    <col min="3" max="3" width="13.28515625" style="162" customWidth="1"/>
    <col min="4" max="4" width="14.5703125" style="163" customWidth="1"/>
    <col min="5" max="5" width="17.140625" style="162" customWidth="1"/>
    <col min="6" max="6" width="15.5703125" style="162" customWidth="1"/>
    <col min="7" max="7" width="17" style="162" customWidth="1"/>
    <col min="8" max="10" width="11.42578125" style="162"/>
    <col min="11" max="11" width="9.7109375" style="162" customWidth="1"/>
    <col min="12" max="16384" width="11.42578125" style="162"/>
  </cols>
  <sheetData>
    <row r="1" spans="1:11" ht="15" customHeight="1" x14ac:dyDescent="0.25">
      <c r="A1" s="161"/>
      <c r="B1" s="518">
        <v>46044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19.5" customHeight="1" thickBot="1" x14ac:dyDescent="0.4">
      <c r="A4" s="164"/>
      <c r="B4" s="396"/>
      <c r="C4" s="396"/>
      <c r="D4" s="165">
        <f>D24</f>
        <v>8840.8439999999973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4400</v>
      </c>
      <c r="D5" s="172">
        <v>187.37200000000001</v>
      </c>
      <c r="E5" s="80">
        <f t="shared" ref="E5:E23" si="0">+D5/$D$4</f>
        <v>2.1193904111417423E-2</v>
      </c>
      <c r="F5" s="58" t="s">
        <v>51</v>
      </c>
      <c r="G5" s="59">
        <v>46041</v>
      </c>
      <c r="H5" s="190">
        <v>7397.0000000000009</v>
      </c>
      <c r="I5" s="141">
        <v>7074.47</v>
      </c>
      <c r="J5" s="60">
        <f t="shared" ref="J5:J12" si="1">+I5/H5</f>
        <v>0.95639718804920903</v>
      </c>
    </row>
    <row r="6" spans="1:11" ht="15" customHeight="1" x14ac:dyDescent="0.25">
      <c r="A6" s="164"/>
      <c r="B6" s="169" t="s">
        <v>10</v>
      </c>
      <c r="C6" s="177">
        <v>10948</v>
      </c>
      <c r="D6" s="173">
        <v>467.19799999999998</v>
      </c>
      <c r="E6" s="80">
        <f t="shared" si="0"/>
        <v>5.284540706747004E-2</v>
      </c>
      <c r="F6" s="58" t="s">
        <v>52</v>
      </c>
      <c r="G6" s="59">
        <v>46042</v>
      </c>
      <c r="H6" s="190">
        <v>9573</v>
      </c>
      <c r="I6" s="141">
        <v>9912.75</v>
      </c>
      <c r="J6" s="60">
        <f t="shared" si="1"/>
        <v>1.0354904418677531</v>
      </c>
    </row>
    <row r="7" spans="1:11" ht="15" customHeight="1" x14ac:dyDescent="0.25">
      <c r="A7" s="164"/>
      <c r="B7" s="169" t="s">
        <v>35</v>
      </c>
      <c r="C7" s="177">
        <v>31118</v>
      </c>
      <c r="D7" s="173">
        <v>1325.7180000000001</v>
      </c>
      <c r="E7" s="245">
        <f t="shared" si="0"/>
        <v>0.14995378269314563</v>
      </c>
      <c r="F7" s="58" t="s">
        <v>53</v>
      </c>
      <c r="G7" s="59">
        <v>46043</v>
      </c>
      <c r="H7" s="190">
        <v>9300</v>
      </c>
      <c r="I7" s="141">
        <v>7597.2840000000015</v>
      </c>
      <c r="J7" s="60">
        <f t="shared" si="1"/>
        <v>0.81691225806451628</v>
      </c>
    </row>
    <row r="8" spans="1:11" ht="15" customHeight="1" x14ac:dyDescent="0.25">
      <c r="A8" s="164"/>
      <c r="B8" s="169" t="s">
        <v>4</v>
      </c>
      <c r="C8" s="177">
        <v>1540</v>
      </c>
      <c r="D8" s="173">
        <v>65.67</v>
      </c>
      <c r="E8" s="80">
        <f t="shared" si="0"/>
        <v>7.4280238402577876E-3</v>
      </c>
      <c r="F8" s="58" t="s">
        <v>54</v>
      </c>
      <c r="G8" s="59">
        <v>46044</v>
      </c>
      <c r="H8" s="190">
        <v>9024</v>
      </c>
      <c r="I8" s="141">
        <v>8840.8439999999973</v>
      </c>
      <c r="J8" s="60">
        <f t="shared" si="1"/>
        <v>0.9797034574468082</v>
      </c>
    </row>
    <row r="9" spans="1:11" ht="15" customHeight="1" x14ac:dyDescent="0.25">
      <c r="A9" s="164"/>
      <c r="B9" s="169" t="s">
        <v>37</v>
      </c>
      <c r="C9" s="177">
        <v>40367</v>
      </c>
      <c r="D9" s="173">
        <v>1722.9459999999999</v>
      </c>
      <c r="E9" s="245">
        <f t="shared" si="0"/>
        <v>0.19488478701807208</v>
      </c>
      <c r="F9" s="58" t="s">
        <v>55</v>
      </c>
      <c r="G9" s="59">
        <v>46045</v>
      </c>
      <c r="H9" s="190">
        <v>9053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49413</v>
      </c>
      <c r="D10" s="173">
        <v>2108.4520000000002</v>
      </c>
      <c r="E10" s="245">
        <f t="shared" si="0"/>
        <v>0.23848989983309296</v>
      </c>
      <c r="F10" s="58" t="s">
        <v>56</v>
      </c>
      <c r="G10" s="59">
        <v>46046</v>
      </c>
      <c r="H10" s="190">
        <v>7741.0000000000009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13077</v>
      </c>
      <c r="D11" s="173">
        <v>558.20799999999997</v>
      </c>
      <c r="E11" s="80">
        <f t="shared" si="0"/>
        <v>6.3139673090035306E-2</v>
      </c>
      <c r="F11" s="58" t="s">
        <v>57</v>
      </c>
      <c r="G11" s="59">
        <v>46047</v>
      </c>
      <c r="H11" s="190">
        <v>5563.0000000000009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81</v>
      </c>
      <c r="C12" s="177">
        <v>800</v>
      </c>
      <c r="D12" s="173">
        <v>34.200000000000003</v>
      </c>
      <c r="E12" s="80">
        <f t="shared" si="0"/>
        <v>3.8684089437614794E-3</v>
      </c>
      <c r="H12" s="139">
        <f>+SUM(H5:H11)</f>
        <v>57651</v>
      </c>
      <c r="I12" s="142">
        <f>+SUM(I5:I11)</f>
        <v>33425.347999999998</v>
      </c>
      <c r="J12" s="140">
        <f t="shared" si="1"/>
        <v>0.57978782675062013</v>
      </c>
    </row>
    <row r="13" spans="1:11" ht="15" customHeight="1" x14ac:dyDescent="0.25">
      <c r="A13" s="164"/>
      <c r="B13" s="169" t="s">
        <v>44</v>
      </c>
      <c r="C13" s="177"/>
      <c r="D13" s="173"/>
      <c r="E13" s="80">
        <f t="shared" si="0"/>
        <v>0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39</v>
      </c>
      <c r="C14" s="177">
        <v>313</v>
      </c>
      <c r="D14" s="173">
        <v>472.01</v>
      </c>
      <c r="E14" s="80">
        <f t="shared" si="0"/>
        <v>5.338969899253964E-2</v>
      </c>
      <c r="F14" s="112" t="s">
        <v>108</v>
      </c>
      <c r="G14" s="190">
        <v>204007.80300000001</v>
      </c>
      <c r="H14" s="190">
        <v>190629.128</v>
      </c>
      <c r="I14" s="190">
        <f>+D25</f>
        <v>156384.04999999999</v>
      </c>
      <c r="J14" s="98">
        <f>+H14/G14</f>
        <v>0.93442076820953746</v>
      </c>
      <c r="K14" s="98">
        <f>+I14/H14</f>
        <v>0.82035757935167175</v>
      </c>
    </row>
    <row r="15" spans="1:11" ht="15" customHeight="1" x14ac:dyDescent="0.25">
      <c r="A15" s="164"/>
      <c r="B15" s="169" t="s">
        <v>43</v>
      </c>
      <c r="C15" s="177">
        <v>408</v>
      </c>
      <c r="D15" s="173">
        <v>614.86</v>
      </c>
      <c r="E15" s="80">
        <f t="shared" si="0"/>
        <v>6.9547658571964419E-2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ref="J15:K26" si="2">+H15/G15</f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49</v>
      </c>
      <c r="C16" s="177">
        <v>83</v>
      </c>
      <c r="D16" s="173">
        <v>124.78</v>
      </c>
      <c r="E16" s="80">
        <f t="shared" si="0"/>
        <v>1.4114037076098169E-2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45</v>
      </c>
      <c r="C17" s="177">
        <v>45</v>
      </c>
      <c r="D17" s="173">
        <v>67.69</v>
      </c>
      <c r="E17" s="80">
        <f t="shared" si="0"/>
        <v>7.656508812959489E-3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41</v>
      </c>
      <c r="C18" s="177">
        <v>216</v>
      </c>
      <c r="D18" s="173">
        <v>324.89999999999998</v>
      </c>
      <c r="E18" s="80">
        <f t="shared" si="0"/>
        <v>3.6749884965734052E-2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88</v>
      </c>
      <c r="C19" s="177">
        <v>60</v>
      </c>
      <c r="D19" s="173">
        <v>90.82</v>
      </c>
      <c r="E19" s="80">
        <f t="shared" si="0"/>
        <v>1.0272774861766594E-2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184</v>
      </c>
      <c r="C20" s="177"/>
      <c r="D20" s="173">
        <v>32.119999999999997</v>
      </c>
      <c r="E20" s="80">
        <f t="shared" si="0"/>
        <v>3.633137288702301E-3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46</v>
      </c>
      <c r="C21" s="177"/>
      <c r="D21" s="173">
        <v>87.93</v>
      </c>
      <c r="E21" s="80">
        <f t="shared" si="0"/>
        <v>9.9458829948814876E-3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40</v>
      </c>
      <c r="C22" s="177"/>
      <c r="D22" s="173">
        <v>555.97</v>
      </c>
      <c r="E22" s="80">
        <f t="shared" si="0"/>
        <v>6.2886529838101446E-2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A23" s="164"/>
      <c r="B23" s="169" t="s">
        <v>9</v>
      </c>
      <c r="C23" s="177"/>
      <c r="D23" s="173"/>
      <c r="E23" s="80">
        <f t="shared" si="0"/>
        <v>0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B24" s="178" t="s">
        <v>0</v>
      </c>
      <c r="C24" s="170"/>
      <c r="D24" s="171">
        <f>SUM(D5:D23)</f>
        <v>8840.8439999999973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B25" s="166" t="s">
        <v>1</v>
      </c>
      <c r="C25" s="167"/>
      <c r="D25" s="233">
        <v>156384.04999999999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156384.04999999999</v>
      </c>
      <c r="J26" s="378">
        <f t="shared" si="2"/>
        <v>1.0267879425243049</v>
      </c>
      <c r="K26" s="378">
        <f t="shared" si="2"/>
        <v>5.9783471883458998E-2</v>
      </c>
    </row>
    <row r="27" spans="1:11" ht="15" customHeight="1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5" customHeight="1" thickBot="1" x14ac:dyDescent="0.3">
      <c r="E28" s="313">
        <f>+D25/H2</f>
        <v>0.75610345771974308</v>
      </c>
      <c r="F28" s="179"/>
      <c r="G28" s="179"/>
      <c r="J28" s="179"/>
    </row>
    <row r="29" spans="1:11" ht="15" customHeight="1" x14ac:dyDescent="0.25">
      <c r="B29" s="397" t="s">
        <v>251</v>
      </c>
      <c r="C29" s="112">
        <v>22</v>
      </c>
      <c r="D29" s="108">
        <f>+(H2/31)*C29</f>
        <v>146781.80333543016</v>
      </c>
      <c r="E29" s="314">
        <f>+D29/H2</f>
        <v>0.70967741935483875</v>
      </c>
      <c r="F29" s="352"/>
    </row>
    <row r="30" spans="1:11" ht="15" customHeight="1" x14ac:dyDescent="0.25">
      <c r="D30" s="183">
        <f>+D25-D29</f>
        <v>9602.2466645698296</v>
      </c>
      <c r="E30" s="99">
        <f>E28-E29</f>
        <v>4.6426038364904332E-2</v>
      </c>
    </row>
    <row r="31" spans="1:11" ht="15" customHeight="1" x14ac:dyDescent="0.25"/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727</v>
      </c>
      <c r="D33" s="108">
        <v>2142</v>
      </c>
      <c r="E33" s="57">
        <f>+C33/D33</f>
        <v>0.33940242763772177</v>
      </c>
      <c r="G33" s="86" t="s">
        <v>86</v>
      </c>
      <c r="H33" s="87">
        <v>6667</v>
      </c>
      <c r="I33" s="88">
        <f>+H33*0.025</f>
        <v>166.67500000000001</v>
      </c>
      <c r="J33" s="224">
        <f>15*72</f>
        <v>1080</v>
      </c>
      <c r="K33" s="68"/>
    </row>
    <row r="34" spans="1:11" ht="15" customHeight="1" x14ac:dyDescent="0.25">
      <c r="B34" s="162" t="s">
        <v>62</v>
      </c>
      <c r="C34" s="162">
        <v>825</v>
      </c>
      <c r="D34" s="108">
        <v>1890</v>
      </c>
      <c r="E34" s="57">
        <f>+C34/D34</f>
        <v>0.43650793650793651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ht="15" customHeight="1" x14ac:dyDescent="0.25">
      <c r="B35" s="162" t="s">
        <v>63</v>
      </c>
      <c r="C35" s="67">
        <v>1257</v>
      </c>
      <c r="D35" s="108">
        <v>3006</v>
      </c>
      <c r="E35" s="57">
        <f>+C35/D35</f>
        <v>0.41816367265469062</v>
      </c>
      <c r="G35" s="89" t="s">
        <v>169</v>
      </c>
      <c r="H35" s="87">
        <v>190</v>
      </c>
      <c r="I35" s="88">
        <f>+H35*1.5</f>
        <v>285</v>
      </c>
      <c r="J35" s="298">
        <f>+I35+I33</f>
        <v>451.67500000000001</v>
      </c>
    </row>
    <row r="36" spans="1:11" ht="15" customHeight="1" x14ac:dyDescent="0.25">
      <c r="C36" s="162">
        <f>+SUM(C33:C35)</f>
        <v>2809</v>
      </c>
      <c r="D36" s="110">
        <f>+SUM(D33:D35)</f>
        <v>7038</v>
      </c>
      <c r="E36" s="57">
        <f>+C36/D36</f>
        <v>0.3991190679170219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ht="15" customHeight="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ht="15" customHeight="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51</v>
      </c>
      <c r="C40" s="74">
        <v>4</v>
      </c>
      <c r="D40" s="74">
        <v>25</v>
      </c>
      <c r="E40" s="75">
        <f>+SUM(B40:D40)</f>
        <v>80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7.28</v>
      </c>
      <c r="C44" s="199">
        <v>2467</v>
      </c>
      <c r="D44" s="200">
        <v>3600</v>
      </c>
      <c r="E44" s="201">
        <f t="shared" si="3"/>
        <v>0.68527777777777776</v>
      </c>
      <c r="F44" s="201">
        <f t="shared" si="4"/>
        <v>0.30333333333333334</v>
      </c>
      <c r="G44" s="202">
        <v>12</v>
      </c>
      <c r="H44" s="71"/>
    </row>
    <row r="45" spans="1:11" x14ac:dyDescent="0.25">
      <c r="A45" s="207" t="s">
        <v>72</v>
      </c>
      <c r="B45" s="199">
        <v>11.34</v>
      </c>
      <c r="C45" s="199">
        <v>1660</v>
      </c>
      <c r="D45" s="200">
        <v>3900</v>
      </c>
      <c r="E45" s="201">
        <f t="shared" si="3"/>
        <v>0.42564102564102563</v>
      </c>
      <c r="F45" s="201">
        <f t="shared" si="4"/>
        <v>0.47249999999999998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8.68</v>
      </c>
      <c r="C46" s="199">
        <v>3034</v>
      </c>
      <c r="D46" s="200">
        <v>3900</v>
      </c>
      <c r="E46" s="201">
        <f t="shared" si="3"/>
        <v>0.77794871794871789</v>
      </c>
      <c r="F46" s="201">
        <f t="shared" si="4"/>
        <v>0.36166666666666664</v>
      </c>
      <c r="G46" s="202">
        <v>12</v>
      </c>
      <c r="H46" s="360">
        <v>45998</v>
      </c>
      <c r="I46" s="332" t="s">
        <v>175</v>
      </c>
      <c r="J46" s="333">
        <v>35</v>
      </c>
      <c r="K46" s="361">
        <v>52.5</v>
      </c>
    </row>
    <row r="47" spans="1:11" x14ac:dyDescent="0.25">
      <c r="A47" s="207" t="s">
        <v>74</v>
      </c>
      <c r="B47" s="199">
        <v>14.33</v>
      </c>
      <c r="C47" s="199">
        <v>2660</v>
      </c>
      <c r="D47" s="200">
        <v>3900</v>
      </c>
      <c r="E47" s="201">
        <f t="shared" si="3"/>
        <v>0.68205128205128207</v>
      </c>
      <c r="F47" s="201">
        <f t="shared" si="4"/>
        <v>0.5970833333333333</v>
      </c>
      <c r="G47" s="202">
        <v>12</v>
      </c>
      <c r="H47" s="301">
        <v>45998</v>
      </c>
      <c r="I47" s="129" t="s">
        <v>176</v>
      </c>
      <c r="J47" s="162">
        <v>76</v>
      </c>
      <c r="K47" s="318">
        <v>114</v>
      </c>
    </row>
    <row r="48" spans="1:11" x14ac:dyDescent="0.25">
      <c r="A48" s="259" t="s">
        <v>75</v>
      </c>
      <c r="B48" s="260">
        <v>9.69</v>
      </c>
      <c r="C48" s="261">
        <v>3060</v>
      </c>
      <c r="D48" s="262">
        <v>4300</v>
      </c>
      <c r="E48" s="263">
        <f t="shared" si="3"/>
        <v>0.71162790697674416</v>
      </c>
      <c r="F48" s="201">
        <f t="shared" si="4"/>
        <v>0.40375</v>
      </c>
      <c r="G48" s="202">
        <v>16</v>
      </c>
      <c r="H48" s="301">
        <v>45999</v>
      </c>
      <c r="I48" s="129" t="s">
        <v>175</v>
      </c>
      <c r="J48" s="162">
        <v>125</v>
      </c>
      <c r="K48" s="318">
        <v>187.5</v>
      </c>
    </row>
    <row r="49" spans="2:11" x14ac:dyDescent="0.25">
      <c r="B49" s="113">
        <f>+SUM(B43:B48)</f>
        <v>51.32</v>
      </c>
      <c r="C49" s="71"/>
      <c r="D49" s="72"/>
      <c r="H49" s="301">
        <v>46005</v>
      </c>
      <c r="I49" s="129" t="s">
        <v>175</v>
      </c>
      <c r="J49" s="162">
        <v>49</v>
      </c>
      <c r="K49" s="318">
        <v>73.5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46008</v>
      </c>
      <c r="I50" s="129" t="s">
        <v>175</v>
      </c>
      <c r="J50" s="162">
        <v>56</v>
      </c>
      <c r="K50" s="318">
        <v>84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46012</v>
      </c>
      <c r="I51" s="129" t="s">
        <v>175</v>
      </c>
      <c r="J51" s="162">
        <v>49</v>
      </c>
      <c r="K51" s="318">
        <v>73.5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46019</v>
      </c>
      <c r="I52" s="129" t="s">
        <v>175</v>
      </c>
      <c r="J52" s="162">
        <v>47</v>
      </c>
      <c r="K52" s="318">
        <v>73.5</v>
      </c>
    </row>
    <row r="53" spans="2:11" x14ac:dyDescent="0.25">
      <c r="C53" s="71">
        <v>3</v>
      </c>
      <c r="D53" s="108">
        <v>1</v>
      </c>
      <c r="E53" s="225" t="s">
        <v>250</v>
      </c>
      <c r="H53" s="301">
        <v>46029</v>
      </c>
      <c r="I53" s="129" t="s">
        <v>175</v>
      </c>
      <c r="J53" s="162">
        <v>93</v>
      </c>
      <c r="K53" s="318">
        <f t="shared" ref="K53:K59" si="5">+J53*1.5</f>
        <v>139.5</v>
      </c>
    </row>
    <row r="54" spans="2:11" x14ac:dyDescent="0.25">
      <c r="C54" s="71">
        <v>4</v>
      </c>
      <c r="D54" s="108">
        <v>0</v>
      </c>
      <c r="H54" s="301">
        <v>46029</v>
      </c>
      <c r="I54" s="129" t="s">
        <v>176</v>
      </c>
      <c r="J54" s="162">
        <v>99</v>
      </c>
      <c r="K54" s="318">
        <f t="shared" si="5"/>
        <v>148.5</v>
      </c>
    </row>
    <row r="55" spans="2:11" x14ac:dyDescent="0.25">
      <c r="C55" s="71">
        <v>5</v>
      </c>
      <c r="D55" s="108">
        <v>11</v>
      </c>
      <c r="H55" s="301">
        <v>46036</v>
      </c>
      <c r="I55" s="129" t="s">
        <v>175</v>
      </c>
      <c r="J55" s="162">
        <v>50</v>
      </c>
      <c r="K55" s="318">
        <f t="shared" si="5"/>
        <v>75</v>
      </c>
    </row>
    <row r="56" spans="2:11" x14ac:dyDescent="0.25">
      <c r="C56" s="71">
        <v>6</v>
      </c>
      <c r="D56" s="108">
        <v>0</v>
      </c>
      <c r="H56" s="301">
        <v>46036</v>
      </c>
      <c r="I56" s="129" t="s">
        <v>176</v>
      </c>
      <c r="J56" s="162">
        <v>105</v>
      </c>
      <c r="K56" s="318">
        <f t="shared" si="5"/>
        <v>157.5</v>
      </c>
    </row>
    <row r="57" spans="2:11" x14ac:dyDescent="0.25">
      <c r="C57" s="71">
        <v>7</v>
      </c>
      <c r="D57" s="225">
        <v>0</v>
      </c>
      <c r="E57" s="225" t="s">
        <v>250</v>
      </c>
      <c r="H57" s="301">
        <v>46037</v>
      </c>
      <c r="I57" s="129" t="s">
        <v>175</v>
      </c>
      <c r="J57" s="162">
        <v>30</v>
      </c>
      <c r="K57" s="162">
        <f t="shared" si="5"/>
        <v>45</v>
      </c>
    </row>
    <row r="58" spans="2:11" x14ac:dyDescent="0.25">
      <c r="C58" s="71">
        <v>8</v>
      </c>
      <c r="D58" s="108">
        <v>0</v>
      </c>
      <c r="H58" s="301">
        <v>46040</v>
      </c>
      <c r="I58" s="129" t="s">
        <v>175</v>
      </c>
      <c r="J58" s="162">
        <v>46</v>
      </c>
      <c r="K58" s="162">
        <f t="shared" si="5"/>
        <v>69</v>
      </c>
    </row>
    <row r="59" spans="2:11" x14ac:dyDescent="0.25">
      <c r="H59" s="359" t="s">
        <v>249</v>
      </c>
      <c r="I59" s="345"/>
      <c r="J59" s="199">
        <f>+J58</f>
        <v>46</v>
      </c>
      <c r="K59" s="346">
        <f t="shared" si="5"/>
        <v>69</v>
      </c>
    </row>
    <row r="60" spans="2:11" x14ac:dyDescent="0.25">
      <c r="B60" s="364" t="s">
        <v>231</v>
      </c>
      <c r="C60" s="199">
        <v>2019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45970</v>
      </c>
      <c r="I61" s="129" t="s">
        <v>176</v>
      </c>
      <c r="J61" s="162">
        <v>3367</v>
      </c>
      <c r="K61" s="318">
        <v>84.175000000000011</v>
      </c>
    </row>
    <row r="62" spans="2:11" x14ac:dyDescent="0.25">
      <c r="H62" s="301">
        <v>45984</v>
      </c>
      <c r="I62" s="129" t="s">
        <v>175</v>
      </c>
      <c r="J62" s="162">
        <v>6792</v>
      </c>
      <c r="K62" s="318">
        <v>169.8</v>
      </c>
    </row>
    <row r="63" spans="2:11" x14ac:dyDescent="0.25">
      <c r="H63" s="301">
        <v>46006</v>
      </c>
      <c r="I63" s="129" t="s">
        <v>175</v>
      </c>
      <c r="J63" s="162">
        <v>5733</v>
      </c>
      <c r="K63" s="318">
        <v>143.32500000000002</v>
      </c>
    </row>
    <row r="64" spans="2:11" x14ac:dyDescent="0.25">
      <c r="H64" s="301">
        <v>46008</v>
      </c>
      <c r="I64" s="129" t="s">
        <v>176</v>
      </c>
      <c r="J64" s="162">
        <v>2482</v>
      </c>
      <c r="K64" s="318">
        <v>62.050000000000004</v>
      </c>
    </row>
    <row r="65" spans="2:11" x14ac:dyDescent="0.25">
      <c r="B65" s="66"/>
      <c r="C65" s="391"/>
      <c r="D65" s="391"/>
      <c r="H65" s="301">
        <v>46012</v>
      </c>
      <c r="I65" s="129" t="s">
        <v>175</v>
      </c>
      <c r="J65" s="162">
        <v>6042</v>
      </c>
      <c r="K65" s="318">
        <v>151.05000000000001</v>
      </c>
    </row>
    <row r="66" spans="2:11" x14ac:dyDescent="0.25">
      <c r="C66" s="389"/>
      <c r="H66" s="301"/>
      <c r="I66" s="129"/>
      <c r="K66" s="318"/>
    </row>
    <row r="67" spans="2:11" x14ac:dyDescent="0.25">
      <c r="C67" s="389"/>
      <c r="H67" s="359" t="s">
        <v>232</v>
      </c>
      <c r="I67" s="345"/>
      <c r="J67" s="200">
        <v>6042</v>
      </c>
      <c r="K67" s="346">
        <v>151.05000000000001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>+J72*1.5</f>
        <v>33</v>
      </c>
    </row>
    <row r="73" spans="2:11" x14ac:dyDescent="0.25">
      <c r="H73" s="301">
        <v>46032</v>
      </c>
      <c r="I73" s="129" t="s">
        <v>176</v>
      </c>
      <c r="J73" s="68">
        <v>166</v>
      </c>
      <c r="K73" s="318">
        <f>+J73*1.5</f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>+J74*1.5</f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>+J75*1.5</f>
        <v>181.5</v>
      </c>
    </row>
    <row r="76" spans="2:11" x14ac:dyDescent="0.25">
      <c r="H76" s="301"/>
      <c r="I76" s="129"/>
      <c r="K76" s="318"/>
    </row>
    <row r="79" spans="2:11" x14ac:dyDescent="0.25">
      <c r="H79" s="344"/>
      <c r="I79" s="345"/>
      <c r="J79" s="200">
        <f>+J73+J72+J74+J75</f>
        <v>519</v>
      </c>
      <c r="K79" s="346">
        <f>+J79*1.5</f>
        <v>778.5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57" workbookViewId="0">
      <selection activeCell="A29" sqref="A29:K80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19.5" customHeight="1" thickBot="1" x14ac:dyDescent="0.4">
      <c r="A4" s="164"/>
      <c r="B4" s="398"/>
      <c r="C4" s="398"/>
      <c r="D4" s="165">
        <f>D23</f>
        <v>4396.3710000000001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38</v>
      </c>
      <c r="C5" s="176">
        <v>23721</v>
      </c>
      <c r="D5" s="172">
        <v>1011.9159999999999</v>
      </c>
      <c r="E5" s="245">
        <f t="shared" ref="E5:E23" si="0">+D5/$D$4</f>
        <v>0.23017074764618362</v>
      </c>
      <c r="F5" s="58" t="s">
        <v>51</v>
      </c>
      <c r="G5" s="59">
        <v>46041</v>
      </c>
      <c r="H5" s="190">
        <v>7397.0000000000009</v>
      </c>
      <c r="I5" s="141">
        <v>7074.47</v>
      </c>
      <c r="J5" s="60">
        <f t="shared" ref="J5:J12" si="1">+I5/H5</f>
        <v>0.95639718804920903</v>
      </c>
    </row>
    <row r="6" spans="1:11" ht="15" customHeight="1" x14ac:dyDescent="0.25">
      <c r="A6" s="164"/>
      <c r="B6" s="169" t="s">
        <v>6</v>
      </c>
      <c r="C6" s="177">
        <v>1560</v>
      </c>
      <c r="D6" s="173">
        <v>66.58</v>
      </c>
      <c r="E6" s="80">
        <f t="shared" si="0"/>
        <v>1.5144308794685434E-2</v>
      </c>
      <c r="F6" s="58" t="s">
        <v>52</v>
      </c>
      <c r="G6" s="59">
        <v>46042</v>
      </c>
      <c r="H6" s="190">
        <v>9573</v>
      </c>
      <c r="I6" s="141">
        <v>9912.75</v>
      </c>
      <c r="J6" s="60">
        <f t="shared" si="1"/>
        <v>1.0354904418677531</v>
      </c>
    </row>
    <row r="7" spans="1:11" ht="15" customHeight="1" x14ac:dyDescent="0.25">
      <c r="A7" s="164"/>
      <c r="B7" s="169" t="s">
        <v>10</v>
      </c>
      <c r="C7" s="177">
        <v>8711</v>
      </c>
      <c r="D7" s="173">
        <v>371.85399999999998</v>
      </c>
      <c r="E7" s="80">
        <f t="shared" si="0"/>
        <v>8.4582033681870797E-2</v>
      </c>
      <c r="F7" s="58" t="s">
        <v>53</v>
      </c>
      <c r="G7" s="59">
        <v>46043</v>
      </c>
      <c r="H7" s="190">
        <v>9300</v>
      </c>
      <c r="I7" s="141">
        <v>7597.2840000000015</v>
      </c>
      <c r="J7" s="60">
        <f t="shared" si="1"/>
        <v>0.81691225806451628</v>
      </c>
    </row>
    <row r="8" spans="1:11" ht="15" customHeight="1" x14ac:dyDescent="0.25">
      <c r="A8" s="164"/>
      <c r="B8" s="169" t="s">
        <v>35</v>
      </c>
      <c r="C8" s="177">
        <v>16437</v>
      </c>
      <c r="D8" s="173">
        <v>700.34</v>
      </c>
      <c r="E8" s="245">
        <f t="shared" si="0"/>
        <v>0.15929956775713425</v>
      </c>
      <c r="F8" s="58" t="s">
        <v>54</v>
      </c>
      <c r="G8" s="59">
        <v>46044</v>
      </c>
      <c r="H8" s="190">
        <v>9024</v>
      </c>
      <c r="I8" s="141">
        <v>8840.8439999999973</v>
      </c>
      <c r="J8" s="60">
        <f t="shared" si="1"/>
        <v>0.9797034574468082</v>
      </c>
    </row>
    <row r="9" spans="1:11" ht="15" customHeight="1" x14ac:dyDescent="0.25">
      <c r="A9" s="164"/>
      <c r="B9" s="169" t="s">
        <v>4</v>
      </c>
      <c r="C9" s="177">
        <v>740</v>
      </c>
      <c r="D9" s="173">
        <v>31.57</v>
      </c>
      <c r="E9" s="80">
        <f t="shared" si="0"/>
        <v>7.1809226291411708E-3</v>
      </c>
      <c r="F9" s="58" t="s">
        <v>55</v>
      </c>
      <c r="G9" s="59">
        <v>46045</v>
      </c>
      <c r="H9" s="190">
        <v>9053</v>
      </c>
      <c r="I9" s="141">
        <v>8247.66</v>
      </c>
      <c r="J9" s="60">
        <f t="shared" si="1"/>
        <v>0.91104164365403728</v>
      </c>
    </row>
    <row r="10" spans="1:11" ht="15" customHeight="1" x14ac:dyDescent="0.25">
      <c r="A10" s="164"/>
      <c r="B10" s="169" t="s">
        <v>37</v>
      </c>
      <c r="C10" s="177">
        <v>11960</v>
      </c>
      <c r="D10" s="173">
        <v>510.37200000000007</v>
      </c>
      <c r="E10" s="245">
        <f t="shared" si="0"/>
        <v>0.11608938372125557</v>
      </c>
      <c r="F10" s="58" t="s">
        <v>56</v>
      </c>
      <c r="G10" s="59">
        <v>46046</v>
      </c>
      <c r="H10" s="190">
        <v>7741.0000000000009</v>
      </c>
      <c r="I10" s="141">
        <v>7498.22</v>
      </c>
      <c r="J10" s="60">
        <f t="shared" si="1"/>
        <v>0.96863712698617743</v>
      </c>
    </row>
    <row r="11" spans="1:11" ht="15" customHeight="1" x14ac:dyDescent="0.25">
      <c r="A11" s="164"/>
      <c r="B11" s="169" t="s">
        <v>196</v>
      </c>
      <c r="C11" s="177">
        <v>3960</v>
      </c>
      <c r="D11" s="173">
        <v>99.47</v>
      </c>
      <c r="E11" s="80">
        <f t="shared" si="0"/>
        <v>2.2625479059888258E-2</v>
      </c>
      <c r="F11" s="58" t="s">
        <v>57</v>
      </c>
      <c r="G11" s="59">
        <v>46047</v>
      </c>
      <c r="H11" s="190">
        <v>5563.0000000000009</v>
      </c>
      <c r="I11" s="141">
        <v>4396.3710000000001</v>
      </c>
      <c r="J11" s="60">
        <f t="shared" si="1"/>
        <v>0.7902877943555634</v>
      </c>
    </row>
    <row r="12" spans="1:11" ht="15" customHeight="1" x14ac:dyDescent="0.25">
      <c r="A12" s="164"/>
      <c r="B12" s="169" t="s">
        <v>41</v>
      </c>
      <c r="C12" s="177">
        <v>106</v>
      </c>
      <c r="D12" s="173">
        <v>159.49</v>
      </c>
      <c r="E12" s="80">
        <f t="shared" si="0"/>
        <v>3.6277648087479422E-2</v>
      </c>
      <c r="H12" s="139">
        <f>+SUM(H5:H11)</f>
        <v>57651</v>
      </c>
      <c r="I12" s="142">
        <f>+SUM(I5:I11)</f>
        <v>53567.599000000002</v>
      </c>
      <c r="J12" s="140">
        <f t="shared" si="1"/>
        <v>0.92917033529340343</v>
      </c>
    </row>
    <row r="13" spans="1:11" ht="15" customHeight="1" x14ac:dyDescent="0.25">
      <c r="A13" s="164"/>
      <c r="B13" s="169" t="s">
        <v>39</v>
      </c>
      <c r="C13" s="177">
        <v>69</v>
      </c>
      <c r="D13" s="173">
        <v>104.29900000000001</v>
      </c>
      <c r="E13" s="80">
        <f t="shared" si="0"/>
        <v>2.3723884995147135E-2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85</v>
      </c>
      <c r="C14" s="177">
        <v>220</v>
      </c>
      <c r="D14" s="173">
        <v>331.68</v>
      </c>
      <c r="E14" s="80">
        <f t="shared" si="0"/>
        <v>7.5444042370400491E-2</v>
      </c>
      <c r="F14" s="112" t="s">
        <v>108</v>
      </c>
      <c r="G14" s="190">
        <v>204007.80300000001</v>
      </c>
      <c r="H14" s="190">
        <v>190629.128</v>
      </c>
      <c r="I14" s="190">
        <f>+D24</f>
        <v>176526.30799999999</v>
      </c>
      <c r="J14" s="98">
        <f>+H14/G14</f>
        <v>0.93442076820953746</v>
      </c>
      <c r="K14" s="98">
        <f>+I14/H14</f>
        <v>0.92601959549434643</v>
      </c>
    </row>
    <row r="15" spans="1:11" ht="15" customHeight="1" x14ac:dyDescent="0.25">
      <c r="A15" s="164"/>
      <c r="B15" s="169" t="s">
        <v>45</v>
      </c>
      <c r="C15" s="177">
        <v>21</v>
      </c>
      <c r="D15" s="173">
        <v>31.64</v>
      </c>
      <c r="E15" s="80">
        <f t="shared" si="0"/>
        <v>7.196844852265653E-3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ref="J15:K26" si="2">+H15/G15</f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88</v>
      </c>
      <c r="C16" s="177">
        <v>180</v>
      </c>
      <c r="D16" s="173">
        <v>275.04999999999995</v>
      </c>
      <c r="E16" s="80">
        <f t="shared" si="0"/>
        <v>6.2562963862694929E-2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44</v>
      </c>
      <c r="C17" s="177">
        <v>44</v>
      </c>
      <c r="D17" s="173">
        <v>66.5</v>
      </c>
      <c r="E17" s="80">
        <f t="shared" si="0"/>
        <v>1.5126111968257456E-2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49</v>
      </c>
      <c r="C18" s="177">
        <v>40</v>
      </c>
      <c r="D18" s="173">
        <v>60.2</v>
      </c>
      <c r="E18" s="80">
        <f t="shared" si="0"/>
        <v>1.3693111887054119E-2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184</v>
      </c>
      <c r="C19" s="177"/>
      <c r="D19" s="173"/>
      <c r="E19" s="80">
        <f t="shared" si="0"/>
        <v>0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184</v>
      </c>
      <c r="C20" s="177"/>
      <c r="D20" s="173">
        <v>32.4</v>
      </c>
      <c r="E20" s="80">
        <f t="shared" si="0"/>
        <v>7.3697147033314515E-3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9</v>
      </c>
      <c r="C21" s="177"/>
      <c r="D21" s="173">
        <v>122.70000000000002</v>
      </c>
      <c r="E21" s="80">
        <f t="shared" si="0"/>
        <v>2.7909382533912633E-2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thickBot="1" x14ac:dyDescent="0.3">
      <c r="A22" s="164"/>
      <c r="B22" s="169" t="s">
        <v>40</v>
      </c>
      <c r="C22" s="177"/>
      <c r="D22" s="173">
        <v>420.31000000000006</v>
      </c>
      <c r="E22" s="80">
        <f t="shared" si="0"/>
        <v>9.560385144929763E-2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B23" s="178" t="s">
        <v>0</v>
      </c>
      <c r="C23" s="170"/>
      <c r="D23" s="171">
        <f>SUM(D5:D22)</f>
        <v>4396.3710000000001</v>
      </c>
      <c r="E23" s="80">
        <f t="shared" si="0"/>
        <v>1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B24" s="166" t="s">
        <v>1</v>
      </c>
      <c r="C24" s="167"/>
      <c r="D24" s="233">
        <v>176526.30799999999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176526.30799999999</v>
      </c>
      <c r="J26" s="378">
        <f t="shared" si="2"/>
        <v>1.0267879425243049</v>
      </c>
      <c r="K26" s="378">
        <f t="shared" si="2"/>
        <v>6.7483580141381574E-2</v>
      </c>
    </row>
    <row r="27" spans="1:11" ht="16.5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9.5" thickBot="1" x14ac:dyDescent="0.3">
      <c r="E28" s="313">
        <f>+D24/H2</f>
        <v>0.85348954613530181</v>
      </c>
      <c r="F28" s="179"/>
      <c r="G28" s="179"/>
      <c r="J28" s="179"/>
    </row>
    <row r="29" spans="1:11" x14ac:dyDescent="0.25">
      <c r="B29" s="397" t="s">
        <v>251</v>
      </c>
      <c r="C29" s="112">
        <v>25</v>
      </c>
      <c r="D29" s="108">
        <f>+(H2/31)*C29</f>
        <v>166797.50379026154</v>
      </c>
      <c r="E29" s="314">
        <f>+D29/H2</f>
        <v>0.80645161290322576</v>
      </c>
      <c r="F29" s="352"/>
    </row>
    <row r="30" spans="1:11" x14ac:dyDescent="0.25">
      <c r="D30" s="183">
        <f>+D24-D29</f>
        <v>9728.8042097384459</v>
      </c>
      <c r="E30" s="99">
        <f>E28-E29</f>
        <v>4.7037933232076057E-2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245</v>
      </c>
      <c r="D33" s="108">
        <v>2142</v>
      </c>
      <c r="E33" s="57">
        <f>+C33/D33</f>
        <v>0.11437908496732026</v>
      </c>
      <c r="G33" s="86" t="s">
        <v>86</v>
      </c>
      <c r="H33" s="87">
        <v>6667</v>
      </c>
      <c r="I33" s="88">
        <f>+H33*0.025</f>
        <v>166.67500000000001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824</v>
      </c>
      <c r="D34" s="108">
        <v>1890</v>
      </c>
      <c r="E34" s="57">
        <f>+C34/D34</f>
        <v>0.43597883597883597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1961</v>
      </c>
      <c r="D35" s="108">
        <v>3006</v>
      </c>
      <c r="E35" s="57">
        <f>+C35/D35</f>
        <v>0.65236194278110449</v>
      </c>
      <c r="G35" s="89" t="s">
        <v>169</v>
      </c>
      <c r="H35" s="87">
        <v>162</v>
      </c>
      <c r="I35" s="88">
        <f>+H35*1.5</f>
        <v>243</v>
      </c>
      <c r="J35" s="298">
        <f>+I35+I33</f>
        <v>409.67500000000001</v>
      </c>
    </row>
    <row r="36" spans="1:11" x14ac:dyDescent="0.25">
      <c r="C36" s="162">
        <f>+SUM(C33:C35)</f>
        <v>3030</v>
      </c>
      <c r="D36" s="110">
        <f>+SUM(D33:D35)</f>
        <v>7038</v>
      </c>
      <c r="E36" s="57">
        <f>+C36/D36</f>
        <v>0.43052003410059675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34</v>
      </c>
      <c r="C40" s="74">
        <v>5</v>
      </c>
      <c r="D40" s="74">
        <v>6</v>
      </c>
      <c r="E40" s="75">
        <f>+SUM(B40:D40)</f>
        <v>45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0.7</v>
      </c>
      <c r="C43" s="199">
        <v>1966</v>
      </c>
      <c r="D43" s="200">
        <v>2400</v>
      </c>
      <c r="E43" s="201">
        <f t="shared" ref="E43:E48" si="3">+C43/D43</f>
        <v>0.81916666666666671</v>
      </c>
      <c r="F43" s="201">
        <f t="shared" ref="F43:F48" si="4">+B43/24</f>
        <v>2.9166666666666664E-2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3.56</v>
      </c>
      <c r="C44" s="199">
        <v>1648</v>
      </c>
      <c r="D44" s="200">
        <v>3600</v>
      </c>
      <c r="E44" s="201">
        <f t="shared" si="3"/>
        <v>0.45777777777777778</v>
      </c>
      <c r="F44" s="201">
        <f t="shared" si="4"/>
        <v>0.14833333333333334</v>
      </c>
      <c r="G44" s="202">
        <v>12</v>
      </c>
      <c r="H44" s="71"/>
    </row>
    <row r="45" spans="1:11" x14ac:dyDescent="0.25">
      <c r="A45" s="207" t="s">
        <v>72</v>
      </c>
      <c r="B45" s="199">
        <v>6.68</v>
      </c>
      <c r="C45" s="199">
        <v>1709</v>
      </c>
      <c r="D45" s="200">
        <v>3900</v>
      </c>
      <c r="E45" s="201">
        <f t="shared" si="3"/>
        <v>0.43820512820512819</v>
      </c>
      <c r="F45" s="201">
        <f t="shared" si="4"/>
        <v>0.27833333333333332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3.8</v>
      </c>
      <c r="C46" s="199">
        <v>3050</v>
      </c>
      <c r="D46" s="200">
        <v>3900</v>
      </c>
      <c r="E46" s="201">
        <f t="shared" si="3"/>
        <v>0.78205128205128205</v>
      </c>
      <c r="F46" s="201">
        <f t="shared" si="4"/>
        <v>0.15833333333333333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5" si="5">+J46*1.5</f>
        <v>139.5</v>
      </c>
    </row>
    <row r="47" spans="1:11" x14ac:dyDescent="0.25">
      <c r="A47" s="207" t="s">
        <v>74</v>
      </c>
      <c r="B47" s="199">
        <v>6.42</v>
      </c>
      <c r="C47" s="199">
        <v>2856</v>
      </c>
      <c r="D47" s="200">
        <v>3900</v>
      </c>
      <c r="E47" s="201">
        <f t="shared" si="3"/>
        <v>0.73230769230769233</v>
      </c>
      <c r="F47" s="201">
        <f t="shared" si="4"/>
        <v>0.26750000000000002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1" x14ac:dyDescent="0.25">
      <c r="A48" s="259" t="s">
        <v>75</v>
      </c>
      <c r="B48" s="260">
        <v>9.58</v>
      </c>
      <c r="C48" s="261">
        <v>2627</v>
      </c>
      <c r="D48" s="262">
        <v>4300</v>
      </c>
      <c r="E48" s="263">
        <f t="shared" si="3"/>
        <v>0.6109302325581395</v>
      </c>
      <c r="F48" s="201">
        <f t="shared" si="4"/>
        <v>0.39916666666666667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30.739999999999995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0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5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0</v>
      </c>
      <c r="K56" s="318"/>
    </row>
    <row r="57" spans="2:11" x14ac:dyDescent="0.25">
      <c r="C57" s="71">
        <v>7</v>
      </c>
      <c r="D57" s="225">
        <v>0</v>
      </c>
      <c r="E57" s="225" t="s">
        <v>250</v>
      </c>
      <c r="K57" s="318"/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252</v>
      </c>
      <c r="I59" s="345"/>
      <c r="J59" s="199">
        <f>+J52+J53+J54+J55</f>
        <v>439</v>
      </c>
      <c r="K59" s="346">
        <f>+J59*1.5</f>
        <v>658.5</v>
      </c>
    </row>
    <row r="60" spans="2:11" x14ac:dyDescent="0.25">
      <c r="B60" s="364" t="s">
        <v>231</v>
      </c>
      <c r="C60" s="199">
        <v>1551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45970</v>
      </c>
      <c r="I61" s="129" t="s">
        <v>176</v>
      </c>
      <c r="J61" s="162">
        <v>3367</v>
      </c>
      <c r="K61" s="318">
        <v>84.175000000000011</v>
      </c>
    </row>
    <row r="62" spans="2:11" x14ac:dyDescent="0.25">
      <c r="H62" s="301">
        <v>45984</v>
      </c>
      <c r="I62" s="129" t="s">
        <v>175</v>
      </c>
      <c r="J62" s="162">
        <v>6792</v>
      </c>
      <c r="K62" s="318">
        <v>169.8</v>
      </c>
    </row>
    <row r="63" spans="2:11" x14ac:dyDescent="0.25">
      <c r="H63" s="301">
        <v>46006</v>
      </c>
      <c r="I63" s="129" t="s">
        <v>175</v>
      </c>
      <c r="J63" s="162">
        <v>5733</v>
      </c>
      <c r="K63" s="318">
        <v>143.32500000000002</v>
      </c>
    </row>
    <row r="64" spans="2:11" x14ac:dyDescent="0.25">
      <c r="H64" s="301">
        <v>46008</v>
      </c>
      <c r="I64" s="129" t="s">
        <v>176</v>
      </c>
      <c r="J64" s="162">
        <v>2482</v>
      </c>
      <c r="K64" s="318">
        <v>62.050000000000004</v>
      </c>
    </row>
    <row r="65" spans="2:11" x14ac:dyDescent="0.25">
      <c r="B65" s="66"/>
      <c r="C65" s="391"/>
      <c r="D65" s="391"/>
      <c r="H65" s="301">
        <v>46012</v>
      </c>
      <c r="I65" s="129" t="s">
        <v>175</v>
      </c>
      <c r="J65" s="162">
        <v>6042</v>
      </c>
      <c r="K65" s="318">
        <v>151.05000000000001</v>
      </c>
    </row>
    <row r="66" spans="2:11" x14ac:dyDescent="0.25">
      <c r="C66" s="389"/>
      <c r="H66" s="301">
        <v>46047</v>
      </c>
      <c r="I66" s="129" t="s">
        <v>175</v>
      </c>
      <c r="J66" s="162">
        <v>1509</v>
      </c>
      <c r="K66" s="318">
        <f>+J66*0.025</f>
        <v>37.725000000000001</v>
      </c>
    </row>
    <row r="67" spans="2:11" x14ac:dyDescent="0.25">
      <c r="C67" s="389"/>
      <c r="H67" s="359" t="s">
        <v>232</v>
      </c>
      <c r="I67" s="345"/>
      <c r="J67" s="200">
        <f>+J66</f>
        <v>1509</v>
      </c>
      <c r="K67" s="346">
        <f>+K66</f>
        <v>37.725000000000001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6">+J72*1.5</f>
        <v>33</v>
      </c>
    </row>
    <row r="73" spans="2:11" x14ac:dyDescent="0.25">
      <c r="H73" s="301">
        <v>46032</v>
      </c>
      <c r="I73" s="129" t="s">
        <v>176</v>
      </c>
      <c r="J73" s="68">
        <v>166</v>
      </c>
      <c r="K73" s="318">
        <f t="shared" si="6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6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6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6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6"/>
        <v>264</v>
      </c>
    </row>
    <row r="79" spans="2:11" x14ac:dyDescent="0.25">
      <c r="H79" s="344"/>
      <c r="I79" s="345"/>
      <c r="J79" s="200">
        <f>+J76+J77</f>
        <v>315</v>
      </c>
      <c r="K79" s="346">
        <f>+J79*1.5</f>
        <v>472.5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56" workbookViewId="0">
      <selection activeCell="A29" sqref="A29:K7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v>46048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19.5" customHeight="1" thickBot="1" x14ac:dyDescent="0.4">
      <c r="A4" s="164"/>
      <c r="B4" s="399"/>
      <c r="C4" s="399"/>
      <c r="D4" s="165">
        <f>D24</f>
        <v>7603.9629999999997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38</v>
      </c>
      <c r="C5" s="176">
        <v>36289</v>
      </c>
      <c r="D5" s="172">
        <v>1550.2319999999997</v>
      </c>
      <c r="E5" s="245">
        <f t="shared" ref="E5:E23" si="0">+D5/$D$4</f>
        <v>0.20387158643459993</v>
      </c>
      <c r="F5" s="58" t="s">
        <v>51</v>
      </c>
      <c r="G5" s="59">
        <v>46048</v>
      </c>
      <c r="H5" s="190">
        <v>7703.0000000000009</v>
      </c>
      <c r="I5" s="141">
        <v>7603.9629999999997</v>
      </c>
      <c r="J5" s="60">
        <f t="shared" ref="J5:J12" si="1">+I5/H5</f>
        <v>0.98714306114500827</v>
      </c>
    </row>
    <row r="6" spans="1:11" ht="15" customHeight="1" x14ac:dyDescent="0.25">
      <c r="A6" s="164"/>
      <c r="B6" s="169" t="s">
        <v>37</v>
      </c>
      <c r="C6" s="177">
        <v>35287</v>
      </c>
      <c r="D6" s="173">
        <v>1505.47</v>
      </c>
      <c r="E6" s="245">
        <f t="shared" si="0"/>
        <v>0.19798491917964356</v>
      </c>
      <c r="F6" s="58" t="s">
        <v>52</v>
      </c>
      <c r="G6" s="59">
        <v>46049</v>
      </c>
      <c r="H6" s="190">
        <v>9645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29701</v>
      </c>
      <c r="D7" s="173">
        <v>1265.5550000000003</v>
      </c>
      <c r="E7" s="245">
        <f t="shared" si="0"/>
        <v>0.16643360836974092</v>
      </c>
      <c r="F7" s="58" t="s">
        <v>53</v>
      </c>
      <c r="G7" s="59">
        <v>46050</v>
      </c>
      <c r="H7" s="190">
        <v>8143.9999999999982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42</v>
      </c>
      <c r="C8" s="177">
        <v>15673</v>
      </c>
      <c r="D8" s="173">
        <v>668.91</v>
      </c>
      <c r="E8" s="80">
        <f t="shared" si="0"/>
        <v>8.7968602687835282E-2</v>
      </c>
      <c r="F8" s="58" t="s">
        <v>54</v>
      </c>
      <c r="G8" s="59">
        <v>46051</v>
      </c>
      <c r="H8" s="190">
        <v>7651.0000000000009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10</v>
      </c>
      <c r="C9" s="177">
        <v>9305</v>
      </c>
      <c r="D9" s="173">
        <v>396.80600000000004</v>
      </c>
      <c r="E9" s="80">
        <f t="shared" si="0"/>
        <v>5.2184104525495462E-2</v>
      </c>
      <c r="F9" s="58" t="s">
        <v>55</v>
      </c>
      <c r="G9" s="59">
        <v>46052</v>
      </c>
      <c r="H9" s="190">
        <v>8173.9999999999991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6</v>
      </c>
      <c r="C10" s="177">
        <v>1520</v>
      </c>
      <c r="D10" s="173">
        <v>64.78</v>
      </c>
      <c r="E10" s="80">
        <f t="shared" si="0"/>
        <v>8.5192418742700352E-3</v>
      </c>
      <c r="F10" s="58" t="s">
        <v>56</v>
      </c>
      <c r="G10" s="59">
        <v>46053</v>
      </c>
      <c r="H10" s="190">
        <v>7828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</v>
      </c>
      <c r="C11" s="177">
        <v>840</v>
      </c>
      <c r="D11" s="173">
        <v>35.840000000000003</v>
      </c>
      <c r="E11" s="80">
        <f t="shared" si="0"/>
        <v>4.7133317192627061E-3</v>
      </c>
      <c r="F11" s="58" t="s">
        <v>57</v>
      </c>
      <c r="G11" s="59">
        <v>46054</v>
      </c>
      <c r="H11" s="190">
        <v>4109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196</v>
      </c>
      <c r="C12" s="177">
        <v>9288</v>
      </c>
      <c r="D12" s="173">
        <v>233.59999999999997</v>
      </c>
      <c r="E12" s="80">
        <f t="shared" si="0"/>
        <v>3.0720822813051558E-2</v>
      </c>
      <c r="H12" s="139">
        <f>+SUM(H5:H11)</f>
        <v>53254</v>
      </c>
      <c r="I12" s="142">
        <f>+SUM(I5:I11)</f>
        <v>7603.9629999999997</v>
      </c>
      <c r="J12" s="140">
        <f t="shared" si="1"/>
        <v>0.14278670146843428</v>
      </c>
    </row>
    <row r="13" spans="1:11" ht="15" customHeight="1" x14ac:dyDescent="0.25">
      <c r="A13" s="164"/>
      <c r="B13" s="169" t="s">
        <v>34</v>
      </c>
      <c r="C13" s="177">
        <v>1224</v>
      </c>
      <c r="D13" s="173">
        <v>30.83</v>
      </c>
      <c r="E13" s="80">
        <f t="shared" si="0"/>
        <v>4.0544647573903239E-3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39</v>
      </c>
      <c r="C14" s="177">
        <v>310</v>
      </c>
      <c r="D14" s="173">
        <v>468.63</v>
      </c>
      <c r="E14" s="80">
        <f t="shared" si="0"/>
        <v>6.1629705457535766E-2</v>
      </c>
      <c r="F14" s="112" t="s">
        <v>108</v>
      </c>
      <c r="G14" s="190">
        <v>204007.80300000001</v>
      </c>
      <c r="H14" s="190">
        <v>190629.128</v>
      </c>
      <c r="I14" s="190">
        <f>+D25</f>
        <v>184160.56099999999</v>
      </c>
      <c r="J14" s="98">
        <f>+H14/G14</f>
        <v>0.93442076820953746</v>
      </c>
      <c r="K14" s="98">
        <f>+I14/H14</f>
        <v>0.96606726858657188</v>
      </c>
    </row>
    <row r="15" spans="1:11" ht="15" customHeight="1" x14ac:dyDescent="0.25">
      <c r="A15" s="164"/>
      <c r="B15" s="169" t="s">
        <v>43</v>
      </c>
      <c r="C15" s="177">
        <v>174</v>
      </c>
      <c r="D15" s="173">
        <v>262.73</v>
      </c>
      <c r="E15" s="80">
        <f t="shared" si="0"/>
        <v>3.4551719938668825E-2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ref="J15:K26" si="2">+H15/G15</f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49</v>
      </c>
      <c r="C16" s="177">
        <v>107</v>
      </c>
      <c r="D16" s="173">
        <v>160.95999999999998</v>
      </c>
      <c r="E16" s="80">
        <f t="shared" si="0"/>
        <v>2.1167909417760183E-2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41</v>
      </c>
      <c r="C17" s="177">
        <v>84</v>
      </c>
      <c r="D17" s="173">
        <v>126.24</v>
      </c>
      <c r="E17" s="80">
        <f t="shared" si="0"/>
        <v>1.6601869314724439E-2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88</v>
      </c>
      <c r="C18" s="177">
        <v>61.1</v>
      </c>
      <c r="D18" s="173">
        <v>61.1</v>
      </c>
      <c r="E18" s="80">
        <f t="shared" si="0"/>
        <v>8.0352837066671682E-3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44</v>
      </c>
      <c r="C19" s="177">
        <v>24</v>
      </c>
      <c r="D19" s="173">
        <v>36.06</v>
      </c>
      <c r="E19" s="80">
        <f t="shared" si="0"/>
        <v>4.742264001021573E-3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85</v>
      </c>
      <c r="C20" s="177">
        <v>22</v>
      </c>
      <c r="D20" s="173">
        <v>33.18</v>
      </c>
      <c r="E20" s="80">
        <f t="shared" si="0"/>
        <v>4.3635141307236764E-3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396.48</v>
      </c>
      <c r="E21" s="80">
        <f t="shared" si="0"/>
        <v>5.2141232144343685E-2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9</v>
      </c>
      <c r="C22" s="177"/>
      <c r="D22" s="173">
        <v>278.37</v>
      </c>
      <c r="E22" s="80">
        <f t="shared" si="0"/>
        <v>3.6608542150981013E-2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A23" s="164"/>
      <c r="B23" s="169" t="s">
        <v>46</v>
      </c>
      <c r="C23" s="177"/>
      <c r="D23" s="173">
        <v>28.19</v>
      </c>
      <c r="E23" s="80">
        <f t="shared" si="0"/>
        <v>3.7072773762839195E-3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B24" s="178" t="s">
        <v>0</v>
      </c>
      <c r="C24" s="170"/>
      <c r="D24" s="171">
        <f>SUM(D5:D23)</f>
        <v>7603.9629999999997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B25" s="166" t="s">
        <v>1</v>
      </c>
      <c r="C25" s="167"/>
      <c r="D25" s="233">
        <v>184160.56099999999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184160.56099999999</v>
      </c>
      <c r="J26" s="378">
        <f t="shared" si="2"/>
        <v>1.0267879425243049</v>
      </c>
      <c r="K26" s="378">
        <f t="shared" si="2"/>
        <v>7.0402050084938564E-2</v>
      </c>
    </row>
    <row r="27" spans="1:11" ht="16.5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9.5" thickBot="1" x14ac:dyDescent="0.3">
      <c r="E28" s="313">
        <f>+D25/H2</f>
        <v>0.89040050406488169</v>
      </c>
      <c r="F28" s="179"/>
      <c r="G28" s="179"/>
      <c r="J28" s="179"/>
    </row>
    <row r="29" spans="1:11" x14ac:dyDescent="0.25">
      <c r="B29" s="397" t="s">
        <v>251</v>
      </c>
      <c r="C29" s="112">
        <v>26</v>
      </c>
      <c r="D29" s="108">
        <f>+(H2/31)*C29</f>
        <v>173469.40394187201</v>
      </c>
      <c r="E29" s="314">
        <f>+D29/H2</f>
        <v>0.83870967741935487</v>
      </c>
      <c r="F29" s="352"/>
    </row>
    <row r="30" spans="1:11" x14ac:dyDescent="0.25">
      <c r="D30" s="183">
        <f>+D25-D29</f>
        <v>10691.157058127981</v>
      </c>
      <c r="E30" s="99">
        <f>E28-E29</f>
        <v>5.1690826645526822E-2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211</v>
      </c>
      <c r="D33" s="108">
        <v>2142</v>
      </c>
      <c r="E33" s="57">
        <f>+C33/D33</f>
        <v>9.8506069094304385E-2</v>
      </c>
      <c r="G33" s="86" t="s">
        <v>86</v>
      </c>
      <c r="H33" s="87">
        <v>6667</v>
      </c>
      <c r="I33" s="88">
        <f>+H33*0.025</f>
        <v>166.67500000000001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865</v>
      </c>
      <c r="D34" s="108">
        <v>1890</v>
      </c>
      <c r="E34" s="57">
        <f>+C34/D34</f>
        <v>0.45767195767195767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1823</v>
      </c>
      <c r="D35" s="108">
        <v>3006</v>
      </c>
      <c r="E35" s="57">
        <f>+C35/D35</f>
        <v>0.60645375914836996</v>
      </c>
      <c r="G35" s="89" t="s">
        <v>169</v>
      </c>
      <c r="H35" s="87">
        <v>142</v>
      </c>
      <c r="I35" s="88">
        <f>+H35*1.5</f>
        <v>213</v>
      </c>
      <c r="J35" s="298">
        <f>+I35+I33</f>
        <v>379.67500000000001</v>
      </c>
    </row>
    <row r="36" spans="1:11" x14ac:dyDescent="0.25">
      <c r="C36" s="162">
        <f>+SUM(C33:C35)</f>
        <v>2899</v>
      </c>
      <c r="D36" s="110">
        <f>+SUM(D33:D35)</f>
        <v>7038</v>
      </c>
      <c r="E36" s="57">
        <f>+C36/D36</f>
        <v>0.41190679170218814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37</v>
      </c>
      <c r="C40" s="74">
        <v>5</v>
      </c>
      <c r="D40" s="74">
        <v>8</v>
      </c>
      <c r="E40" s="75">
        <f>+SUM(B40:D40)</f>
        <v>50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11.31</v>
      </c>
      <c r="C44" s="199">
        <v>1973</v>
      </c>
      <c r="D44" s="200">
        <v>3600</v>
      </c>
      <c r="E44" s="201">
        <f t="shared" si="3"/>
        <v>0.54805555555555552</v>
      </c>
      <c r="F44" s="201">
        <f t="shared" si="4"/>
        <v>0.47125</v>
      </c>
      <c r="G44" s="202">
        <v>12</v>
      </c>
      <c r="H44" s="71"/>
    </row>
    <row r="45" spans="1:11" x14ac:dyDescent="0.25">
      <c r="A45" s="207" t="s">
        <v>72</v>
      </c>
      <c r="B45" s="199">
        <v>8.86</v>
      </c>
      <c r="C45" s="199">
        <v>1904</v>
      </c>
      <c r="D45" s="200">
        <v>3900</v>
      </c>
      <c r="E45" s="201">
        <f t="shared" si="3"/>
        <v>0.48820512820512818</v>
      </c>
      <c r="F45" s="201">
        <f t="shared" si="4"/>
        <v>0.36916666666666664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0.97</v>
      </c>
      <c r="C46" s="199">
        <v>2808</v>
      </c>
      <c r="D46" s="200">
        <v>3900</v>
      </c>
      <c r="E46" s="201">
        <f t="shared" si="3"/>
        <v>0.72</v>
      </c>
      <c r="F46" s="201">
        <f t="shared" si="4"/>
        <v>4.0416666666666663E-2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5" si="5">+J46*1.5</f>
        <v>139.5</v>
      </c>
    </row>
    <row r="47" spans="1:11" x14ac:dyDescent="0.25">
      <c r="A47" s="207" t="s">
        <v>74</v>
      </c>
      <c r="B47" s="199">
        <v>14.75</v>
      </c>
      <c r="C47" s="199">
        <v>2478</v>
      </c>
      <c r="D47" s="200">
        <v>3900</v>
      </c>
      <c r="E47" s="201">
        <f t="shared" si="3"/>
        <v>0.63538461538461544</v>
      </c>
      <c r="F47" s="201">
        <f t="shared" si="4"/>
        <v>0.61458333333333337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1" x14ac:dyDescent="0.25">
      <c r="A48" s="259" t="s">
        <v>75</v>
      </c>
      <c r="B48" s="260">
        <v>7.71</v>
      </c>
      <c r="C48" s="261">
        <v>3200</v>
      </c>
      <c r="D48" s="262">
        <v>4300</v>
      </c>
      <c r="E48" s="263">
        <f t="shared" si="3"/>
        <v>0.7441860465116279</v>
      </c>
      <c r="F48" s="201">
        <f t="shared" si="4"/>
        <v>0.32124999999999998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43.6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0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11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0</v>
      </c>
      <c r="K56" s="318"/>
    </row>
    <row r="57" spans="2:11" x14ac:dyDescent="0.25">
      <c r="C57" s="71">
        <v>7</v>
      </c>
      <c r="D57" s="225">
        <v>0</v>
      </c>
      <c r="E57" s="225" t="s">
        <v>250</v>
      </c>
      <c r="K57" s="318"/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252</v>
      </c>
      <c r="I59" s="345"/>
      <c r="J59" s="199">
        <f>+J52+J53+J54+J55</f>
        <v>439</v>
      </c>
      <c r="K59" s="346">
        <f>+J59*1.5</f>
        <v>658.5</v>
      </c>
    </row>
    <row r="60" spans="2:11" x14ac:dyDescent="0.25">
      <c r="B60" s="364" t="s">
        <v>231</v>
      </c>
      <c r="C60" s="199">
        <v>2146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45970</v>
      </c>
      <c r="I61" s="129" t="s">
        <v>176</v>
      </c>
      <c r="J61" s="162">
        <v>3367</v>
      </c>
      <c r="K61" s="318">
        <v>84.175000000000011</v>
      </c>
    </row>
    <row r="62" spans="2:11" x14ac:dyDescent="0.25">
      <c r="H62" s="301">
        <v>45984</v>
      </c>
      <c r="I62" s="129" t="s">
        <v>175</v>
      </c>
      <c r="J62" s="162">
        <v>6792</v>
      </c>
      <c r="K62" s="318">
        <v>169.8</v>
      </c>
    </row>
    <row r="63" spans="2:11" x14ac:dyDescent="0.25">
      <c r="H63" s="301">
        <v>46006</v>
      </c>
      <c r="I63" s="129" t="s">
        <v>175</v>
      </c>
      <c r="J63" s="162">
        <v>5733</v>
      </c>
      <c r="K63" s="318">
        <v>143.32500000000002</v>
      </c>
    </row>
    <row r="64" spans="2:11" x14ac:dyDescent="0.25">
      <c r="H64" s="301">
        <v>46008</v>
      </c>
      <c r="I64" s="129" t="s">
        <v>176</v>
      </c>
      <c r="J64" s="162">
        <v>2482</v>
      </c>
      <c r="K64" s="318">
        <v>62.050000000000004</v>
      </c>
    </row>
    <row r="65" spans="2:11" x14ac:dyDescent="0.25">
      <c r="B65" s="66"/>
      <c r="C65" s="391"/>
      <c r="D65" s="391"/>
      <c r="H65" s="301">
        <v>46012</v>
      </c>
      <c r="I65" s="129" t="s">
        <v>175</v>
      </c>
      <c r="J65" s="162">
        <v>6042</v>
      </c>
      <c r="K65" s="318">
        <v>151.05000000000001</v>
      </c>
    </row>
    <row r="66" spans="2:11" x14ac:dyDescent="0.25">
      <c r="C66" s="389"/>
      <c r="H66" s="301">
        <v>46047</v>
      </c>
      <c r="I66" s="129" t="s">
        <v>175</v>
      </c>
      <c r="J66" s="162">
        <v>1509</v>
      </c>
      <c r="K66" s="318">
        <f>+J66*0.025</f>
        <v>37.725000000000001</v>
      </c>
    </row>
    <row r="67" spans="2:11" x14ac:dyDescent="0.25">
      <c r="C67" s="389"/>
      <c r="H67" s="359" t="s">
        <v>232</v>
      </c>
      <c r="I67" s="345"/>
      <c r="J67" s="200">
        <f>+J66</f>
        <v>1509</v>
      </c>
      <c r="K67" s="346">
        <f>+K66</f>
        <v>37.725000000000001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6">+J72*1.5</f>
        <v>33</v>
      </c>
    </row>
    <row r="73" spans="2:11" x14ac:dyDescent="0.25">
      <c r="B73" s="162" t="s">
        <v>253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6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6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6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6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6"/>
        <v>264</v>
      </c>
    </row>
    <row r="79" spans="2:11" x14ac:dyDescent="0.25">
      <c r="H79" s="344"/>
      <c r="I79" s="345"/>
      <c r="J79" s="200">
        <f>+J76+J77</f>
        <v>315</v>
      </c>
      <c r="K79" s="346">
        <f>+J79*1.5</f>
        <v>472.5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41" workbookViewId="0">
      <selection activeCell="A29" sqref="A29:K79"/>
    </sheetView>
  </sheetViews>
  <sheetFormatPr baseColWidth="10" defaultColWidth="11.42578125" defaultRowHeight="15.75" x14ac:dyDescent="0.25"/>
  <cols>
    <col min="1" max="1" width="2.42578125" style="162" customWidth="1"/>
    <col min="2" max="2" width="47.140625" style="162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v>46049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19.5" customHeight="1" thickBot="1" x14ac:dyDescent="0.4">
      <c r="A4" s="164"/>
      <c r="B4" s="400"/>
      <c r="C4" s="400"/>
      <c r="D4" s="165">
        <f>D24</f>
        <v>8962.9609999999993</v>
      </c>
      <c r="E4" s="80">
        <f>+D4/$D$4</f>
        <v>1</v>
      </c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38</v>
      </c>
      <c r="C5" s="176">
        <v>52881</v>
      </c>
      <c r="D5" s="172">
        <v>2257.373</v>
      </c>
      <c r="E5" s="245">
        <f t="shared" ref="E5:E23" si="0">+D5/$D$4</f>
        <v>0.25185572044774046</v>
      </c>
      <c r="F5" s="58" t="s">
        <v>51</v>
      </c>
      <c r="G5" s="59">
        <v>46048</v>
      </c>
      <c r="H5" s="190">
        <v>7703.0000000000009</v>
      </c>
      <c r="I5" s="141">
        <v>7603.9629999999997</v>
      </c>
      <c r="J5" s="60">
        <f t="shared" ref="J5:J12" si="1">+I5/H5</f>
        <v>0.98714306114500827</v>
      </c>
    </row>
    <row r="6" spans="1:11" ht="15" customHeight="1" x14ac:dyDescent="0.25">
      <c r="A6" s="164"/>
      <c r="B6" s="169" t="s">
        <v>37</v>
      </c>
      <c r="C6" s="177">
        <v>36434</v>
      </c>
      <c r="D6" s="173">
        <v>1554.37</v>
      </c>
      <c r="E6" s="245">
        <f t="shared" si="0"/>
        <v>0.17342148426173001</v>
      </c>
      <c r="F6" s="58" t="s">
        <v>52</v>
      </c>
      <c r="G6" s="59">
        <v>46049</v>
      </c>
      <c r="H6" s="190">
        <v>9645</v>
      </c>
      <c r="I6" s="141">
        <v>8962.9609999999993</v>
      </c>
      <c r="J6" s="60">
        <f t="shared" si="1"/>
        <v>0.92928574390876095</v>
      </c>
    </row>
    <row r="7" spans="1:11" ht="15" customHeight="1" x14ac:dyDescent="0.25">
      <c r="A7" s="164"/>
      <c r="B7" s="169" t="s">
        <v>35</v>
      </c>
      <c r="C7" s="177">
        <v>29647</v>
      </c>
      <c r="D7" s="173">
        <v>1263.2740000000001</v>
      </c>
      <c r="E7" s="245">
        <f t="shared" si="0"/>
        <v>0.14094382425629212</v>
      </c>
      <c r="F7" s="58" t="s">
        <v>53</v>
      </c>
      <c r="G7" s="59">
        <v>46050</v>
      </c>
      <c r="H7" s="190">
        <v>8143.9999999999982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10</v>
      </c>
      <c r="C8" s="177">
        <v>13250</v>
      </c>
      <c r="D8" s="173">
        <v>565.41000000000008</v>
      </c>
      <c r="E8" s="80">
        <f t="shared" si="0"/>
        <v>6.3082947699984432E-2</v>
      </c>
      <c r="F8" s="58" t="s">
        <v>54</v>
      </c>
      <c r="G8" s="59">
        <v>46051</v>
      </c>
      <c r="H8" s="190">
        <v>7651.0000000000009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42</v>
      </c>
      <c r="C9" s="177">
        <v>14417</v>
      </c>
      <c r="D9" s="173">
        <v>615.30399999999997</v>
      </c>
      <c r="E9" s="80">
        <f t="shared" si="0"/>
        <v>6.8649634869548129E-2</v>
      </c>
      <c r="F9" s="58" t="s">
        <v>55</v>
      </c>
      <c r="G9" s="59">
        <v>46052</v>
      </c>
      <c r="H9" s="190">
        <v>8173.9999999999991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6</v>
      </c>
      <c r="C10" s="177">
        <v>2058</v>
      </c>
      <c r="D10" s="173">
        <v>87.771999999999991</v>
      </c>
      <c r="E10" s="80">
        <f t="shared" si="0"/>
        <v>9.7927459463451865E-3</v>
      </c>
      <c r="F10" s="58" t="s">
        <v>56</v>
      </c>
      <c r="G10" s="59">
        <v>46053</v>
      </c>
      <c r="H10" s="190">
        <v>7828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218</v>
      </c>
      <c r="C11" s="177">
        <v>800</v>
      </c>
      <c r="D11" s="173">
        <v>34.07</v>
      </c>
      <c r="E11" s="80">
        <f t="shared" si="0"/>
        <v>3.8011991796014733E-3</v>
      </c>
      <c r="F11" s="58" t="s">
        <v>57</v>
      </c>
      <c r="G11" s="59">
        <v>46054</v>
      </c>
      <c r="H11" s="190">
        <v>4109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2656</v>
      </c>
      <c r="D12" s="173">
        <v>67.228000000000009</v>
      </c>
      <c r="E12" s="80">
        <f t="shared" si="0"/>
        <v>7.5006462708026968E-3</v>
      </c>
      <c r="H12" s="139">
        <f>+SUM(H5:H11)</f>
        <v>53254</v>
      </c>
      <c r="I12" s="142">
        <f>+SUM(I5:I11)</f>
        <v>16566.923999999999</v>
      </c>
      <c r="J12" s="140">
        <f t="shared" si="1"/>
        <v>0.31109257520561834</v>
      </c>
    </row>
    <row r="13" spans="1:11" ht="15" customHeight="1" x14ac:dyDescent="0.25">
      <c r="A13" s="164"/>
      <c r="B13" s="169" t="s">
        <v>39</v>
      </c>
      <c r="C13" s="177">
        <v>594</v>
      </c>
      <c r="D13" s="173">
        <v>897.9799999999999</v>
      </c>
      <c r="E13" s="80">
        <f t="shared" si="0"/>
        <v>0.10018787318164164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43</v>
      </c>
      <c r="C14" s="177">
        <v>184</v>
      </c>
      <c r="D14" s="173">
        <v>278.26</v>
      </c>
      <c r="E14" s="80">
        <f t="shared" si="0"/>
        <v>3.1045543989313355E-2</v>
      </c>
      <c r="F14" s="112" t="s">
        <v>108</v>
      </c>
      <c r="G14" s="190">
        <v>204007.80300000001</v>
      </c>
      <c r="H14" s="190">
        <v>190629.128</v>
      </c>
      <c r="I14" s="190">
        <f>+D25</f>
        <v>193351.644</v>
      </c>
      <c r="J14" s="98">
        <f>+H14/G14</f>
        <v>0.93442076820953746</v>
      </c>
      <c r="K14" s="98">
        <f>+I14/H14</f>
        <v>1.0142817418752501</v>
      </c>
    </row>
    <row r="15" spans="1:11" ht="15" customHeight="1" x14ac:dyDescent="0.25">
      <c r="A15" s="164"/>
      <c r="B15" s="169" t="s">
        <v>41</v>
      </c>
      <c r="C15" s="177">
        <v>154</v>
      </c>
      <c r="D15" s="173">
        <v>231.46</v>
      </c>
      <c r="E15" s="80">
        <f t="shared" si="0"/>
        <v>2.5824055242458382E-2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ref="J15:K26" si="2">+H15/G15</f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44</v>
      </c>
      <c r="C16" s="177">
        <v>87</v>
      </c>
      <c r="D16" s="173">
        <v>131.54</v>
      </c>
      <c r="E16" s="80">
        <f t="shared" si="0"/>
        <v>1.4675953627378275E-2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49</v>
      </c>
      <c r="C17" s="177">
        <v>63</v>
      </c>
      <c r="D17" s="173">
        <v>94.75</v>
      </c>
      <c r="E17" s="80">
        <f t="shared" si="0"/>
        <v>1.0571283306933948E-2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88</v>
      </c>
      <c r="C18" s="177">
        <v>20</v>
      </c>
      <c r="D18" s="173">
        <v>30.85</v>
      </c>
      <c r="E18" s="80">
        <f t="shared" si="0"/>
        <v>3.4419429025742726E-3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85</v>
      </c>
      <c r="C19" s="177">
        <v>22</v>
      </c>
      <c r="D19" s="173">
        <v>33.15</v>
      </c>
      <c r="E19" s="80">
        <f t="shared" si="0"/>
        <v>3.6985545290222732E-3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638.03</v>
      </c>
      <c r="E20" s="80">
        <f t="shared" si="0"/>
        <v>7.1185180879399124E-2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9</v>
      </c>
      <c r="C21" s="177"/>
      <c r="D21" s="173">
        <v>90.91</v>
      </c>
      <c r="E21" s="80">
        <f t="shared" si="0"/>
        <v>1.0142853461038156E-2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184</v>
      </c>
      <c r="C22" s="177"/>
      <c r="D22" s="173">
        <v>32.46</v>
      </c>
      <c r="E22" s="80">
        <f t="shared" si="0"/>
        <v>3.6215710410878732E-3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A23" s="164"/>
      <c r="B23" s="169" t="s">
        <v>46</v>
      </c>
      <c r="C23" s="177"/>
      <c r="D23" s="173">
        <v>58.769999999999996</v>
      </c>
      <c r="E23" s="80">
        <f t="shared" si="0"/>
        <v>6.5569849071082644E-3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B24" s="178" t="s">
        <v>0</v>
      </c>
      <c r="C24" s="170"/>
      <c r="D24" s="171">
        <f>SUM(D5:D23)</f>
        <v>8962.9609999999993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B25" s="166" t="s">
        <v>1</v>
      </c>
      <c r="C25" s="167"/>
      <c r="D25" s="233">
        <v>193351.644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193351.644</v>
      </c>
      <c r="J26" s="378">
        <f t="shared" si="2"/>
        <v>1.0267879425243049</v>
      </c>
      <c r="K26" s="378">
        <f t="shared" si="2"/>
        <v>7.3915674729581271E-2</v>
      </c>
    </row>
    <row r="27" spans="1:11" ht="16.5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9.5" thickBot="1" x14ac:dyDescent="0.3">
      <c r="E28" s="313">
        <f>+D25/H2</f>
        <v>0.93483860140594144</v>
      </c>
      <c r="F28" s="179"/>
      <c r="G28" s="179"/>
      <c r="J28" s="179"/>
    </row>
    <row r="29" spans="1:11" x14ac:dyDescent="0.25">
      <c r="B29" s="397" t="s">
        <v>251</v>
      </c>
      <c r="C29" s="401">
        <v>27</v>
      </c>
      <c r="D29" s="108">
        <f>+(H2/31)*C29</f>
        <v>180141.30409348247</v>
      </c>
      <c r="E29" s="314">
        <f>+D29/H2</f>
        <v>0.87096774193548387</v>
      </c>
      <c r="F29" s="352"/>
    </row>
    <row r="30" spans="1:11" x14ac:dyDescent="0.25">
      <c r="D30" s="183">
        <f>+D25-D29</f>
        <v>13210.339906517533</v>
      </c>
      <c r="E30" s="99">
        <f>E28-E29</f>
        <v>6.3870859470457564E-2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568</v>
      </c>
      <c r="D33" s="108">
        <v>2142</v>
      </c>
      <c r="E33" s="57">
        <f>+C33/D33</f>
        <v>0.26517273576097106</v>
      </c>
      <c r="G33" s="86" t="s">
        <v>86</v>
      </c>
      <c r="H33" s="87">
        <f>6667-1200</f>
        <v>5467</v>
      </c>
      <c r="I33" s="88">
        <f>+H33*0.025</f>
        <v>136.67500000000001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791</v>
      </c>
      <c r="D34" s="108">
        <v>1890</v>
      </c>
      <c r="E34" s="57">
        <f>+C34/D34</f>
        <v>0.41851851851851851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1153</v>
      </c>
      <c r="D35" s="108">
        <v>3006</v>
      </c>
      <c r="E35" s="57">
        <f>+C35/D35</f>
        <v>0.38356620093147037</v>
      </c>
      <c r="G35" s="89" t="s">
        <v>169</v>
      </c>
      <c r="H35" s="87">
        <v>142</v>
      </c>
      <c r="I35" s="88">
        <f>+H35*1.5</f>
        <v>213</v>
      </c>
      <c r="J35" s="298">
        <f>+I35+I33</f>
        <v>349.67500000000001</v>
      </c>
    </row>
    <row r="36" spans="1:11" x14ac:dyDescent="0.25">
      <c r="C36" s="162">
        <f>+SUM(C33:C35)</f>
        <v>2512</v>
      </c>
      <c r="D36" s="110">
        <f>+SUM(D33:D35)</f>
        <v>7038</v>
      </c>
      <c r="E36" s="57">
        <f>+C36/D36</f>
        <v>0.3569195794259733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35</v>
      </c>
      <c r="C40" s="74">
        <v>5</v>
      </c>
      <c r="D40" s="74">
        <v>22</v>
      </c>
      <c r="E40" s="75">
        <f>+SUM(B40:D40)</f>
        <v>62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5.63</v>
      </c>
      <c r="C44" s="199">
        <v>2165</v>
      </c>
      <c r="D44" s="200">
        <v>3600</v>
      </c>
      <c r="E44" s="201">
        <f t="shared" si="3"/>
        <v>0.60138888888888886</v>
      </c>
      <c r="F44" s="201">
        <f t="shared" si="4"/>
        <v>0.23458333333333334</v>
      </c>
      <c r="G44" s="202">
        <v>12</v>
      </c>
      <c r="H44" s="71"/>
    </row>
    <row r="45" spans="1:11" x14ac:dyDescent="0.25">
      <c r="A45" s="207" t="s">
        <v>72</v>
      </c>
      <c r="B45" s="199">
        <v>11.88</v>
      </c>
      <c r="C45" s="199">
        <v>1780</v>
      </c>
      <c r="D45" s="200">
        <v>3900</v>
      </c>
      <c r="E45" s="201">
        <f t="shared" si="3"/>
        <v>0.4564102564102564</v>
      </c>
      <c r="F45" s="201">
        <f t="shared" si="4"/>
        <v>0.49500000000000005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15.41</v>
      </c>
      <c r="C46" s="199">
        <v>2769</v>
      </c>
      <c r="D46" s="200">
        <v>3900</v>
      </c>
      <c r="E46" s="201">
        <f t="shared" si="3"/>
        <v>0.71</v>
      </c>
      <c r="F46" s="201">
        <f t="shared" si="4"/>
        <v>0.64208333333333334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5" si="5">+J46*1.5</f>
        <v>139.5</v>
      </c>
    </row>
    <row r="47" spans="1:11" x14ac:dyDescent="0.25">
      <c r="A47" s="207" t="s">
        <v>74</v>
      </c>
      <c r="B47" s="199">
        <v>10.8</v>
      </c>
      <c r="C47" s="199">
        <v>2800</v>
      </c>
      <c r="D47" s="200">
        <v>3900</v>
      </c>
      <c r="E47" s="201">
        <f t="shared" si="3"/>
        <v>0.71794871794871795</v>
      </c>
      <c r="F47" s="201">
        <f t="shared" si="4"/>
        <v>0.45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1" x14ac:dyDescent="0.25">
      <c r="A48" s="259" t="s">
        <v>75</v>
      </c>
      <c r="B48" s="260">
        <v>9.4600000000000009</v>
      </c>
      <c r="C48" s="261">
        <v>3424</v>
      </c>
      <c r="D48" s="262">
        <v>4300</v>
      </c>
      <c r="E48" s="263">
        <f t="shared" si="3"/>
        <v>0.79627906976744189</v>
      </c>
      <c r="F48" s="201">
        <f t="shared" si="4"/>
        <v>0.39416666666666672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53.18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0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10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0</v>
      </c>
      <c r="K56" s="318"/>
    </row>
    <row r="57" spans="2:11" x14ac:dyDescent="0.25">
      <c r="C57" s="71">
        <v>7</v>
      </c>
      <c r="D57" s="225">
        <v>0</v>
      </c>
      <c r="E57" s="225" t="s">
        <v>250</v>
      </c>
      <c r="K57" s="318"/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252</v>
      </c>
      <c r="I59" s="345"/>
      <c r="J59" s="199">
        <f>+J52+J53+J54+J55</f>
        <v>439</v>
      </c>
      <c r="K59" s="346">
        <f>+J59*1.5</f>
        <v>658.5</v>
      </c>
    </row>
    <row r="60" spans="2:11" x14ac:dyDescent="0.25">
      <c r="B60" s="364" t="s">
        <v>231</v>
      </c>
      <c r="C60" s="199">
        <v>2118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45970</v>
      </c>
      <c r="I61" s="129" t="s">
        <v>176</v>
      </c>
      <c r="J61" s="162">
        <v>3367</v>
      </c>
      <c r="K61" s="318">
        <v>84.175000000000011</v>
      </c>
    </row>
    <row r="62" spans="2:11" x14ac:dyDescent="0.25">
      <c r="H62" s="301">
        <v>45984</v>
      </c>
      <c r="I62" s="129" t="s">
        <v>175</v>
      </c>
      <c r="J62" s="162">
        <v>6792</v>
      </c>
      <c r="K62" s="318">
        <v>169.8</v>
      </c>
    </row>
    <row r="63" spans="2:11" x14ac:dyDescent="0.25">
      <c r="H63" s="301">
        <v>46006</v>
      </c>
      <c r="I63" s="129" t="s">
        <v>175</v>
      </c>
      <c r="J63" s="162">
        <v>5733</v>
      </c>
      <c r="K63" s="318">
        <v>143.32500000000002</v>
      </c>
    </row>
    <row r="64" spans="2:11" x14ac:dyDescent="0.25">
      <c r="H64" s="301">
        <v>46008</v>
      </c>
      <c r="I64" s="129" t="s">
        <v>176</v>
      </c>
      <c r="J64" s="162">
        <v>2482</v>
      </c>
      <c r="K64" s="318">
        <v>62.050000000000004</v>
      </c>
    </row>
    <row r="65" spans="2:11" x14ac:dyDescent="0.25">
      <c r="B65" s="66"/>
      <c r="C65" s="391"/>
      <c r="D65" s="391"/>
      <c r="H65" s="301">
        <v>46012</v>
      </c>
      <c r="I65" s="129" t="s">
        <v>175</v>
      </c>
      <c r="J65" s="162">
        <v>6042</v>
      </c>
      <c r="K65" s="318">
        <v>151.05000000000001</v>
      </c>
    </row>
    <row r="66" spans="2:11" x14ac:dyDescent="0.25">
      <c r="C66" s="389"/>
      <c r="H66" s="301">
        <v>46047</v>
      </c>
      <c r="I66" s="129" t="s">
        <v>175</v>
      </c>
      <c r="J66" s="162">
        <v>1509</v>
      </c>
      <c r="K66" s="318">
        <f>+J66*0.025</f>
        <v>37.725000000000001</v>
      </c>
    </row>
    <row r="67" spans="2:11" x14ac:dyDescent="0.25">
      <c r="C67" s="389"/>
      <c r="H67" s="359" t="s">
        <v>232</v>
      </c>
      <c r="I67" s="345"/>
      <c r="J67" s="200">
        <f>+J66</f>
        <v>1509</v>
      </c>
      <c r="K67" s="346">
        <f>+K66</f>
        <v>37.725000000000001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6">+J72*1.5</f>
        <v>33</v>
      </c>
    </row>
    <row r="73" spans="2:11" x14ac:dyDescent="0.25">
      <c r="B73" s="162" t="s">
        <v>253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6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6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6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6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6"/>
        <v>264</v>
      </c>
    </row>
    <row r="79" spans="2:11" x14ac:dyDescent="0.25">
      <c r="H79" s="344"/>
      <c r="I79" s="345"/>
      <c r="J79" s="200">
        <f>+J76+J77</f>
        <v>315</v>
      </c>
      <c r="K79" s="346">
        <f>+J79*1.5</f>
        <v>472.5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58" workbookViewId="0">
      <selection activeCell="A29" sqref="A29:L80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1.85546875" style="162" bestFit="1" customWidth="1"/>
    <col min="6" max="6" width="11.42578125" style="162"/>
    <col min="7" max="7" width="11.85546875" style="162" bestFit="1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19.5" customHeight="1" thickBot="1" x14ac:dyDescent="0.4">
      <c r="A4" s="164"/>
      <c r="B4" s="402"/>
      <c r="C4" s="402"/>
      <c r="D4" s="165">
        <f>D21</f>
        <v>7987.3340000000007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3911</v>
      </c>
      <c r="D5" s="172">
        <v>166.83</v>
      </c>
      <c r="E5" s="80">
        <f t="shared" ref="E5:E20" si="0">+D5/$D$4</f>
        <v>2.088681905627084E-2</v>
      </c>
      <c r="F5" s="58" t="s">
        <v>51</v>
      </c>
      <c r="G5" s="59">
        <v>46048</v>
      </c>
      <c r="H5" s="190">
        <v>7703.0000000000009</v>
      </c>
      <c r="I5" s="141">
        <v>7603.9629999999997</v>
      </c>
      <c r="J5" s="60">
        <f t="shared" ref="J5:J12" si="1">+I5/H5</f>
        <v>0.98714306114500827</v>
      </c>
    </row>
    <row r="6" spans="1:11" ht="15" customHeight="1" x14ac:dyDescent="0.25">
      <c r="A6" s="164"/>
      <c r="B6" s="169" t="s">
        <v>10</v>
      </c>
      <c r="C6" s="177">
        <v>10135</v>
      </c>
      <c r="D6" s="173">
        <v>432.95400000000001</v>
      </c>
      <c r="E6" s="80">
        <f t="shared" si="0"/>
        <v>5.4205070177358296E-2</v>
      </c>
      <c r="F6" s="58" t="s">
        <v>52</v>
      </c>
      <c r="G6" s="59">
        <v>46049</v>
      </c>
      <c r="H6" s="190">
        <v>9645</v>
      </c>
      <c r="I6" s="141">
        <v>8962.9609999999993</v>
      </c>
      <c r="J6" s="60">
        <f t="shared" si="1"/>
        <v>0.92928574390876095</v>
      </c>
    </row>
    <row r="7" spans="1:11" ht="15" customHeight="1" x14ac:dyDescent="0.25">
      <c r="A7" s="164"/>
      <c r="B7" s="169" t="s">
        <v>35</v>
      </c>
      <c r="C7" s="177">
        <v>29500</v>
      </c>
      <c r="D7" s="173">
        <v>1256.9739999999999</v>
      </c>
      <c r="E7" s="245">
        <f t="shared" si="0"/>
        <v>0.1573709074892824</v>
      </c>
      <c r="F7" s="58" t="s">
        <v>53</v>
      </c>
      <c r="G7" s="59">
        <v>46050</v>
      </c>
      <c r="H7" s="190">
        <v>8143.9999999999982</v>
      </c>
      <c r="I7" s="141">
        <v>7987.3340000000007</v>
      </c>
      <c r="J7" s="60">
        <f t="shared" si="1"/>
        <v>0.98076301571709268</v>
      </c>
    </row>
    <row r="8" spans="1:11" ht="15" customHeight="1" x14ac:dyDescent="0.25">
      <c r="A8" s="164"/>
      <c r="B8" s="169" t="s">
        <v>37</v>
      </c>
      <c r="C8" s="177">
        <v>36772</v>
      </c>
      <c r="D8" s="173">
        <v>1569.7100000000007</v>
      </c>
      <c r="E8" s="245">
        <f t="shared" si="0"/>
        <v>0.19652489804482956</v>
      </c>
      <c r="F8" s="58" t="s">
        <v>54</v>
      </c>
      <c r="G8" s="59">
        <v>46051</v>
      </c>
      <c r="H8" s="190">
        <v>7651.0000000000009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38</v>
      </c>
      <c r="C9" s="177">
        <v>41422</v>
      </c>
      <c r="D9" s="173">
        <v>1767.1100000000001</v>
      </c>
      <c r="E9" s="245">
        <f t="shared" si="0"/>
        <v>0.22123902668900536</v>
      </c>
      <c r="F9" s="58" t="s">
        <v>55</v>
      </c>
      <c r="G9" s="59">
        <v>46052</v>
      </c>
      <c r="H9" s="190">
        <v>8173.9999999999991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42</v>
      </c>
      <c r="C10" s="177">
        <v>10808</v>
      </c>
      <c r="D10" s="173">
        <v>461.27600000000007</v>
      </c>
      <c r="E10" s="80">
        <f t="shared" si="0"/>
        <v>5.7750934166519143E-2</v>
      </c>
      <c r="F10" s="58" t="s">
        <v>56</v>
      </c>
      <c r="G10" s="59">
        <v>46053</v>
      </c>
      <c r="H10" s="190">
        <v>7828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44</v>
      </c>
      <c r="C11" s="177">
        <v>86</v>
      </c>
      <c r="D11" s="173">
        <v>129.97</v>
      </c>
      <c r="E11" s="80">
        <f t="shared" si="0"/>
        <v>1.6272012664050355E-2</v>
      </c>
      <c r="F11" s="58" t="s">
        <v>57</v>
      </c>
      <c r="G11" s="59">
        <v>46054</v>
      </c>
      <c r="H11" s="190">
        <v>4109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39</v>
      </c>
      <c r="C12" s="177">
        <v>485</v>
      </c>
      <c r="D12" s="173">
        <v>731.28</v>
      </c>
      <c r="E12" s="80">
        <f t="shared" si="0"/>
        <v>9.1554954381524542E-2</v>
      </c>
      <c r="H12" s="139">
        <f>+SUM(H5:H11)</f>
        <v>53254</v>
      </c>
      <c r="I12" s="142">
        <f>+SUM(I5:I11)</f>
        <v>24554.258000000002</v>
      </c>
      <c r="J12" s="140">
        <f t="shared" si="1"/>
        <v>0.461078191309573</v>
      </c>
    </row>
    <row r="13" spans="1:11" ht="15" customHeight="1" x14ac:dyDescent="0.25">
      <c r="A13" s="164"/>
      <c r="B13" s="169" t="s">
        <v>43</v>
      </c>
      <c r="C13" s="177">
        <v>276</v>
      </c>
      <c r="D13" s="173">
        <v>416.41</v>
      </c>
      <c r="E13" s="80">
        <f t="shared" si="0"/>
        <v>5.2133790824322609E-2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49</v>
      </c>
      <c r="C14" s="177">
        <v>21</v>
      </c>
      <c r="D14" s="173">
        <v>31.57</v>
      </c>
      <c r="E14" s="80">
        <f t="shared" si="0"/>
        <v>3.9525078079869951E-3</v>
      </c>
      <c r="F14" s="112" t="s">
        <v>108</v>
      </c>
      <c r="G14" s="190">
        <v>204007.80300000001</v>
      </c>
      <c r="H14" s="190">
        <v>190629.128</v>
      </c>
      <c r="I14" s="190">
        <f>+D22</f>
        <v>201338.97799999992</v>
      </c>
      <c r="J14" s="98">
        <f>+H14/G14</f>
        <v>0.93442076820953746</v>
      </c>
      <c r="K14" s="98">
        <f>+I14/H14</f>
        <v>1.0561816030549116</v>
      </c>
    </row>
    <row r="15" spans="1:11" ht="15" customHeight="1" x14ac:dyDescent="0.25">
      <c r="A15" s="164"/>
      <c r="B15" s="169" t="s">
        <v>45</v>
      </c>
      <c r="C15" s="177">
        <v>46</v>
      </c>
      <c r="D15" s="173">
        <v>69.19</v>
      </c>
      <c r="E15" s="80">
        <f t="shared" si="0"/>
        <v>8.6624648474697558E-3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ref="J15:K26" si="2">+H15/G15</f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41</v>
      </c>
      <c r="C16" s="177">
        <v>130</v>
      </c>
      <c r="D16" s="173">
        <v>195.35000000000002</v>
      </c>
      <c r="E16" s="80">
        <f t="shared" si="0"/>
        <v>2.4457472293007907E-2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88</v>
      </c>
      <c r="C17" s="177">
        <v>40</v>
      </c>
      <c r="D17" s="173">
        <v>61.28</v>
      </c>
      <c r="E17" s="80">
        <f t="shared" si="0"/>
        <v>7.6721469266215732E-3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40</v>
      </c>
      <c r="C18" s="177"/>
      <c r="D18" s="173">
        <v>517.93000000000006</v>
      </c>
      <c r="E18" s="80">
        <f t="shared" si="0"/>
        <v>6.4843914127041644E-2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9</v>
      </c>
      <c r="C19" s="177"/>
      <c r="D19" s="173">
        <v>62</v>
      </c>
      <c r="E19" s="80">
        <f t="shared" si="0"/>
        <v>7.7622896450805735E-3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thickBot="1" x14ac:dyDescent="0.3">
      <c r="A20" s="164"/>
      <c r="B20" s="169" t="s">
        <v>46</v>
      </c>
      <c r="C20" s="177"/>
      <c r="D20" s="173">
        <v>117.5</v>
      </c>
      <c r="E20" s="80">
        <f t="shared" si="0"/>
        <v>1.4710790859628505E-2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thickBot="1" x14ac:dyDescent="0.3">
      <c r="B21" s="178" t="s">
        <v>0</v>
      </c>
      <c r="C21" s="170"/>
      <c r="D21" s="171">
        <f>SUM(D5:D20)</f>
        <v>7987.3340000000007</v>
      </c>
      <c r="E21" s="80"/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B22" s="166" t="s">
        <v>1</v>
      </c>
      <c r="C22" s="167"/>
      <c r="D22" s="233">
        <v>201338.97799999992</v>
      </c>
      <c r="E22" s="80"/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x14ac:dyDescent="0.25">
      <c r="E23" s="80"/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201338.97799999992</v>
      </c>
      <c r="J26" s="378">
        <f t="shared" si="2"/>
        <v>1.0267879425243049</v>
      </c>
      <c r="K26" s="378">
        <f t="shared" si="2"/>
        <v>7.6969122684233879E-2</v>
      </c>
    </row>
    <row r="27" spans="1:11" ht="16.5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5" customHeight="1" thickBot="1" x14ac:dyDescent="0.3">
      <c r="E28" s="313">
        <f>+D22/H2</f>
        <v>0.97345667566199512</v>
      </c>
      <c r="F28" s="179"/>
      <c r="G28" s="179"/>
      <c r="J28" s="179"/>
    </row>
    <row r="29" spans="1:11" x14ac:dyDescent="0.25">
      <c r="B29" s="397" t="s">
        <v>251</v>
      </c>
      <c r="C29" s="403">
        <v>28</v>
      </c>
      <c r="D29" s="108">
        <f>+(H2/31)*C29</f>
        <v>186813.20424509293</v>
      </c>
      <c r="E29" s="314">
        <f>+D29/H2</f>
        <v>0.90322580645161288</v>
      </c>
      <c r="F29" s="352"/>
    </row>
    <row r="30" spans="1:11" x14ac:dyDescent="0.25">
      <c r="D30" s="183">
        <f>+D22-D29</f>
        <v>14525.773754906986</v>
      </c>
      <c r="E30" s="99">
        <f>E28-E29</f>
        <v>7.0230869210382241E-2</v>
      </c>
    </row>
    <row r="31" spans="1:11" ht="15" customHeight="1" x14ac:dyDescent="0.25"/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1275</v>
      </c>
      <c r="D33" s="108">
        <v>2142</v>
      </c>
      <c r="E33" s="57">
        <f>+C33/D33</f>
        <v>0.59523809523809523</v>
      </c>
      <c r="G33" s="86" t="s">
        <v>86</v>
      </c>
      <c r="H33" s="87">
        <v>5152</v>
      </c>
      <c r="I33" s="88">
        <f>+H33*0.025</f>
        <v>128.80000000000001</v>
      </c>
      <c r="J33" s="224">
        <f>15*72</f>
        <v>1080</v>
      </c>
      <c r="K33" s="68"/>
    </row>
    <row r="34" spans="1:11" x14ac:dyDescent="0.25">
      <c r="B34" s="162" t="s">
        <v>62</v>
      </c>
      <c r="C34" s="162">
        <v>801</v>
      </c>
      <c r="D34" s="108">
        <v>1890</v>
      </c>
      <c r="E34" s="57">
        <f>+C34/D34</f>
        <v>0.4238095238095238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1744</v>
      </c>
      <c r="D35" s="108">
        <v>3006</v>
      </c>
      <c r="E35" s="57">
        <f>+C35/D35</f>
        <v>0.58017298735861611</v>
      </c>
      <c r="G35" s="89" t="s">
        <v>169</v>
      </c>
      <c r="H35" s="87">
        <v>142</v>
      </c>
      <c r="I35" s="88">
        <f>+H35*1.5</f>
        <v>213</v>
      </c>
      <c r="J35" s="298">
        <f>+I35+I33</f>
        <v>341.8</v>
      </c>
    </row>
    <row r="36" spans="1:11" x14ac:dyDescent="0.25">
      <c r="C36" s="162">
        <f>+SUM(C33:C35)</f>
        <v>3820</v>
      </c>
      <c r="D36" s="110">
        <f>+SUM(D33:D35)</f>
        <v>7038</v>
      </c>
      <c r="E36" s="57">
        <f>+C36/D36</f>
        <v>0.54276783177038934</v>
      </c>
      <c r="G36" s="89" t="s">
        <v>168</v>
      </c>
      <c r="H36" s="87">
        <v>16</v>
      </c>
      <c r="I36" s="88">
        <f>+H36*1.5</f>
        <v>24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66</v>
      </c>
      <c r="C40" s="74">
        <v>5</v>
      </c>
      <c r="D40" s="74">
        <v>17</v>
      </c>
      <c r="E40" s="75">
        <f>+SUM(B40:D40)</f>
        <v>88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1.4</v>
      </c>
      <c r="C43" s="199">
        <v>1651</v>
      </c>
      <c r="D43" s="200">
        <v>2400</v>
      </c>
      <c r="E43" s="201">
        <f t="shared" ref="E43:E48" si="3">+C43/D43</f>
        <v>0.68791666666666662</v>
      </c>
      <c r="F43" s="201">
        <f t="shared" ref="F43:F48" si="4">+B43/24</f>
        <v>5.8333333333333327E-2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5.54</v>
      </c>
      <c r="C44" s="199">
        <v>1658</v>
      </c>
      <c r="D44" s="200">
        <v>3600</v>
      </c>
      <c r="E44" s="201">
        <f t="shared" si="3"/>
        <v>0.46055555555555555</v>
      </c>
      <c r="F44" s="201">
        <f t="shared" si="4"/>
        <v>0.23083333333333333</v>
      </c>
      <c r="G44" s="202">
        <v>12</v>
      </c>
      <c r="H44" s="71"/>
    </row>
    <row r="45" spans="1:11" x14ac:dyDescent="0.25">
      <c r="A45" s="207" t="s">
        <v>72</v>
      </c>
      <c r="B45" s="199">
        <v>8.2899999999999991</v>
      </c>
      <c r="C45" s="199">
        <v>1780</v>
      </c>
      <c r="D45" s="200">
        <v>3900</v>
      </c>
      <c r="E45" s="201">
        <f t="shared" si="3"/>
        <v>0.4564102564102564</v>
      </c>
      <c r="F45" s="201">
        <f t="shared" si="4"/>
        <v>0.34541666666666665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13.53</v>
      </c>
      <c r="C46" s="199">
        <v>3210</v>
      </c>
      <c r="D46" s="200">
        <v>3900</v>
      </c>
      <c r="E46" s="201">
        <f t="shared" si="3"/>
        <v>0.82307692307692304</v>
      </c>
      <c r="F46" s="201">
        <f t="shared" si="4"/>
        <v>0.56374999999999997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5" si="5">+J46*1.5</f>
        <v>139.5</v>
      </c>
    </row>
    <row r="47" spans="1:11" x14ac:dyDescent="0.25">
      <c r="A47" s="207" t="s">
        <v>74</v>
      </c>
      <c r="B47" s="199">
        <v>15.87</v>
      </c>
      <c r="C47" s="199">
        <v>2715</v>
      </c>
      <c r="D47" s="200">
        <v>3900</v>
      </c>
      <c r="E47" s="201">
        <f t="shared" si="3"/>
        <v>0.69615384615384612</v>
      </c>
      <c r="F47" s="201">
        <f t="shared" si="4"/>
        <v>0.66125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1" x14ac:dyDescent="0.25">
      <c r="A48" s="259" t="s">
        <v>75</v>
      </c>
      <c r="B48" s="260">
        <v>9.19</v>
      </c>
      <c r="C48" s="261">
        <v>2881</v>
      </c>
      <c r="D48" s="262">
        <v>4300</v>
      </c>
      <c r="E48" s="263">
        <f t="shared" si="3"/>
        <v>0.67</v>
      </c>
      <c r="F48" s="201">
        <f t="shared" si="4"/>
        <v>0.38291666666666663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53.819999999999993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1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0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10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0</v>
      </c>
      <c r="K56" s="318"/>
    </row>
    <row r="57" spans="2:11" x14ac:dyDescent="0.25">
      <c r="C57" s="71">
        <v>7</v>
      </c>
      <c r="D57" s="225">
        <v>0</v>
      </c>
      <c r="E57" s="225" t="s">
        <v>250</v>
      </c>
      <c r="K57" s="318"/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252</v>
      </c>
      <c r="I59" s="345"/>
      <c r="J59" s="199">
        <f>+J52+J53+J54+J55</f>
        <v>439</v>
      </c>
      <c r="K59" s="346">
        <f>+J59*1.5</f>
        <v>658.5</v>
      </c>
    </row>
    <row r="60" spans="2:11" x14ac:dyDescent="0.25">
      <c r="B60" s="364" t="s">
        <v>231</v>
      </c>
      <c r="C60" s="199">
        <v>2444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46006</v>
      </c>
      <c r="I61" s="129" t="s">
        <v>175</v>
      </c>
      <c r="J61" s="162">
        <v>5733</v>
      </c>
      <c r="K61" s="318"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v>62.050000000000004</v>
      </c>
    </row>
    <row r="63" spans="2:11" x14ac:dyDescent="0.25">
      <c r="H63" s="301">
        <v>46012</v>
      </c>
      <c r="I63" s="129" t="s">
        <v>175</v>
      </c>
      <c r="J63" s="162">
        <v>6042</v>
      </c>
      <c r="K63" s="318">
        <v>151.05000000000001</v>
      </c>
    </row>
    <row r="64" spans="2:11" x14ac:dyDescent="0.25">
      <c r="H64" s="301">
        <v>46047</v>
      </c>
      <c r="I64" s="129" t="s">
        <v>175</v>
      </c>
      <c r="J64" s="162">
        <v>1509</v>
      </c>
      <c r="K64" s="318">
        <f>+J64*0.025</f>
        <v>37.725000000000001</v>
      </c>
    </row>
    <row r="65" spans="2:11" x14ac:dyDescent="0.25">
      <c r="B65" s="66"/>
      <c r="C65" s="391"/>
      <c r="D65" s="391"/>
      <c r="H65" s="301">
        <v>46050</v>
      </c>
      <c r="I65" s="129" t="s">
        <v>175</v>
      </c>
      <c r="J65" s="162">
        <v>2511</v>
      </c>
      <c r="K65" s="318">
        <f>+J65*0.025</f>
        <v>62.775000000000006</v>
      </c>
    </row>
    <row r="66" spans="2:11" x14ac:dyDescent="0.25">
      <c r="C66" s="389"/>
    </row>
    <row r="67" spans="2:11" x14ac:dyDescent="0.25">
      <c r="C67" s="389"/>
      <c r="H67" s="359" t="s">
        <v>232</v>
      </c>
      <c r="I67" s="345"/>
      <c r="J67" s="200">
        <f>+J65</f>
        <v>2511</v>
      </c>
      <c r="K67" s="346">
        <f>+K65</f>
        <v>62.775000000000006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6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6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6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6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6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6"/>
        <v>264</v>
      </c>
    </row>
    <row r="79" spans="2:11" x14ac:dyDescent="0.25">
      <c r="H79" s="344"/>
      <c r="I79" s="345"/>
      <c r="J79" s="200">
        <f>+J76+J77</f>
        <v>315</v>
      </c>
      <c r="K79" s="346">
        <f>+J79*1.5</f>
        <v>472.5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topLeftCell="A57" workbookViewId="0">
      <selection activeCell="A29" sqref="A29:K7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1.85546875" style="162" bestFit="1" customWidth="1"/>
    <col min="6" max="6" width="11.42578125" style="162"/>
    <col min="7" max="7" width="11.85546875" style="162" bestFit="1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19.5" customHeight="1" thickBot="1" x14ac:dyDescent="0.4">
      <c r="A4" s="164"/>
      <c r="B4" s="404"/>
      <c r="C4" s="404"/>
      <c r="D4" s="165">
        <f>D21</f>
        <v>9180.3309999999983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3855</v>
      </c>
      <c r="D5" s="172">
        <v>164.376</v>
      </c>
      <c r="E5" s="80">
        <f t="shared" ref="E5:E20" si="0">+D5/$D$4</f>
        <v>1.7905236750178185E-2</v>
      </c>
      <c r="F5" s="58" t="s">
        <v>51</v>
      </c>
      <c r="G5" s="59">
        <v>46048</v>
      </c>
      <c r="H5" s="190">
        <v>7703.0000000000009</v>
      </c>
      <c r="I5" s="141">
        <v>7603.9629999999997</v>
      </c>
      <c r="J5" s="60">
        <f t="shared" ref="J5:J12" si="1">+I5/H5</f>
        <v>0.98714306114500827</v>
      </c>
    </row>
    <row r="6" spans="1:11" ht="15" customHeight="1" x14ac:dyDescent="0.25">
      <c r="A6" s="164"/>
      <c r="B6" s="169" t="s">
        <v>10</v>
      </c>
      <c r="C6" s="177">
        <v>10355</v>
      </c>
      <c r="D6" s="173">
        <v>441.92399999999998</v>
      </c>
      <c r="E6" s="80">
        <f t="shared" si="0"/>
        <v>4.813813358145802E-2</v>
      </c>
      <c r="F6" s="58" t="s">
        <v>52</v>
      </c>
      <c r="G6" s="59">
        <v>46049</v>
      </c>
      <c r="H6" s="190">
        <v>9645</v>
      </c>
      <c r="I6" s="141">
        <v>8962.9609999999993</v>
      </c>
      <c r="J6" s="60">
        <f t="shared" si="1"/>
        <v>0.92928574390876095</v>
      </c>
    </row>
    <row r="7" spans="1:11" ht="15" customHeight="1" x14ac:dyDescent="0.25">
      <c r="A7" s="164"/>
      <c r="B7" s="169" t="s">
        <v>35</v>
      </c>
      <c r="C7" s="177">
        <v>35763</v>
      </c>
      <c r="D7" s="173">
        <v>1524.9160000000006</v>
      </c>
      <c r="E7" s="245">
        <f t="shared" si="0"/>
        <v>0.16610686477426587</v>
      </c>
      <c r="F7" s="58" t="s">
        <v>53</v>
      </c>
      <c r="G7" s="59">
        <v>46050</v>
      </c>
      <c r="H7" s="190">
        <v>8143.9999999999982</v>
      </c>
      <c r="I7" s="141">
        <v>7987.3340000000007</v>
      </c>
      <c r="J7" s="60">
        <f t="shared" si="1"/>
        <v>0.98076301571709268</v>
      </c>
    </row>
    <row r="8" spans="1:11" ht="15" customHeight="1" x14ac:dyDescent="0.25">
      <c r="A8" s="164"/>
      <c r="B8" s="169" t="s">
        <v>4</v>
      </c>
      <c r="C8" s="177">
        <v>2390</v>
      </c>
      <c r="D8" s="173">
        <v>102.08</v>
      </c>
      <c r="E8" s="80">
        <f t="shared" si="0"/>
        <v>1.1119424778910479E-2</v>
      </c>
      <c r="F8" s="58" t="s">
        <v>54</v>
      </c>
      <c r="G8" s="59">
        <v>46051</v>
      </c>
      <c r="H8" s="190">
        <v>7651.0000000000009</v>
      </c>
      <c r="I8" s="141">
        <v>9180.3309999999983</v>
      </c>
      <c r="J8" s="60">
        <f t="shared" si="1"/>
        <v>1.1998864200758068</v>
      </c>
    </row>
    <row r="9" spans="1:11" ht="15" customHeight="1" x14ac:dyDescent="0.25">
      <c r="A9" s="164"/>
      <c r="B9" s="169" t="s">
        <v>37</v>
      </c>
      <c r="C9" s="177">
        <v>43765</v>
      </c>
      <c r="D9" s="173">
        <v>1866.5040000000006</v>
      </c>
      <c r="E9" s="245">
        <f t="shared" si="0"/>
        <v>0.20331554494059104</v>
      </c>
      <c r="F9" s="58" t="s">
        <v>55</v>
      </c>
      <c r="G9" s="59">
        <v>46052</v>
      </c>
      <c r="H9" s="190">
        <v>8173.9999999999991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50991</v>
      </c>
      <c r="D10" s="173">
        <v>2174.6749999999997</v>
      </c>
      <c r="E10" s="245">
        <f t="shared" si="0"/>
        <v>0.23688416027700962</v>
      </c>
      <c r="F10" s="58" t="s">
        <v>56</v>
      </c>
      <c r="G10" s="59">
        <v>46053</v>
      </c>
      <c r="H10" s="190">
        <v>7828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18656</v>
      </c>
      <c r="D11" s="173">
        <v>796.28399999999988</v>
      </c>
      <c r="E11" s="80">
        <f t="shared" si="0"/>
        <v>8.6738048987558297E-2</v>
      </c>
      <c r="F11" s="58" t="s">
        <v>57</v>
      </c>
      <c r="G11" s="59">
        <v>46054</v>
      </c>
      <c r="H11" s="190">
        <v>4109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3680</v>
      </c>
      <c r="D12" s="173">
        <v>93.222000000000008</v>
      </c>
      <c r="E12" s="80">
        <f t="shared" si="0"/>
        <v>1.0154535822292249E-2</v>
      </c>
      <c r="H12" s="139">
        <f>+SUM(H5:H11)</f>
        <v>53254</v>
      </c>
      <c r="I12" s="142">
        <f>+SUM(I5:I11)</f>
        <v>33734.589</v>
      </c>
      <c r="J12" s="140">
        <f t="shared" si="1"/>
        <v>0.6334658241634431</v>
      </c>
    </row>
    <row r="13" spans="1:11" ht="15" customHeight="1" x14ac:dyDescent="0.25">
      <c r="A13" s="164"/>
      <c r="B13" s="169" t="s">
        <v>44</v>
      </c>
      <c r="C13" s="177">
        <v>24</v>
      </c>
      <c r="D13" s="173">
        <v>36.33</v>
      </c>
      <c r="E13" s="80">
        <f t="shared" si="0"/>
        <v>3.9573736502529159E-3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39</v>
      </c>
      <c r="C14" s="177">
        <v>725</v>
      </c>
      <c r="D14" s="173">
        <v>1092.2899999999997</v>
      </c>
      <c r="E14" s="245">
        <f t="shared" si="0"/>
        <v>0.11898154870450749</v>
      </c>
      <c r="F14" s="112" t="s">
        <v>108</v>
      </c>
      <c r="G14" s="190">
        <v>204007.80300000001</v>
      </c>
      <c r="H14" s="190">
        <v>190629.128</v>
      </c>
      <c r="I14" s="190">
        <f>+D22</f>
        <v>210519.30899999989</v>
      </c>
      <c r="J14" s="98">
        <f>+H14/G14</f>
        <v>0.93442076820953746</v>
      </c>
      <c r="K14" s="98">
        <f>+I14/H14</f>
        <v>1.1043396736305686</v>
      </c>
    </row>
    <row r="15" spans="1:11" ht="15" customHeight="1" x14ac:dyDescent="0.25">
      <c r="A15" s="164"/>
      <c r="B15" s="169" t="s">
        <v>49</v>
      </c>
      <c r="C15" s="177">
        <v>20</v>
      </c>
      <c r="D15" s="173">
        <v>30.05</v>
      </c>
      <c r="E15" s="80">
        <f t="shared" si="0"/>
        <v>3.2733024549986278E-3</v>
      </c>
      <c r="F15" s="112" t="s">
        <v>109</v>
      </c>
      <c r="G15" s="190">
        <v>186305.94399999996</v>
      </c>
      <c r="H15" s="190">
        <v>182874.285</v>
      </c>
      <c r="I15" s="190"/>
      <c r="J15" s="98">
        <f t="shared" ref="J15:K26" si="2">+H15/G15</f>
        <v>0.9815805179033904</v>
      </c>
      <c r="K15" s="98">
        <f t="shared" si="2"/>
        <v>0</v>
      </c>
    </row>
    <row r="16" spans="1:11" ht="15" customHeight="1" x14ac:dyDescent="0.25">
      <c r="A16" s="164"/>
      <c r="B16" s="169" t="s">
        <v>41</v>
      </c>
      <c r="C16" s="177">
        <v>149</v>
      </c>
      <c r="D16" s="173">
        <v>224.07999999999998</v>
      </c>
      <c r="E16" s="80">
        <f t="shared" si="0"/>
        <v>2.4408705960602076E-2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88</v>
      </c>
      <c r="C17" s="177">
        <v>20</v>
      </c>
      <c r="D17" s="173">
        <v>30.49</v>
      </c>
      <c r="E17" s="80">
        <f t="shared" si="0"/>
        <v>3.3212310100801381E-3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40</v>
      </c>
      <c r="C18" s="177"/>
      <c r="D18" s="173">
        <v>424.47999999999996</v>
      </c>
      <c r="E18" s="80">
        <f t="shared" si="0"/>
        <v>4.6237984229544671E-2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9</v>
      </c>
      <c r="C19" s="177"/>
      <c r="D19" s="173">
        <v>121.58999999999999</v>
      </c>
      <c r="E19" s="80">
        <f t="shared" si="0"/>
        <v>1.3244620482638372E-2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thickBot="1" x14ac:dyDescent="0.3">
      <c r="A20" s="164"/>
      <c r="B20" s="169" t="s">
        <v>46</v>
      </c>
      <c r="C20" s="177"/>
      <c r="D20" s="173">
        <v>57.040000000000006</v>
      </c>
      <c r="E20" s="80">
        <f t="shared" si="0"/>
        <v>6.2132835951122043E-3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thickBot="1" x14ac:dyDescent="0.3">
      <c r="B21" s="178" t="s">
        <v>0</v>
      </c>
      <c r="C21" s="170"/>
      <c r="D21" s="171">
        <f>SUM(D5:D20)</f>
        <v>9180.3309999999983</v>
      </c>
      <c r="E21" s="80"/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B22" s="166" t="s">
        <v>1</v>
      </c>
      <c r="C22" s="167"/>
      <c r="D22" s="233">
        <v>210519.30899999989</v>
      </c>
      <c r="E22" s="80"/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x14ac:dyDescent="0.25">
      <c r="E23" s="80"/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x14ac:dyDescent="0.25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210519.30899999989</v>
      </c>
      <c r="J26" s="378">
        <f t="shared" si="2"/>
        <v>1.0267879425243049</v>
      </c>
      <c r="K26" s="378">
        <f t="shared" si="2"/>
        <v>8.0478636987126956E-2</v>
      </c>
    </row>
    <row r="27" spans="1:11" ht="16.5" thickBot="1" x14ac:dyDescent="0.3">
      <c r="E27" s="80"/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ht="15" customHeight="1" thickBot="1" x14ac:dyDescent="0.3">
      <c r="E28" s="313">
        <f>+D22/H2</f>
        <v>1.0178427880060079</v>
      </c>
      <c r="F28" s="179"/>
      <c r="G28" s="179"/>
      <c r="J28" s="179"/>
    </row>
    <row r="29" spans="1:11" x14ac:dyDescent="0.25">
      <c r="B29" s="397" t="s">
        <v>251</v>
      </c>
      <c r="C29" s="405">
        <v>29</v>
      </c>
      <c r="D29" s="108">
        <f>+(H2/31)*C29</f>
        <v>193485.10439670339</v>
      </c>
      <c r="E29" s="314">
        <f>+D29/H2</f>
        <v>0.93548387096774188</v>
      </c>
      <c r="F29" s="352"/>
    </row>
    <row r="30" spans="1:11" x14ac:dyDescent="0.25">
      <c r="D30" s="183">
        <f>+D22-D29</f>
        <v>17034.204603296501</v>
      </c>
      <c r="E30" s="99">
        <f>E28-E29</f>
        <v>8.2358917038266033E-2</v>
      </c>
    </row>
    <row r="31" spans="1:11" ht="15" customHeight="1" x14ac:dyDescent="0.25"/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6" x14ac:dyDescent="0.25">
      <c r="B33" s="162" t="s">
        <v>61</v>
      </c>
      <c r="C33" s="162">
        <v>627</v>
      </c>
      <c r="D33" s="108">
        <v>2142</v>
      </c>
      <c r="E33" s="57">
        <f>+C33/D33</f>
        <v>0.29271708683473391</v>
      </c>
      <c r="G33" s="86" t="s">
        <v>86</v>
      </c>
      <c r="H33" s="87">
        <v>4735</v>
      </c>
      <c r="I33" s="88">
        <f>+H33*0.025</f>
        <v>118.375</v>
      </c>
      <c r="J33" s="224">
        <f>15*72</f>
        <v>1080</v>
      </c>
      <c r="K33" s="68"/>
      <c r="L33" s="162">
        <f>25*18</f>
        <v>450</v>
      </c>
      <c r="M33" s="162">
        <f>+L33/0.025</f>
        <v>18000</v>
      </c>
      <c r="N33" s="162" t="s">
        <v>255</v>
      </c>
      <c r="O33" s="162" t="s">
        <v>256</v>
      </c>
      <c r="P33" s="162" t="s">
        <v>257</v>
      </c>
    </row>
    <row r="34" spans="1:16" x14ac:dyDescent="0.25">
      <c r="B34" s="162" t="s">
        <v>62</v>
      </c>
      <c r="C34" s="162">
        <v>891</v>
      </c>
      <c r="D34" s="108">
        <v>1890</v>
      </c>
      <c r="E34" s="57">
        <f>+C34/D34</f>
        <v>0.47142857142857142</v>
      </c>
      <c r="G34" s="86" t="s">
        <v>171</v>
      </c>
      <c r="H34" s="87">
        <v>0</v>
      </c>
      <c r="I34" s="88">
        <v>0</v>
      </c>
      <c r="J34" s="297" t="s">
        <v>188</v>
      </c>
      <c r="M34" s="162">
        <v>900</v>
      </c>
      <c r="N34" s="162" t="s">
        <v>258</v>
      </c>
    </row>
    <row r="35" spans="1:16" x14ac:dyDescent="0.25">
      <c r="B35" s="162" t="s">
        <v>63</v>
      </c>
      <c r="C35" s="67">
        <v>1219</v>
      </c>
      <c r="D35" s="108">
        <v>3006</v>
      </c>
      <c r="E35" s="57">
        <f>+C35/D35</f>
        <v>0.40552228875582169</v>
      </c>
      <c r="G35" s="89" t="s">
        <v>169</v>
      </c>
      <c r="H35" s="87">
        <v>135</v>
      </c>
      <c r="I35" s="88">
        <f>+H35*1.5</f>
        <v>202.5</v>
      </c>
      <c r="J35" s="298">
        <f>+I35+I33</f>
        <v>320.875</v>
      </c>
    </row>
    <row r="36" spans="1:16" x14ac:dyDescent="0.25">
      <c r="C36" s="162">
        <f>+SUM(C33:C35)</f>
        <v>2737</v>
      </c>
      <c r="D36" s="110">
        <f>+SUM(D33:D35)</f>
        <v>7038</v>
      </c>
      <c r="E36" s="57">
        <f>+C36/D36</f>
        <v>0.3888888888888889</v>
      </c>
      <c r="G36" s="89" t="s">
        <v>168</v>
      </c>
      <c r="H36" s="87">
        <v>16</v>
      </c>
      <c r="I36" s="88">
        <f>+H36*1.5</f>
        <v>24</v>
      </c>
      <c r="J36" s="228" t="s">
        <v>193</v>
      </c>
      <c r="M36" s="162">
        <v>600</v>
      </c>
    </row>
    <row r="37" spans="1:16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6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6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6" x14ac:dyDescent="0.25">
      <c r="B40" s="73">
        <v>18</v>
      </c>
      <c r="C40" s="74">
        <v>5</v>
      </c>
      <c r="D40" s="74">
        <v>20</v>
      </c>
      <c r="E40" s="75">
        <f>+SUM(B40:D40)</f>
        <v>43</v>
      </c>
      <c r="J40" s="218"/>
    </row>
    <row r="41" spans="1:16" x14ac:dyDescent="0.25">
      <c r="H41" s="144" t="s">
        <v>124</v>
      </c>
      <c r="I41" s="220" t="s">
        <v>148</v>
      </c>
      <c r="J41" s="218" t="s">
        <v>146</v>
      </c>
    </row>
    <row r="42" spans="1:16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6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6" x14ac:dyDescent="0.25">
      <c r="A44" s="207" t="s">
        <v>71</v>
      </c>
      <c r="B44" s="199">
        <v>9.7100000000000009</v>
      </c>
      <c r="C44" s="199">
        <v>2045</v>
      </c>
      <c r="D44" s="200">
        <v>3600</v>
      </c>
      <c r="E44" s="201">
        <f t="shared" si="3"/>
        <v>0.56805555555555554</v>
      </c>
      <c r="F44" s="201">
        <f t="shared" si="4"/>
        <v>0.40458333333333335</v>
      </c>
      <c r="G44" s="202">
        <v>12</v>
      </c>
      <c r="H44" s="71"/>
    </row>
    <row r="45" spans="1:16" x14ac:dyDescent="0.25">
      <c r="A45" s="207" t="s">
        <v>72</v>
      </c>
      <c r="B45" s="199">
        <v>6.64</v>
      </c>
      <c r="C45" s="199">
        <v>1760</v>
      </c>
      <c r="D45" s="200">
        <v>3900</v>
      </c>
      <c r="E45" s="201">
        <f t="shared" si="3"/>
        <v>0.45128205128205129</v>
      </c>
      <c r="F45" s="201">
        <f t="shared" si="4"/>
        <v>0.27666666666666667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6" x14ac:dyDescent="0.25">
      <c r="A46" s="207" t="s">
        <v>73</v>
      </c>
      <c r="B46" s="199">
        <v>15.26</v>
      </c>
      <c r="C46" s="199">
        <v>3093</v>
      </c>
      <c r="D46" s="200">
        <v>3900</v>
      </c>
      <c r="E46" s="201">
        <f t="shared" si="3"/>
        <v>0.79307692307692312</v>
      </c>
      <c r="F46" s="201">
        <f t="shared" si="4"/>
        <v>0.63583333333333336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5" si="5">+J46*1.5</f>
        <v>139.5</v>
      </c>
    </row>
    <row r="47" spans="1:16" x14ac:dyDescent="0.25">
      <c r="A47" s="207" t="s">
        <v>74</v>
      </c>
      <c r="B47" s="199">
        <v>13.85</v>
      </c>
      <c r="C47" s="199">
        <v>2439</v>
      </c>
      <c r="D47" s="200">
        <v>3900</v>
      </c>
      <c r="E47" s="201">
        <f t="shared" si="3"/>
        <v>0.62538461538461543</v>
      </c>
      <c r="F47" s="201">
        <f t="shared" si="4"/>
        <v>0.57708333333333328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6" x14ac:dyDescent="0.25">
      <c r="A48" s="259" t="s">
        <v>75</v>
      </c>
      <c r="B48" s="260">
        <v>15</v>
      </c>
      <c r="C48" s="261">
        <v>2916</v>
      </c>
      <c r="D48" s="262">
        <v>4300</v>
      </c>
      <c r="E48" s="263">
        <f t="shared" si="3"/>
        <v>0.67813953488372092</v>
      </c>
      <c r="F48" s="201">
        <f t="shared" si="4"/>
        <v>0.625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60.46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0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9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1</v>
      </c>
      <c r="K56" s="318"/>
    </row>
    <row r="57" spans="2:11" x14ac:dyDescent="0.25">
      <c r="C57" s="71">
        <v>7</v>
      </c>
      <c r="D57" s="225">
        <v>0</v>
      </c>
      <c r="E57" s="225" t="s">
        <v>250</v>
      </c>
      <c r="K57" s="318"/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252</v>
      </c>
      <c r="I59" s="345"/>
      <c r="J59" s="199">
        <f>+J52+J53+J54+J55</f>
        <v>439</v>
      </c>
      <c r="K59" s="346">
        <f>+J59*1.5</f>
        <v>658.5</v>
      </c>
    </row>
    <row r="60" spans="2:11" x14ac:dyDescent="0.25">
      <c r="B60" s="364" t="s">
        <v>231</v>
      </c>
      <c r="C60" s="199">
        <v>2614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46006</v>
      </c>
      <c r="I61" s="129" t="s">
        <v>175</v>
      </c>
      <c r="J61" s="162">
        <v>5733</v>
      </c>
      <c r="K61" s="318"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v>62.050000000000004</v>
      </c>
    </row>
    <row r="63" spans="2:11" x14ac:dyDescent="0.25">
      <c r="H63" s="301">
        <v>46012</v>
      </c>
      <c r="I63" s="129" t="s">
        <v>175</v>
      </c>
      <c r="J63" s="162">
        <v>6042</v>
      </c>
      <c r="K63" s="318">
        <v>151.05000000000001</v>
      </c>
    </row>
    <row r="64" spans="2:11" x14ac:dyDescent="0.25">
      <c r="H64" s="301">
        <v>46047</v>
      </c>
      <c r="I64" s="129" t="s">
        <v>175</v>
      </c>
      <c r="J64" s="162">
        <v>1509</v>
      </c>
      <c r="K64" s="318">
        <f>+J64*0.025</f>
        <v>37.725000000000001</v>
      </c>
    </row>
    <row r="65" spans="2:11" x14ac:dyDescent="0.25">
      <c r="B65" s="66"/>
      <c r="C65" s="391"/>
      <c r="D65" s="391"/>
      <c r="H65" s="301">
        <v>46050</v>
      </c>
      <c r="I65" s="129" t="s">
        <v>175</v>
      </c>
      <c r="J65" s="162">
        <v>2511</v>
      </c>
      <c r="K65" s="318">
        <f>+J65*0.025</f>
        <v>62.775000000000006</v>
      </c>
    </row>
    <row r="66" spans="2:11" x14ac:dyDescent="0.25">
      <c r="C66" s="389"/>
    </row>
    <row r="67" spans="2:11" x14ac:dyDescent="0.25">
      <c r="C67" s="389"/>
      <c r="H67" s="359" t="s">
        <v>232</v>
      </c>
      <c r="I67" s="345"/>
      <c r="J67" s="200">
        <f>+J65</f>
        <v>2511</v>
      </c>
      <c r="K67" s="346">
        <f>+K65</f>
        <v>62.775000000000006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6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6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6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6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6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6"/>
        <v>264</v>
      </c>
    </row>
    <row r="79" spans="2:11" x14ac:dyDescent="0.25">
      <c r="H79" s="344"/>
      <c r="I79" s="345"/>
      <c r="J79" s="200">
        <f>+J76+J77</f>
        <v>315</v>
      </c>
      <c r="K79" s="346">
        <f>+J79*1.5</f>
        <v>472.5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18" zoomScale="70" zoomScaleNormal="70" workbookViewId="0">
      <selection activeCell="A28" sqref="A28:K7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v>46075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19.5" customHeight="1" thickBot="1" x14ac:dyDescent="0.4">
      <c r="A4" s="164"/>
      <c r="B4" s="406"/>
      <c r="C4" s="406"/>
      <c r="D4" s="165">
        <f>D22</f>
        <v>3908.1909999999998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2420</v>
      </c>
      <c r="D5" s="172">
        <v>103.42</v>
      </c>
      <c r="E5" s="80">
        <f t="shared" ref="E5:E20" si="0">+D5/$D$4</f>
        <v>2.6462370953722582E-2</v>
      </c>
      <c r="F5" s="58" t="s">
        <v>51</v>
      </c>
      <c r="G5" s="59">
        <v>46069</v>
      </c>
      <c r="H5" s="190">
        <v>7411</v>
      </c>
      <c r="I5" s="141">
        <v>4950.2430000000022</v>
      </c>
      <c r="J5" s="60">
        <f t="shared" ref="J5:J12" si="1">+I5/H5</f>
        <v>0.66795884496019464</v>
      </c>
    </row>
    <row r="6" spans="1:11" ht="15" customHeight="1" x14ac:dyDescent="0.25">
      <c r="A6" s="164"/>
      <c r="B6" s="169" t="s">
        <v>10</v>
      </c>
      <c r="C6" s="177">
        <v>10714</v>
      </c>
      <c r="D6" s="173">
        <v>457.04099999999994</v>
      </c>
      <c r="E6" s="245">
        <f t="shared" si="0"/>
        <v>0.11694438680197564</v>
      </c>
      <c r="F6" s="58" t="s">
        <v>52</v>
      </c>
      <c r="G6" s="59">
        <v>46070</v>
      </c>
      <c r="H6" s="190">
        <v>9319</v>
      </c>
      <c r="I6" s="141">
        <v>8840.2820000000011</v>
      </c>
      <c r="J6" s="60">
        <f t="shared" si="1"/>
        <v>0.94862989591157865</v>
      </c>
    </row>
    <row r="7" spans="1:11" ht="15" customHeight="1" x14ac:dyDescent="0.25">
      <c r="A7" s="164"/>
      <c r="B7" s="169" t="s">
        <v>35</v>
      </c>
      <c r="C7" s="177">
        <v>19507</v>
      </c>
      <c r="D7" s="173">
        <v>831.62700000000007</v>
      </c>
      <c r="E7" s="245">
        <f t="shared" si="0"/>
        <v>0.21279077711401517</v>
      </c>
      <c r="F7" s="58" t="s">
        <v>53</v>
      </c>
      <c r="G7" s="59">
        <v>46071</v>
      </c>
      <c r="H7" s="190">
        <v>8040</v>
      </c>
      <c r="I7" s="141">
        <v>7398.5109999999986</v>
      </c>
      <c r="J7" s="60">
        <f t="shared" si="1"/>
        <v>0.92021281094527341</v>
      </c>
    </row>
    <row r="8" spans="1:11" ht="15" customHeight="1" x14ac:dyDescent="0.25">
      <c r="A8" s="164"/>
      <c r="B8" s="169" t="s">
        <v>4</v>
      </c>
      <c r="C8" s="177">
        <v>1540</v>
      </c>
      <c r="D8" s="173">
        <v>65.819999999999993</v>
      </c>
      <c r="E8" s="80">
        <f t="shared" si="0"/>
        <v>1.6841551500425645E-2</v>
      </c>
      <c r="F8" s="58" t="s">
        <v>54</v>
      </c>
      <c r="G8" s="59">
        <v>46072</v>
      </c>
      <c r="H8" s="190">
        <v>7871</v>
      </c>
      <c r="I8" s="141">
        <v>7280.7279999999992</v>
      </c>
      <c r="J8" s="60">
        <f t="shared" si="1"/>
        <v>0.92500673357896068</v>
      </c>
    </row>
    <row r="9" spans="1:11" ht="15" customHeight="1" x14ac:dyDescent="0.25">
      <c r="A9" s="164"/>
      <c r="B9" s="169" t="s">
        <v>37</v>
      </c>
      <c r="C9" s="177">
        <v>8934</v>
      </c>
      <c r="D9" s="173">
        <v>381.529</v>
      </c>
      <c r="E9" s="245">
        <f t="shared" si="0"/>
        <v>9.7622915563748039E-2</v>
      </c>
      <c r="F9" s="58" t="s">
        <v>55</v>
      </c>
      <c r="G9" s="59">
        <v>46073</v>
      </c>
      <c r="H9" s="190">
        <v>8132</v>
      </c>
      <c r="I9" s="141">
        <v>6151.5639999999985</v>
      </c>
      <c r="J9" s="60">
        <f t="shared" si="1"/>
        <v>0.75646384653221821</v>
      </c>
    </row>
    <row r="10" spans="1:11" ht="15" customHeight="1" x14ac:dyDescent="0.25">
      <c r="A10" s="164"/>
      <c r="B10" s="169" t="s">
        <v>38</v>
      </c>
      <c r="C10" s="177">
        <v>21859</v>
      </c>
      <c r="D10" s="173">
        <v>933.06400000000019</v>
      </c>
      <c r="E10" s="245">
        <f t="shared" si="0"/>
        <v>0.2387457521907195</v>
      </c>
      <c r="F10" s="58" t="s">
        <v>56</v>
      </c>
      <c r="G10" s="59">
        <v>46074</v>
      </c>
      <c r="H10" s="190">
        <v>7799.0000000000009</v>
      </c>
      <c r="I10" s="141">
        <v>6965.2479999999987</v>
      </c>
      <c r="J10" s="60">
        <f t="shared" si="1"/>
        <v>0.89309501218104859</v>
      </c>
    </row>
    <row r="11" spans="1:11" ht="15" customHeight="1" x14ac:dyDescent="0.25">
      <c r="A11" s="164"/>
      <c r="B11" s="169" t="s">
        <v>42</v>
      </c>
      <c r="C11" s="177">
        <v>2440</v>
      </c>
      <c r="D11" s="173">
        <v>104.21</v>
      </c>
      <c r="E11" s="80">
        <f t="shared" si="0"/>
        <v>2.6664510511384933E-2</v>
      </c>
      <c r="F11" s="58" t="s">
        <v>57</v>
      </c>
      <c r="G11" s="59">
        <v>46075</v>
      </c>
      <c r="H11" s="190">
        <v>4563</v>
      </c>
      <c r="I11" s="141">
        <v>3908.1909999999998</v>
      </c>
      <c r="J11" s="60">
        <f t="shared" si="1"/>
        <v>0.85649594564979181</v>
      </c>
    </row>
    <row r="12" spans="1:11" ht="15" customHeight="1" x14ac:dyDescent="0.25">
      <c r="A12" s="164"/>
      <c r="B12" s="169" t="s">
        <v>196</v>
      </c>
      <c r="C12" s="177">
        <v>6840</v>
      </c>
      <c r="D12" s="173">
        <v>172.92999999999998</v>
      </c>
      <c r="E12" s="80">
        <f t="shared" si="0"/>
        <v>4.4248093299431884E-2</v>
      </c>
      <c r="H12" s="139">
        <f>+SUM(H5:H11)</f>
        <v>53135</v>
      </c>
      <c r="I12" s="142">
        <f>+SUM(I5:I11)</f>
        <v>45494.766999999993</v>
      </c>
      <c r="J12" s="140">
        <f t="shared" si="1"/>
        <v>0.85621091559235896</v>
      </c>
    </row>
    <row r="13" spans="1:11" ht="15" customHeight="1" x14ac:dyDescent="0.25">
      <c r="A13" s="164"/>
      <c r="B13" s="169" t="s">
        <v>49</v>
      </c>
      <c r="C13" s="177">
        <v>22</v>
      </c>
      <c r="D13" s="173">
        <v>33.270000000000003</v>
      </c>
      <c r="E13" s="80">
        <f t="shared" si="0"/>
        <v>8.512889979020985E-3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45</v>
      </c>
      <c r="C14" s="177">
        <v>42</v>
      </c>
      <c r="D14" s="173">
        <v>63.379999999999995</v>
      </c>
      <c r="E14" s="80">
        <f t="shared" si="0"/>
        <v>1.6217221727392546E-2</v>
      </c>
      <c r="F14" s="112" t="s">
        <v>108</v>
      </c>
      <c r="G14" s="190">
        <v>204007.80300000001</v>
      </c>
      <c r="H14" s="190">
        <v>190629.128</v>
      </c>
      <c r="I14" s="190"/>
      <c r="J14" s="98">
        <f>+H14/G14</f>
        <v>0.93442076820953746</v>
      </c>
      <c r="K14" s="98">
        <f>+I14/H14</f>
        <v>0</v>
      </c>
    </row>
    <row r="15" spans="1:11" ht="15" customHeight="1" x14ac:dyDescent="0.25">
      <c r="A15" s="164"/>
      <c r="B15" s="169" t="s">
        <v>88</v>
      </c>
      <c r="C15" s="177">
        <v>60</v>
      </c>
      <c r="D15" s="173">
        <v>90.84</v>
      </c>
      <c r="E15" s="80">
        <f t="shared" si="0"/>
        <v>2.3243490402592916E-2</v>
      </c>
      <c r="F15" s="112" t="s">
        <v>109</v>
      </c>
      <c r="G15" s="190">
        <v>186305.94399999996</v>
      </c>
      <c r="H15" s="190">
        <v>182874.285</v>
      </c>
      <c r="I15" s="190">
        <f>+D23</f>
        <v>159889.66690000001</v>
      </c>
      <c r="J15" s="98">
        <f t="shared" ref="J15:K26" si="2">+H15/G15</f>
        <v>0.9815805179033904</v>
      </c>
      <c r="K15" s="98">
        <f>+I15/H15</f>
        <v>0.87431465227601579</v>
      </c>
    </row>
    <row r="16" spans="1:11" ht="15" customHeight="1" x14ac:dyDescent="0.25">
      <c r="A16" s="164"/>
      <c r="B16" s="169" t="s">
        <v>41</v>
      </c>
      <c r="C16" s="177">
        <v>103</v>
      </c>
      <c r="D16" s="173">
        <v>155.65</v>
      </c>
      <c r="E16" s="80">
        <f t="shared" si="0"/>
        <v>3.9826610316640108E-2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85</v>
      </c>
      <c r="C17" s="177">
        <v>46</v>
      </c>
      <c r="D17" s="173">
        <v>69.27000000000001</v>
      </c>
      <c r="E17" s="80">
        <f t="shared" si="0"/>
        <v>1.77243128598372E-2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194</v>
      </c>
      <c r="C18" s="177"/>
      <c r="D18" s="173"/>
      <c r="E18" s="80">
        <f t="shared" si="0"/>
        <v>0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184</v>
      </c>
      <c r="C19" s="177"/>
      <c r="D19" s="173">
        <v>62.45</v>
      </c>
      <c r="E19" s="80">
        <f t="shared" si="0"/>
        <v>1.5979259969638129E-2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9</v>
      </c>
      <c r="C20" s="177"/>
      <c r="D20" s="173">
        <v>91.179999999999993</v>
      </c>
      <c r="E20" s="80">
        <f t="shared" si="0"/>
        <v>2.3330487174245067E-2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thickBot="1" x14ac:dyDescent="0.3">
      <c r="A21" s="164"/>
      <c r="B21" s="169" t="s">
        <v>40</v>
      </c>
      <c r="C21" s="177"/>
      <c r="D21" s="173">
        <v>292.51</v>
      </c>
      <c r="E21" s="80"/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thickBot="1" x14ac:dyDescent="0.3">
      <c r="B22" s="178" t="s">
        <v>0</v>
      </c>
      <c r="C22" s="170"/>
      <c r="D22" s="171">
        <f>SUM(D5:D21)</f>
        <v>3908.1909999999998</v>
      </c>
      <c r="E22" s="80"/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B23" s="166" t="s">
        <v>1</v>
      </c>
      <c r="C23" s="167"/>
      <c r="D23" s="233">
        <v>159889.66690000001</v>
      </c>
      <c r="E23" s="80"/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159889.66690000001</v>
      </c>
      <c r="J26" s="378">
        <f t="shared" si="2"/>
        <v>1.0267879425243049</v>
      </c>
      <c r="K26" s="378">
        <f t="shared" si="2"/>
        <v>6.1123621018714991E-2</v>
      </c>
    </row>
    <row r="27" spans="1:11" ht="19.5" thickBot="1" x14ac:dyDescent="0.3">
      <c r="E27" s="313">
        <f>+D23/I2</f>
        <v>0.82186507161795863</v>
      </c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x14ac:dyDescent="0.25">
      <c r="F28" s="179"/>
      <c r="G28" s="179"/>
      <c r="J28" s="179"/>
    </row>
    <row r="29" spans="1:11" x14ac:dyDescent="0.25">
      <c r="B29" s="397" t="s">
        <v>251</v>
      </c>
      <c r="C29" s="407">
        <v>22</v>
      </c>
      <c r="D29" s="108">
        <f>+(I2/28)*C29</f>
        <v>152856.71548751029</v>
      </c>
      <c r="E29" s="314">
        <f>+D29/I2</f>
        <v>0.7857142857142857</v>
      </c>
      <c r="F29" s="352"/>
    </row>
    <row r="30" spans="1:11" x14ac:dyDescent="0.25">
      <c r="D30" s="183">
        <f>+D23-D29</f>
        <v>7032.951412489725</v>
      </c>
      <c r="E30" s="99">
        <f>E27-E29</f>
        <v>3.6150785903672933E-2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10668</v>
      </c>
      <c r="I32" s="88">
        <f>+H32*0.025</f>
        <v>266.7</v>
      </c>
      <c r="J32" s="224"/>
    </row>
    <row r="33" spans="1:11" x14ac:dyDescent="0.25">
      <c r="B33" s="162" t="s">
        <v>61</v>
      </c>
      <c r="C33" s="162">
        <v>590</v>
      </c>
      <c r="D33" s="108">
        <v>2142</v>
      </c>
      <c r="E33" s="57">
        <f>+C33/D33</f>
        <v>0.27544351073762841</v>
      </c>
      <c r="G33" s="86" t="s">
        <v>259</v>
      </c>
      <c r="H33" s="87">
        <v>14265</v>
      </c>
      <c r="I33" s="88">
        <f>+H33*0.025</f>
        <v>356.625</v>
      </c>
      <c r="J33" s="224"/>
      <c r="K33" s="68"/>
    </row>
    <row r="34" spans="1:11" x14ac:dyDescent="0.25">
      <c r="B34" s="162" t="s">
        <v>62</v>
      </c>
      <c r="C34" s="162">
        <v>1260</v>
      </c>
      <c r="D34" s="108">
        <v>1890</v>
      </c>
      <c r="E34" s="57">
        <f>+C34/D34</f>
        <v>0.66666666666666663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255</v>
      </c>
      <c r="D35" s="108">
        <v>3006</v>
      </c>
      <c r="E35" s="57">
        <f>+C35/D35</f>
        <v>8.4830339321357279E-2</v>
      </c>
      <c r="G35" s="89" t="s">
        <v>169</v>
      </c>
      <c r="H35" s="87">
        <v>252</v>
      </c>
      <c r="I35" s="88">
        <f>+H35*1.5</f>
        <v>378</v>
      </c>
      <c r="J35" s="298">
        <f>+I35+I32+I33</f>
        <v>1001.325</v>
      </c>
    </row>
    <row r="36" spans="1:11" x14ac:dyDescent="0.25">
      <c r="C36" s="162">
        <f>+SUM(C33:C35)</f>
        <v>2105</v>
      </c>
      <c r="D36" s="110">
        <f>+SUM(D33:D35)</f>
        <v>7038</v>
      </c>
      <c r="E36" s="57">
        <f>+C36/D36</f>
        <v>0.29909065075305485</v>
      </c>
      <c r="G36" s="89" t="s">
        <v>168</v>
      </c>
      <c r="H36" s="87">
        <v>104</v>
      </c>
      <c r="I36" s="88">
        <f>+H36*1.5</f>
        <v>156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30</v>
      </c>
      <c r="C40" s="74">
        <v>5</v>
      </c>
      <c r="D40" s="74">
        <v>6</v>
      </c>
      <c r="E40" s="75">
        <f>+SUM(B40:D40)</f>
        <v>41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</v>
      </c>
      <c r="C44" s="199">
        <v>1752</v>
      </c>
      <c r="D44" s="200">
        <v>3600</v>
      </c>
      <c r="E44" s="201">
        <f t="shared" si="3"/>
        <v>0.48666666666666669</v>
      </c>
      <c r="F44" s="201">
        <f t="shared" si="4"/>
        <v>0.29166666666666669</v>
      </c>
      <c r="G44" s="202">
        <v>12</v>
      </c>
      <c r="H44" s="71"/>
    </row>
    <row r="45" spans="1:11" x14ac:dyDescent="0.25">
      <c r="A45" s="207" t="s">
        <v>72</v>
      </c>
      <c r="B45" s="199">
        <v>5.74</v>
      </c>
      <c r="C45" s="199">
        <v>1582</v>
      </c>
      <c r="D45" s="200">
        <v>3900</v>
      </c>
      <c r="E45" s="201">
        <f t="shared" si="3"/>
        <v>0.40564102564102567</v>
      </c>
      <c r="F45" s="201">
        <f t="shared" si="4"/>
        <v>0.23916666666666667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4.0999999999999996</v>
      </c>
      <c r="C46" s="199">
        <v>2753</v>
      </c>
      <c r="D46" s="200">
        <v>3900</v>
      </c>
      <c r="E46" s="201">
        <f t="shared" si="3"/>
        <v>0.70589743589743592</v>
      </c>
      <c r="F46" s="201">
        <f t="shared" si="4"/>
        <v>0.17083333333333331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5" si="5">+J46*1.5</f>
        <v>139.5</v>
      </c>
    </row>
    <row r="47" spans="1:11" x14ac:dyDescent="0.25">
      <c r="A47" s="207" t="s">
        <v>74</v>
      </c>
      <c r="B47" s="199">
        <v>5.81</v>
      </c>
      <c r="C47" s="199">
        <v>2283</v>
      </c>
      <c r="D47" s="200">
        <v>3900</v>
      </c>
      <c r="E47" s="201">
        <f t="shared" si="3"/>
        <v>0.58538461538461539</v>
      </c>
      <c r="F47" s="201">
        <f t="shared" si="4"/>
        <v>0.24208333333333332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1" x14ac:dyDescent="0.25">
      <c r="A48" s="259" t="s">
        <v>75</v>
      </c>
      <c r="B48" s="260">
        <v>3.58</v>
      </c>
      <c r="C48" s="261">
        <v>2671</v>
      </c>
      <c r="D48" s="262">
        <v>4300</v>
      </c>
      <c r="E48" s="263">
        <f t="shared" si="3"/>
        <v>0.62116279069767444</v>
      </c>
      <c r="F48" s="201">
        <f t="shared" si="4"/>
        <v>0.14916666666666667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26.229999999999997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1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13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0</v>
      </c>
      <c r="K56" s="318"/>
    </row>
    <row r="57" spans="2:11" x14ac:dyDescent="0.25">
      <c r="C57" s="71">
        <v>7</v>
      </c>
      <c r="D57" s="225">
        <v>0</v>
      </c>
      <c r="E57" s="225" t="s">
        <v>250</v>
      </c>
      <c r="K57" s="318"/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252</v>
      </c>
      <c r="I59" s="345"/>
      <c r="J59" s="199">
        <f>+J52+J53+J54+J55</f>
        <v>439</v>
      </c>
      <c r="K59" s="346">
        <f>+J59*1.5</f>
        <v>658.5</v>
      </c>
    </row>
    <row r="60" spans="2:11" x14ac:dyDescent="0.25">
      <c r="B60" s="364" t="s">
        <v>231</v>
      </c>
      <c r="C60" s="199">
        <v>1125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46006</v>
      </c>
      <c r="I61" s="129" t="s">
        <v>175</v>
      </c>
      <c r="J61" s="162">
        <v>5733</v>
      </c>
      <c r="K61" s="318"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v>62.050000000000004</v>
      </c>
    </row>
    <row r="63" spans="2:11" x14ac:dyDescent="0.25">
      <c r="H63" s="301">
        <v>46012</v>
      </c>
      <c r="I63" s="129" t="s">
        <v>175</v>
      </c>
      <c r="J63" s="162">
        <v>6042</v>
      </c>
      <c r="K63" s="318">
        <v>151.05000000000001</v>
      </c>
    </row>
    <row r="64" spans="2:11" x14ac:dyDescent="0.25">
      <c r="H64" s="301">
        <v>46047</v>
      </c>
      <c r="I64" s="129" t="s">
        <v>175</v>
      </c>
      <c r="J64" s="162">
        <v>1509</v>
      </c>
      <c r="K64" s="318">
        <f>+J64*0.025</f>
        <v>37.725000000000001</v>
      </c>
    </row>
    <row r="65" spans="2:11" x14ac:dyDescent="0.25">
      <c r="B65" s="66"/>
      <c r="C65" s="391"/>
      <c r="D65" s="391"/>
      <c r="H65" s="301">
        <v>46050</v>
      </c>
      <c r="I65" s="129" t="s">
        <v>175</v>
      </c>
      <c r="J65" s="162">
        <v>2511</v>
      </c>
      <c r="K65" s="318">
        <f>+J65*0.025</f>
        <v>62.775000000000006</v>
      </c>
    </row>
    <row r="66" spans="2:11" x14ac:dyDescent="0.25">
      <c r="C66" s="389"/>
    </row>
    <row r="67" spans="2:11" x14ac:dyDescent="0.25">
      <c r="C67" s="389"/>
      <c r="H67" s="359" t="s">
        <v>232</v>
      </c>
      <c r="I67" s="345"/>
      <c r="J67" s="200">
        <f>+J65</f>
        <v>2511</v>
      </c>
      <c r="K67" s="346">
        <f>+K65</f>
        <v>62.775000000000006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6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6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6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6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6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6"/>
        <v>264</v>
      </c>
    </row>
    <row r="79" spans="2:11" x14ac:dyDescent="0.25">
      <c r="H79" s="344"/>
      <c r="I79" s="345"/>
      <c r="J79" s="200">
        <f>+K79/1.5</f>
        <v>486.66666666666669</v>
      </c>
      <c r="K79" s="346">
        <v>730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56" workbookViewId="0">
      <selection activeCell="A28" sqref="A28:K7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8.75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8.75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21.75" thickBot="1" x14ac:dyDescent="0.4">
      <c r="A4" s="164"/>
      <c r="B4" s="408"/>
      <c r="C4" s="408"/>
      <c r="D4" s="165">
        <f>D22</f>
        <v>5900.5709999999999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x14ac:dyDescent="0.25">
      <c r="A5" s="164"/>
      <c r="B5" s="168" t="s">
        <v>6</v>
      </c>
      <c r="C5" s="176">
        <v>2957</v>
      </c>
      <c r="D5" s="172">
        <v>126.402</v>
      </c>
      <c r="E5" s="80">
        <f t="shared" ref="E5:E20" si="0">+D5/$D$4</f>
        <v>2.1421994583236098E-2</v>
      </c>
      <c r="F5" s="58" t="s">
        <v>51</v>
      </c>
      <c r="G5" s="59">
        <v>46077</v>
      </c>
      <c r="H5" s="190">
        <v>7411</v>
      </c>
      <c r="I5" s="141">
        <v>5900.5709999999999</v>
      </c>
      <c r="J5" s="60">
        <f t="shared" ref="J5:J12" si="1">+I5/H5</f>
        <v>0.79619093239778704</v>
      </c>
    </row>
    <row r="6" spans="1:11" x14ac:dyDescent="0.25">
      <c r="A6" s="164"/>
      <c r="B6" s="169" t="s">
        <v>10</v>
      </c>
      <c r="C6" s="177">
        <v>10155</v>
      </c>
      <c r="D6" s="173">
        <v>433.32800000000003</v>
      </c>
      <c r="E6" s="245">
        <f t="shared" si="0"/>
        <v>7.3438316393447348E-2</v>
      </c>
      <c r="F6" s="58" t="s">
        <v>52</v>
      </c>
      <c r="G6" s="59">
        <v>46078</v>
      </c>
      <c r="H6" s="190">
        <v>8000</v>
      </c>
      <c r="I6" s="141"/>
      <c r="J6" s="60">
        <f t="shared" si="1"/>
        <v>0</v>
      </c>
    </row>
    <row r="7" spans="1:11" x14ac:dyDescent="0.25">
      <c r="A7" s="164"/>
      <c r="B7" s="169" t="s">
        <v>35</v>
      </c>
      <c r="C7" s="177">
        <v>10825</v>
      </c>
      <c r="D7" s="173">
        <v>461.55399999999997</v>
      </c>
      <c r="E7" s="245">
        <f t="shared" si="0"/>
        <v>7.8221921234402567E-2</v>
      </c>
      <c r="F7" s="58" t="s">
        <v>53</v>
      </c>
      <c r="G7" s="59">
        <v>46079</v>
      </c>
      <c r="H7" s="190">
        <v>8040</v>
      </c>
      <c r="I7" s="141"/>
      <c r="J7" s="60">
        <f t="shared" si="1"/>
        <v>0</v>
      </c>
    </row>
    <row r="8" spans="1:11" x14ac:dyDescent="0.25">
      <c r="A8" s="164"/>
      <c r="B8" s="169" t="s">
        <v>37</v>
      </c>
      <c r="C8" s="177">
        <v>31527</v>
      </c>
      <c r="D8" s="173">
        <v>1346.7539999999999</v>
      </c>
      <c r="E8" s="80">
        <f t="shared" si="0"/>
        <v>0.2282413007147952</v>
      </c>
      <c r="F8" s="58" t="s">
        <v>54</v>
      </c>
      <c r="G8" s="59">
        <v>46080</v>
      </c>
      <c r="H8" s="190">
        <v>7871</v>
      </c>
      <c r="I8" s="141"/>
      <c r="J8" s="60">
        <f t="shared" si="1"/>
        <v>0</v>
      </c>
    </row>
    <row r="9" spans="1:11" x14ac:dyDescent="0.25">
      <c r="A9" s="164"/>
      <c r="B9" s="169" t="s">
        <v>38</v>
      </c>
      <c r="C9" s="177">
        <v>26685</v>
      </c>
      <c r="D9" s="173">
        <v>1139.2410000000002</v>
      </c>
      <c r="E9" s="245">
        <f t="shared" si="0"/>
        <v>0.19307300937485544</v>
      </c>
      <c r="F9" s="58" t="s">
        <v>55</v>
      </c>
      <c r="G9" s="59">
        <v>46081</v>
      </c>
      <c r="H9" s="190">
        <v>8132</v>
      </c>
      <c r="I9" s="141"/>
      <c r="J9" s="60">
        <f t="shared" si="1"/>
        <v>0</v>
      </c>
    </row>
    <row r="10" spans="1:11" x14ac:dyDescent="0.25">
      <c r="A10" s="164"/>
      <c r="B10" s="169" t="s">
        <v>42</v>
      </c>
      <c r="C10" s="177">
        <v>16058</v>
      </c>
      <c r="D10" s="173">
        <v>685.68200000000024</v>
      </c>
      <c r="E10" s="245">
        <f t="shared" si="0"/>
        <v>0.11620604175426416</v>
      </c>
      <c r="F10" s="58" t="s">
        <v>56</v>
      </c>
      <c r="G10" s="59">
        <v>46082</v>
      </c>
      <c r="H10" s="190">
        <v>7799.0000000000009</v>
      </c>
      <c r="I10" s="141"/>
      <c r="J10" s="60">
        <f t="shared" si="1"/>
        <v>0</v>
      </c>
    </row>
    <row r="11" spans="1:11" x14ac:dyDescent="0.25">
      <c r="A11" s="164"/>
      <c r="B11" s="169" t="s">
        <v>218</v>
      </c>
      <c r="C11" s="177">
        <v>1420</v>
      </c>
      <c r="D11" s="173">
        <v>60.59</v>
      </c>
      <c r="E11" s="80">
        <f t="shared" si="0"/>
        <v>1.0268497743692942E-2</v>
      </c>
      <c r="F11" s="58" t="s">
        <v>57</v>
      </c>
      <c r="G11" s="59">
        <v>46083</v>
      </c>
      <c r="H11" s="190">
        <v>4563</v>
      </c>
      <c r="I11" s="141"/>
      <c r="J11" s="60">
        <f t="shared" si="1"/>
        <v>0</v>
      </c>
    </row>
    <row r="12" spans="1:11" x14ac:dyDescent="0.25">
      <c r="A12" s="164"/>
      <c r="B12" s="169" t="s">
        <v>196</v>
      </c>
      <c r="C12" s="177">
        <v>9432</v>
      </c>
      <c r="D12" s="173">
        <v>238.38</v>
      </c>
      <c r="E12" s="80">
        <f t="shared" si="0"/>
        <v>4.0399479982530503E-2</v>
      </c>
      <c r="H12" s="139">
        <f>+SUM(H5:H11)</f>
        <v>51816</v>
      </c>
      <c r="I12" s="142">
        <f>+SUM(I5:I11)</f>
        <v>5900.5709999999999</v>
      </c>
      <c r="J12" s="140">
        <f t="shared" si="1"/>
        <v>0.11387546317739694</v>
      </c>
    </row>
    <row r="13" spans="1:11" x14ac:dyDescent="0.25">
      <c r="A13" s="164"/>
      <c r="B13" s="169" t="s">
        <v>43</v>
      </c>
      <c r="C13" s="177">
        <v>92</v>
      </c>
      <c r="D13" s="173">
        <v>139.36000000000001</v>
      </c>
      <c r="E13" s="80">
        <f t="shared" si="0"/>
        <v>2.3618053235864803E-2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x14ac:dyDescent="0.25">
      <c r="A14" s="164"/>
      <c r="B14" s="169" t="s">
        <v>49</v>
      </c>
      <c r="C14" s="177">
        <v>22</v>
      </c>
      <c r="D14" s="173">
        <v>33.33</v>
      </c>
      <c r="E14" s="80">
        <f t="shared" si="0"/>
        <v>5.6486058722113501E-3</v>
      </c>
      <c r="F14" s="112" t="s">
        <v>108</v>
      </c>
      <c r="G14" s="190">
        <v>204007.80300000001</v>
      </c>
      <c r="H14" s="190">
        <v>190629.128</v>
      </c>
      <c r="I14" s="190"/>
      <c r="J14" s="98">
        <f>+H14/G14</f>
        <v>0.93442076820953746</v>
      </c>
      <c r="K14" s="98">
        <f>+I14/H14</f>
        <v>0</v>
      </c>
    </row>
    <row r="15" spans="1:11" x14ac:dyDescent="0.25">
      <c r="A15" s="164"/>
      <c r="B15" s="169" t="s">
        <v>45</v>
      </c>
      <c r="C15" s="177">
        <v>47</v>
      </c>
      <c r="D15" s="173">
        <v>71.080000000000013</v>
      </c>
      <c r="E15" s="80">
        <f t="shared" si="0"/>
        <v>1.2046291791082594E-2</v>
      </c>
      <c r="F15" s="112" t="s">
        <v>109</v>
      </c>
      <c r="G15" s="190">
        <v>186305.94399999996</v>
      </c>
      <c r="H15" s="190">
        <v>182874.285</v>
      </c>
      <c r="I15" s="190">
        <f>+D23</f>
        <v>166154.74</v>
      </c>
      <c r="J15" s="98">
        <f t="shared" ref="J15:K26" si="2">+H15/G15</f>
        <v>0.9815805179033904</v>
      </c>
      <c r="K15" s="98">
        <f>+I15/H15</f>
        <v>0.9085735591529448</v>
      </c>
    </row>
    <row r="16" spans="1:11" x14ac:dyDescent="0.25">
      <c r="A16" s="164"/>
      <c r="B16" s="169" t="s">
        <v>41</v>
      </c>
      <c r="C16" s="177">
        <v>179</v>
      </c>
      <c r="D16" s="173">
        <v>270.25</v>
      </c>
      <c r="E16" s="80">
        <f t="shared" si="0"/>
        <v>4.5800652174170939E-2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x14ac:dyDescent="0.25">
      <c r="A17" s="164"/>
      <c r="B17" s="169" t="s">
        <v>39</v>
      </c>
      <c r="C17" s="177">
        <v>203</v>
      </c>
      <c r="D17" s="173">
        <v>307.15000000000003</v>
      </c>
      <c r="E17" s="80">
        <f t="shared" si="0"/>
        <v>5.2054284237915284E-2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x14ac:dyDescent="0.25">
      <c r="A18" s="164"/>
      <c r="B18" s="169" t="s">
        <v>85</v>
      </c>
      <c r="C18" s="177">
        <v>69</v>
      </c>
      <c r="D18" s="173">
        <v>104.10999999999999</v>
      </c>
      <c r="E18" s="80">
        <f t="shared" si="0"/>
        <v>1.7644055126190328E-2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x14ac:dyDescent="0.25">
      <c r="A19" s="164"/>
      <c r="B19" s="169" t="s">
        <v>9</v>
      </c>
      <c r="C19" s="177"/>
      <c r="D19" s="173">
        <v>62.24</v>
      </c>
      <c r="E19" s="80">
        <f t="shared" si="0"/>
        <v>1.054813169776281E-2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x14ac:dyDescent="0.25">
      <c r="A20" s="164"/>
      <c r="B20" s="169" t="s">
        <v>46</v>
      </c>
      <c r="C20" s="177"/>
      <c r="D20" s="173">
        <v>91.54</v>
      </c>
      <c r="E20" s="80">
        <f t="shared" si="0"/>
        <v>1.5513752821548966E-2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6.5" thickBot="1" x14ac:dyDescent="0.3">
      <c r="A21" s="164"/>
      <c r="B21" s="169" t="s">
        <v>40</v>
      </c>
      <c r="C21" s="177"/>
      <c r="D21" s="173">
        <v>329.57999999999993</v>
      </c>
      <c r="E21" s="80"/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6.5" thickBot="1" x14ac:dyDescent="0.3">
      <c r="B22" s="178" t="s">
        <v>0</v>
      </c>
      <c r="C22" s="170"/>
      <c r="D22" s="171">
        <f>SUM(D5:D21)</f>
        <v>5900.5709999999999</v>
      </c>
      <c r="E22" s="80"/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x14ac:dyDescent="0.25">
      <c r="B23" s="166" t="s">
        <v>1</v>
      </c>
      <c r="C23" s="167"/>
      <c r="D23" s="233">
        <v>166154.74</v>
      </c>
      <c r="E23" s="80"/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166154.74</v>
      </c>
      <c r="J26" s="378">
        <f t="shared" si="2"/>
        <v>1.0267879425243049</v>
      </c>
      <c r="K26" s="378">
        <f t="shared" si="2"/>
        <v>6.3518672314046357E-2</v>
      </c>
    </row>
    <row r="27" spans="1:11" ht="19.5" thickBot="1" x14ac:dyDescent="0.3">
      <c r="E27" s="313">
        <f>+D23/I2</f>
        <v>0.85406880843131761</v>
      </c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x14ac:dyDescent="0.25">
      <c r="F28" s="179"/>
      <c r="G28" s="179"/>
      <c r="J28" s="179"/>
    </row>
    <row r="29" spans="1:11" x14ac:dyDescent="0.25">
      <c r="B29" s="397" t="s">
        <v>251</v>
      </c>
      <c r="C29" s="409">
        <v>23</v>
      </c>
      <c r="D29" s="108">
        <f>+(I2/28)*C29</f>
        <v>159804.74800966986</v>
      </c>
      <c r="E29" s="314">
        <f>+D29/I2</f>
        <v>0.8214285714285714</v>
      </c>
      <c r="F29" s="352"/>
    </row>
    <row r="30" spans="1:11" x14ac:dyDescent="0.25">
      <c r="D30" s="183">
        <f>+D23-D29</f>
        <v>6349.9919903301343</v>
      </c>
      <c r="E30" s="99">
        <f>E27-E29</f>
        <v>3.2640237002746209E-2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10668</v>
      </c>
      <c r="I32" s="88">
        <f>+H32*0.025</f>
        <v>266.7</v>
      </c>
      <c r="J32" s="224"/>
    </row>
    <row r="33" spans="1:11" x14ac:dyDescent="0.25">
      <c r="B33" s="162" t="s">
        <v>61</v>
      </c>
      <c r="C33" s="162">
        <v>565</v>
      </c>
      <c r="D33" s="108">
        <v>2142</v>
      </c>
      <c r="E33" s="57">
        <f>+C33/D33</f>
        <v>0.26377217553688143</v>
      </c>
      <c r="G33" s="86" t="s">
        <v>259</v>
      </c>
      <c r="H33" s="87">
        <v>14265</v>
      </c>
      <c r="I33" s="88">
        <f>+H33*0.025</f>
        <v>356.625</v>
      </c>
      <c r="J33" s="224"/>
      <c r="K33" s="68"/>
    </row>
    <row r="34" spans="1:11" x14ac:dyDescent="0.25">
      <c r="B34" s="162" t="s">
        <v>62</v>
      </c>
      <c r="C34" s="162">
        <v>1052</v>
      </c>
      <c r="D34" s="108">
        <v>1890</v>
      </c>
      <c r="E34" s="57">
        <f>+C34/D34</f>
        <v>0.55661375661375656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427</v>
      </c>
      <c r="D35" s="108">
        <v>3006</v>
      </c>
      <c r="E35" s="57">
        <f>+C35/D35</f>
        <v>0.14204923486360613</v>
      </c>
      <c r="G35" s="89" t="s">
        <v>169</v>
      </c>
      <c r="H35" s="87">
        <v>192</v>
      </c>
      <c r="I35" s="88">
        <f>+H35*1.5</f>
        <v>288</v>
      </c>
      <c r="J35" s="298">
        <f>+I35+I32+I33</f>
        <v>911.32500000000005</v>
      </c>
    </row>
    <row r="36" spans="1:11" x14ac:dyDescent="0.25">
      <c r="C36" s="162">
        <f>+SUM(C33:C35)</f>
        <v>2044</v>
      </c>
      <c r="D36" s="110">
        <f>+SUM(D33:D35)</f>
        <v>7038</v>
      </c>
      <c r="E36" s="57">
        <f>+C36/D36</f>
        <v>0.29042341574310881</v>
      </c>
      <c r="G36" s="89" t="s">
        <v>168</v>
      </c>
      <c r="H36" s="87">
        <v>92</v>
      </c>
      <c r="I36" s="88">
        <f>+H36*1.5</f>
        <v>138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62</v>
      </c>
      <c r="C40" s="74">
        <v>5</v>
      </c>
      <c r="D40" s="74">
        <v>19</v>
      </c>
      <c r="E40" s="75">
        <f>+SUM(B40:D40)</f>
        <v>86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6.71</v>
      </c>
      <c r="C44" s="199">
        <v>2268</v>
      </c>
      <c r="D44" s="200">
        <v>3600</v>
      </c>
      <c r="E44" s="201">
        <f t="shared" si="3"/>
        <v>0.63</v>
      </c>
      <c r="F44" s="201">
        <f t="shared" si="4"/>
        <v>0.27958333333333335</v>
      </c>
      <c r="G44" s="202">
        <v>12</v>
      </c>
      <c r="H44" s="71"/>
    </row>
    <row r="45" spans="1:11" x14ac:dyDescent="0.25">
      <c r="A45" s="207" t="s">
        <v>72</v>
      </c>
      <c r="B45" s="199">
        <v>6.23</v>
      </c>
      <c r="C45" s="199">
        <v>1585</v>
      </c>
      <c r="D45" s="200">
        <v>3900</v>
      </c>
      <c r="E45" s="201">
        <f t="shared" si="3"/>
        <v>0.40641025641025641</v>
      </c>
      <c r="F45" s="201">
        <f t="shared" si="4"/>
        <v>0.25958333333333333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6.68</v>
      </c>
      <c r="C46" s="199">
        <v>2638</v>
      </c>
      <c r="D46" s="200">
        <v>3900</v>
      </c>
      <c r="E46" s="201">
        <f t="shared" si="3"/>
        <v>0.67641025641025643</v>
      </c>
      <c r="F46" s="201">
        <f t="shared" si="4"/>
        <v>0.27833333333333332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5" si="5">+J46*1.5</f>
        <v>139.5</v>
      </c>
    </row>
    <row r="47" spans="1:11" x14ac:dyDescent="0.25">
      <c r="A47" s="207" t="s">
        <v>74</v>
      </c>
      <c r="B47" s="199">
        <v>8.84</v>
      </c>
      <c r="C47" s="199">
        <v>2313</v>
      </c>
      <c r="D47" s="200">
        <v>3900</v>
      </c>
      <c r="E47" s="201">
        <f t="shared" si="3"/>
        <v>0.59307692307692306</v>
      </c>
      <c r="F47" s="201">
        <f t="shared" si="4"/>
        <v>0.36833333333333335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1" x14ac:dyDescent="0.25">
      <c r="A48" s="259" t="s">
        <v>75</v>
      </c>
      <c r="B48" s="260">
        <v>13.22</v>
      </c>
      <c r="C48" s="261">
        <v>3058</v>
      </c>
      <c r="D48" s="262">
        <v>4300</v>
      </c>
      <c r="E48" s="263">
        <f t="shared" si="3"/>
        <v>0.71116279069767441</v>
      </c>
      <c r="F48" s="201">
        <f t="shared" si="4"/>
        <v>0.5508333333333334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41.68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1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13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0</v>
      </c>
      <c r="K56" s="318"/>
    </row>
    <row r="57" spans="2:11" x14ac:dyDescent="0.25">
      <c r="C57" s="71">
        <v>7</v>
      </c>
      <c r="D57" s="225">
        <v>0</v>
      </c>
      <c r="E57" s="225" t="s">
        <v>250</v>
      </c>
      <c r="K57" s="318"/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252</v>
      </c>
      <c r="I59" s="345"/>
      <c r="J59" s="199">
        <f>+J52+J53+J54+J55</f>
        <v>439</v>
      </c>
      <c r="K59" s="346">
        <f>+J59*1.5</f>
        <v>658.5</v>
      </c>
    </row>
    <row r="60" spans="2:11" x14ac:dyDescent="0.25">
      <c r="B60" s="364" t="s">
        <v>231</v>
      </c>
      <c r="C60" s="199">
        <v>1552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46006</v>
      </c>
      <c r="I61" s="129" t="s">
        <v>175</v>
      </c>
      <c r="J61" s="162">
        <v>5733</v>
      </c>
      <c r="K61" s="318"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v>62.050000000000004</v>
      </c>
    </row>
    <row r="63" spans="2:11" x14ac:dyDescent="0.25">
      <c r="H63" s="301">
        <v>46012</v>
      </c>
      <c r="I63" s="129" t="s">
        <v>175</v>
      </c>
      <c r="J63" s="162">
        <v>6042</v>
      </c>
      <c r="K63" s="318">
        <v>151.05000000000001</v>
      </c>
    </row>
    <row r="64" spans="2:11" x14ac:dyDescent="0.25">
      <c r="H64" s="301">
        <v>46047</v>
      </c>
      <c r="I64" s="129" t="s">
        <v>175</v>
      </c>
      <c r="J64" s="162">
        <v>1509</v>
      </c>
      <c r="K64" s="318">
        <f>+J64*0.025</f>
        <v>37.725000000000001</v>
      </c>
    </row>
    <row r="65" spans="2:11" x14ac:dyDescent="0.25">
      <c r="B65" s="66"/>
      <c r="C65" s="391"/>
      <c r="D65" s="391"/>
      <c r="H65" s="301">
        <v>46050</v>
      </c>
      <c r="I65" s="129" t="s">
        <v>175</v>
      </c>
      <c r="J65" s="162">
        <v>2511</v>
      </c>
      <c r="K65" s="318">
        <f>+J65*0.025</f>
        <v>62.775000000000006</v>
      </c>
    </row>
    <row r="66" spans="2:11" x14ac:dyDescent="0.25">
      <c r="C66" s="389"/>
    </row>
    <row r="67" spans="2:11" x14ac:dyDescent="0.25">
      <c r="C67" s="389"/>
      <c r="H67" s="359" t="s">
        <v>232</v>
      </c>
      <c r="I67" s="345"/>
      <c r="J67" s="200">
        <f>+J65</f>
        <v>2511</v>
      </c>
      <c r="K67" s="346">
        <f>+K65</f>
        <v>62.775000000000006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6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6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6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6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6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6"/>
        <v>264</v>
      </c>
    </row>
    <row r="79" spans="2:11" x14ac:dyDescent="0.25">
      <c r="H79" s="344"/>
      <c r="I79" s="345"/>
      <c r="J79" s="200">
        <f>+K79/1.5</f>
        <v>486.66666666666669</v>
      </c>
      <c r="K79" s="346">
        <v>730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53" workbookViewId="0">
      <selection activeCell="A28" sqref="A28:K7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19.5" customHeight="1" thickBot="1" x14ac:dyDescent="0.4">
      <c r="A4" s="164"/>
      <c r="B4" s="410"/>
      <c r="C4" s="410"/>
      <c r="D4" s="165">
        <f>D26</f>
        <v>7184.639000000001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4740</v>
      </c>
      <c r="D5" s="172">
        <v>202.43</v>
      </c>
      <c r="E5" s="80">
        <f t="shared" ref="E5:E25" si="0">+D5/$D$4</f>
        <v>2.817538918796059E-2</v>
      </c>
      <c r="F5" s="58" t="s">
        <v>51</v>
      </c>
      <c r="G5" s="59">
        <v>46077</v>
      </c>
      <c r="H5" s="190">
        <v>7411</v>
      </c>
      <c r="I5" s="141">
        <v>5900.5709999999999</v>
      </c>
      <c r="J5" s="60">
        <f t="shared" ref="J5:J12" si="1">+I5/H5</f>
        <v>0.79619093239778704</v>
      </c>
    </row>
    <row r="6" spans="1:11" ht="15" customHeight="1" x14ac:dyDescent="0.25">
      <c r="A6" s="164"/>
      <c r="B6" s="169" t="s">
        <v>10</v>
      </c>
      <c r="C6" s="177">
        <v>7245</v>
      </c>
      <c r="D6" s="173">
        <v>309.14999999999998</v>
      </c>
      <c r="E6" s="80">
        <f t="shared" si="0"/>
        <v>4.3029301820174948E-2</v>
      </c>
      <c r="F6" s="58" t="s">
        <v>52</v>
      </c>
      <c r="G6" s="59">
        <v>46078</v>
      </c>
      <c r="H6" s="190">
        <v>8000</v>
      </c>
      <c r="I6" s="141">
        <v>7184.639000000001</v>
      </c>
      <c r="J6" s="60">
        <f t="shared" si="1"/>
        <v>0.89807987500000008</v>
      </c>
    </row>
    <row r="7" spans="1:11" ht="15" customHeight="1" x14ac:dyDescent="0.25">
      <c r="A7" s="164"/>
      <c r="B7" s="169" t="s">
        <v>35</v>
      </c>
      <c r="C7" s="177">
        <v>18547</v>
      </c>
      <c r="D7" s="173">
        <v>790.56200000000013</v>
      </c>
      <c r="E7" s="245">
        <f t="shared" si="0"/>
        <v>0.11003503446728499</v>
      </c>
      <c r="F7" s="58" t="s">
        <v>53</v>
      </c>
      <c r="G7" s="59">
        <v>46079</v>
      </c>
      <c r="H7" s="190">
        <v>8040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</v>
      </c>
      <c r="C8" s="177">
        <v>855</v>
      </c>
      <c r="D8" s="173">
        <v>36.51</v>
      </c>
      <c r="E8" s="80">
        <f t="shared" si="0"/>
        <v>5.0816749456722866E-3</v>
      </c>
      <c r="F8" s="58" t="s">
        <v>54</v>
      </c>
      <c r="G8" s="59">
        <v>46080</v>
      </c>
      <c r="H8" s="190">
        <v>7871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28399</v>
      </c>
      <c r="D9" s="173">
        <v>1212.884</v>
      </c>
      <c r="E9" s="245">
        <f t="shared" si="0"/>
        <v>0.16881627594650195</v>
      </c>
      <c r="F9" s="58" t="s">
        <v>55</v>
      </c>
      <c r="G9" s="59">
        <v>46081</v>
      </c>
      <c r="H9" s="190">
        <v>8132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35278</v>
      </c>
      <c r="D10" s="173">
        <v>1504.1530000000005</v>
      </c>
      <c r="E10" s="245">
        <f t="shared" si="0"/>
        <v>0.20935679579725583</v>
      </c>
      <c r="F10" s="58" t="s">
        <v>56</v>
      </c>
      <c r="G10" s="59">
        <v>46082</v>
      </c>
      <c r="H10" s="190">
        <v>7799.0000000000009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11841</v>
      </c>
      <c r="D11" s="173">
        <v>506.06200000000001</v>
      </c>
      <c r="E11" s="80">
        <f t="shared" si="0"/>
        <v>7.0436663554007364E-2</v>
      </c>
      <c r="F11" s="58" t="s">
        <v>57</v>
      </c>
      <c r="G11" s="59">
        <v>46083</v>
      </c>
      <c r="H11" s="190">
        <v>4563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432</v>
      </c>
      <c r="D12" s="173">
        <v>10.93</v>
      </c>
      <c r="E12" s="80">
        <f t="shared" si="0"/>
        <v>1.5213012094275019E-3</v>
      </c>
      <c r="H12" s="139">
        <f>+SUM(H5:H11)</f>
        <v>51816</v>
      </c>
      <c r="I12" s="142">
        <f>+SUM(I5:I11)</f>
        <v>13085.210000000001</v>
      </c>
      <c r="J12" s="140">
        <f t="shared" si="1"/>
        <v>0.25253222942720399</v>
      </c>
    </row>
    <row r="13" spans="1:11" ht="15" customHeight="1" x14ac:dyDescent="0.25">
      <c r="A13" s="164"/>
      <c r="B13" s="169" t="s">
        <v>260</v>
      </c>
      <c r="C13" s="177">
        <v>92</v>
      </c>
      <c r="D13" s="173">
        <v>167.31800000000001</v>
      </c>
      <c r="E13" s="80">
        <f t="shared" si="0"/>
        <v>2.3288296043823493E-2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43</v>
      </c>
      <c r="C14" s="177">
        <v>227</v>
      </c>
      <c r="D14" s="173">
        <v>342.57</v>
      </c>
      <c r="E14" s="80">
        <f t="shared" si="0"/>
        <v>4.76808925264025E-2</v>
      </c>
      <c r="F14" s="112" t="s">
        <v>108</v>
      </c>
      <c r="G14" s="190">
        <v>204007.80300000001</v>
      </c>
      <c r="H14" s="190">
        <v>190629.128</v>
      </c>
      <c r="I14" s="190"/>
      <c r="J14" s="98">
        <f>+H14/G14</f>
        <v>0.93442076820953746</v>
      </c>
      <c r="K14" s="98">
        <f>+I14/H14</f>
        <v>0</v>
      </c>
    </row>
    <row r="15" spans="1:11" ht="15" customHeight="1" x14ac:dyDescent="0.25">
      <c r="A15" s="164"/>
      <c r="B15" s="169" t="s">
        <v>194</v>
      </c>
      <c r="C15" s="177">
        <v>42</v>
      </c>
      <c r="D15" s="173">
        <v>63.3</v>
      </c>
      <c r="E15" s="80">
        <f t="shared" si="0"/>
        <v>8.8104635459067583E-3</v>
      </c>
      <c r="F15" s="112" t="s">
        <v>109</v>
      </c>
      <c r="G15" s="190">
        <v>186305.94399999996</v>
      </c>
      <c r="H15" s="190">
        <v>182874.285</v>
      </c>
      <c r="I15" s="190">
        <f>+D27</f>
        <v>173372.639</v>
      </c>
      <c r="J15" s="98">
        <f t="shared" ref="J15:K26" si="2">+H15/G15</f>
        <v>0.9815805179033904</v>
      </c>
      <c r="K15" s="98">
        <f>+I15/H15</f>
        <v>0.94804274422727064</v>
      </c>
    </row>
    <row r="16" spans="1:11" ht="15" customHeight="1" x14ac:dyDescent="0.25">
      <c r="A16" s="164"/>
      <c r="B16" s="169" t="s">
        <v>44</v>
      </c>
      <c r="C16" s="177">
        <v>44</v>
      </c>
      <c r="D16" s="173">
        <v>66.47</v>
      </c>
      <c r="E16" s="80">
        <f t="shared" si="0"/>
        <v>9.2516826523921375E-3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49</v>
      </c>
      <c r="C17" s="177">
        <v>62</v>
      </c>
      <c r="D17" s="173">
        <v>93.28</v>
      </c>
      <c r="E17" s="80">
        <f t="shared" si="0"/>
        <v>1.2983254969386768E-2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45</v>
      </c>
      <c r="C18" s="177">
        <v>24</v>
      </c>
      <c r="D18" s="173">
        <v>36.22</v>
      </c>
      <c r="E18" s="80">
        <f t="shared" si="0"/>
        <v>5.0413110526499648E-3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88</v>
      </c>
      <c r="C19" s="177">
        <v>60</v>
      </c>
      <c r="D19" s="173">
        <v>91.57</v>
      </c>
      <c r="E19" s="80">
        <f t="shared" si="0"/>
        <v>1.2745247186393078E-2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41</v>
      </c>
      <c r="C20" s="177">
        <v>111</v>
      </c>
      <c r="D20" s="173">
        <v>166.92999999999998</v>
      </c>
      <c r="E20" s="80">
        <f t="shared" si="0"/>
        <v>2.3234291938676384E-2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39</v>
      </c>
      <c r="C21" s="177">
        <v>362</v>
      </c>
      <c r="D21" s="173">
        <v>546.53</v>
      </c>
      <c r="E21" s="80">
        <f t="shared" si="0"/>
        <v>7.6069236046515332E-2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85</v>
      </c>
      <c r="C22" s="177">
        <v>44</v>
      </c>
      <c r="D22" s="173">
        <v>66.52000000000001</v>
      </c>
      <c r="E22" s="80">
        <f t="shared" si="0"/>
        <v>9.258641944292538E-3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91.539999999999992</v>
      </c>
      <c r="E23" s="80">
        <f t="shared" si="0"/>
        <v>1.2741071611252838E-2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A24" s="164"/>
      <c r="B24" s="169" t="s">
        <v>46</v>
      </c>
      <c r="C24" s="177"/>
      <c r="D24" s="173">
        <v>152.30000000000001</v>
      </c>
      <c r="E24" s="80">
        <f t="shared" si="0"/>
        <v>2.1198003128619265E-2</v>
      </c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thickBot="1" x14ac:dyDescent="0.3">
      <c r="A25" s="164"/>
      <c r="B25" s="169" t="s">
        <v>40</v>
      </c>
      <c r="C25" s="177"/>
      <c r="D25" s="173">
        <v>727.41000000000008</v>
      </c>
      <c r="E25" s="245">
        <f t="shared" si="0"/>
        <v>0.10124517042540342</v>
      </c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B26" s="178" t="s">
        <v>0</v>
      </c>
      <c r="C26" s="170"/>
      <c r="D26" s="171">
        <f>SUM(D5:D25)</f>
        <v>7184.639000000001</v>
      </c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173372.639</v>
      </c>
      <c r="J26" s="378">
        <f t="shared" si="2"/>
        <v>1.0267879425243049</v>
      </c>
      <c r="K26" s="378">
        <f t="shared" si="2"/>
        <v>6.6277975848672468E-2</v>
      </c>
    </row>
    <row r="27" spans="1:11" ht="15" customHeight="1" thickBot="1" x14ac:dyDescent="0.3">
      <c r="B27" s="166" t="s">
        <v>1</v>
      </c>
      <c r="C27" s="167"/>
      <c r="D27" s="233">
        <v>173372.639</v>
      </c>
      <c r="E27" s="313">
        <f>+D27/I2</f>
        <v>0.89117026216238537</v>
      </c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x14ac:dyDescent="0.25">
      <c r="F28" s="179"/>
      <c r="G28" s="179"/>
      <c r="J28" s="179"/>
    </row>
    <row r="29" spans="1:11" x14ac:dyDescent="0.25">
      <c r="B29" s="397" t="s">
        <v>251</v>
      </c>
      <c r="C29" s="411">
        <v>24</v>
      </c>
      <c r="D29" s="108">
        <f>+(I2/28)*C29</f>
        <v>166752.7805318294</v>
      </c>
      <c r="E29" s="314">
        <f>+D29/I2</f>
        <v>0.8571428571428571</v>
      </c>
      <c r="F29" s="352"/>
    </row>
    <row r="30" spans="1:11" x14ac:dyDescent="0.25">
      <c r="D30" s="183">
        <f>+D27-D29</f>
        <v>6619.8584681705979</v>
      </c>
      <c r="E30" s="99">
        <f>E27-E29</f>
        <v>3.4027405019528278E-2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10236</v>
      </c>
      <c r="I32" s="88">
        <f>+H32*0.025</f>
        <v>255.9</v>
      </c>
      <c r="J32" s="224"/>
    </row>
    <row r="33" spans="1:11" x14ac:dyDescent="0.25">
      <c r="B33" s="162" t="s">
        <v>61</v>
      </c>
      <c r="C33" s="162">
        <v>600</v>
      </c>
      <c r="D33" s="108">
        <v>2142</v>
      </c>
      <c r="E33" s="57">
        <f>+C33/D33</f>
        <v>0.28011204481792717</v>
      </c>
      <c r="G33" s="86" t="s">
        <v>259</v>
      </c>
      <c r="H33" s="87">
        <v>6209</v>
      </c>
      <c r="I33" s="88">
        <f>+H33*0.025</f>
        <v>155.22500000000002</v>
      </c>
      <c r="J33" s="224"/>
      <c r="K33" s="68"/>
    </row>
    <row r="34" spans="1:11" x14ac:dyDescent="0.25">
      <c r="B34" s="162" t="s">
        <v>62</v>
      </c>
      <c r="C34" s="162">
        <v>996</v>
      </c>
      <c r="D34" s="108">
        <v>1890</v>
      </c>
      <c r="E34" s="57">
        <f>+C34/D34</f>
        <v>0.526984126984127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340</v>
      </c>
      <c r="D35" s="108">
        <v>3006</v>
      </c>
      <c r="E35" s="57">
        <f>+C35/D35</f>
        <v>0.11310711909514305</v>
      </c>
      <c r="G35" s="89" t="s">
        <v>169</v>
      </c>
      <c r="H35" s="87">
        <v>132</v>
      </c>
      <c r="I35" s="88">
        <f>+H35*1.5</f>
        <v>198</v>
      </c>
      <c r="J35" s="298">
        <f>+I35+I32+I33</f>
        <v>609.125</v>
      </c>
    </row>
    <row r="36" spans="1:11" x14ac:dyDescent="0.25">
      <c r="C36" s="162">
        <f>+SUM(C33:C35)</f>
        <v>1936</v>
      </c>
      <c r="D36" s="110">
        <f>+SUM(D33:D35)</f>
        <v>7038</v>
      </c>
      <c r="E36" s="57">
        <f>+C36/D36</f>
        <v>0.27507814720090934</v>
      </c>
      <c r="G36" s="89" t="s">
        <v>168</v>
      </c>
      <c r="H36" s="87">
        <v>92</v>
      </c>
      <c r="I36" s="88">
        <f>+H36*1.5</f>
        <v>138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70</v>
      </c>
      <c r="C40" s="74">
        <v>5</v>
      </c>
      <c r="D40" s="74">
        <v>22</v>
      </c>
      <c r="E40" s="75">
        <f>+SUM(B40:D40)</f>
        <v>97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7.55</v>
      </c>
      <c r="C44" s="199">
        <v>1681</v>
      </c>
      <c r="D44" s="200">
        <v>3600</v>
      </c>
      <c r="E44" s="201">
        <f t="shared" si="3"/>
        <v>0.46694444444444444</v>
      </c>
      <c r="F44" s="201">
        <f t="shared" si="4"/>
        <v>0.31458333333333333</v>
      </c>
      <c r="G44" s="202">
        <v>12</v>
      </c>
      <c r="H44" s="71"/>
    </row>
    <row r="45" spans="1:11" x14ac:dyDescent="0.25">
      <c r="A45" s="207" t="s">
        <v>72</v>
      </c>
      <c r="B45" s="199">
        <v>6.54</v>
      </c>
      <c r="C45" s="199">
        <v>1379</v>
      </c>
      <c r="D45" s="200">
        <v>3900</v>
      </c>
      <c r="E45" s="201">
        <f t="shared" si="3"/>
        <v>0.3535897435897436</v>
      </c>
      <c r="F45" s="201">
        <f t="shared" si="4"/>
        <v>0.27250000000000002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10.9</v>
      </c>
      <c r="C46" s="199">
        <v>2861</v>
      </c>
      <c r="D46" s="200">
        <v>3900</v>
      </c>
      <c r="E46" s="201">
        <f t="shared" si="3"/>
        <v>0.7335897435897436</v>
      </c>
      <c r="F46" s="201">
        <f t="shared" si="4"/>
        <v>0.45416666666666666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5" si="5">+J46*1.5</f>
        <v>139.5</v>
      </c>
    </row>
    <row r="47" spans="1:11" x14ac:dyDescent="0.25">
      <c r="A47" s="207" t="s">
        <v>74</v>
      </c>
      <c r="B47" s="199">
        <v>7.01</v>
      </c>
      <c r="C47" s="199">
        <v>2250</v>
      </c>
      <c r="D47" s="200">
        <v>3900</v>
      </c>
      <c r="E47" s="201">
        <f t="shared" si="3"/>
        <v>0.57692307692307687</v>
      </c>
      <c r="F47" s="201">
        <f t="shared" si="4"/>
        <v>0.29208333333333331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1" x14ac:dyDescent="0.25">
      <c r="A48" s="259" t="s">
        <v>75</v>
      </c>
      <c r="B48" s="260">
        <v>14.01</v>
      </c>
      <c r="C48" s="261">
        <v>2322</v>
      </c>
      <c r="D48" s="262">
        <v>4300</v>
      </c>
      <c r="E48" s="263">
        <f t="shared" si="3"/>
        <v>0.54</v>
      </c>
      <c r="F48" s="201">
        <f t="shared" si="4"/>
        <v>0.58374999999999999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46.01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0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7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0</v>
      </c>
      <c r="K56" s="318"/>
    </row>
    <row r="57" spans="2:11" x14ac:dyDescent="0.25">
      <c r="C57" s="71">
        <v>7</v>
      </c>
      <c r="D57" s="225">
        <v>0</v>
      </c>
      <c r="E57" s="225" t="s">
        <v>250</v>
      </c>
      <c r="K57" s="318"/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252</v>
      </c>
      <c r="I59" s="345"/>
      <c r="J59" s="199">
        <f>+J52+J53+J54+J55</f>
        <v>439</v>
      </c>
      <c r="K59" s="346">
        <f>+J59*1.5</f>
        <v>658.5</v>
      </c>
    </row>
    <row r="60" spans="2:11" x14ac:dyDescent="0.25">
      <c r="B60" s="364" t="s">
        <v>231</v>
      </c>
      <c r="C60" s="199">
        <v>2046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46006</v>
      </c>
      <c r="I61" s="129" t="s">
        <v>175</v>
      </c>
      <c r="J61" s="162">
        <v>5733</v>
      </c>
      <c r="K61" s="318"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v>62.050000000000004</v>
      </c>
    </row>
    <row r="63" spans="2:11" x14ac:dyDescent="0.25">
      <c r="H63" s="301">
        <v>46012</v>
      </c>
      <c r="I63" s="129" t="s">
        <v>175</v>
      </c>
      <c r="J63" s="162">
        <v>6042</v>
      </c>
      <c r="K63" s="318">
        <v>151.05000000000001</v>
      </c>
    </row>
    <row r="64" spans="2:11" x14ac:dyDescent="0.25">
      <c r="H64" s="301">
        <v>46047</v>
      </c>
      <c r="I64" s="129" t="s">
        <v>175</v>
      </c>
      <c r="J64" s="162">
        <v>1509</v>
      </c>
      <c r="K64" s="318">
        <f>+J64*0.025</f>
        <v>37.725000000000001</v>
      </c>
    </row>
    <row r="65" spans="2:11" x14ac:dyDescent="0.25">
      <c r="B65" s="66"/>
      <c r="C65" s="391"/>
      <c r="D65" s="391"/>
      <c r="H65" s="301">
        <v>46050</v>
      </c>
      <c r="I65" s="129" t="s">
        <v>175</v>
      </c>
      <c r="J65" s="162">
        <v>2511</v>
      </c>
      <c r="K65" s="318">
        <f>+J65*0.025</f>
        <v>62.775000000000006</v>
      </c>
    </row>
    <row r="66" spans="2:11" x14ac:dyDescent="0.25">
      <c r="C66" s="389"/>
    </row>
    <row r="67" spans="2:11" x14ac:dyDescent="0.25">
      <c r="C67" s="389"/>
      <c r="H67" s="359" t="s">
        <v>232</v>
      </c>
      <c r="I67" s="345"/>
      <c r="J67" s="200">
        <f>+J65</f>
        <v>2511</v>
      </c>
      <c r="K67" s="346">
        <f>+K65</f>
        <v>62.775000000000006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6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6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6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6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6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6"/>
        <v>264</v>
      </c>
    </row>
    <row r="79" spans="2:11" x14ac:dyDescent="0.25">
      <c r="H79" s="344"/>
      <c r="I79" s="345"/>
      <c r="J79" s="200">
        <f>+K79/1.5</f>
        <v>486.66666666666669</v>
      </c>
      <c r="K79" s="346">
        <v>730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activeCell="E27" sqref="E1:K27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1.85546875" style="162" bestFit="1" customWidth="1"/>
    <col min="6" max="6" width="11.42578125" style="162"/>
    <col min="7" max="7" width="11.85546875" style="162" bestFit="1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19.5" customHeight="1" thickBot="1" x14ac:dyDescent="0.4">
      <c r="A4" s="164"/>
      <c r="B4" s="412"/>
      <c r="C4" s="412"/>
      <c r="D4" s="165">
        <f>D23</f>
        <v>8236.2570000000014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3955</v>
      </c>
      <c r="D5" s="172">
        <v>168.83</v>
      </c>
      <c r="E5" s="80">
        <f t="shared" ref="E5:E25" si="0">+D5/$D$4</f>
        <v>2.0498389013358858E-2</v>
      </c>
      <c r="F5" s="58" t="s">
        <v>51</v>
      </c>
      <c r="G5" s="59">
        <v>46077</v>
      </c>
      <c r="H5" s="190">
        <v>7411</v>
      </c>
      <c r="I5" s="141">
        <v>5900.5709999999999</v>
      </c>
      <c r="J5" s="60">
        <f t="shared" ref="J5:J12" si="1">+I5/H5</f>
        <v>0.79619093239778704</v>
      </c>
    </row>
    <row r="6" spans="1:11" ht="15" customHeight="1" x14ac:dyDescent="0.25">
      <c r="A6" s="164"/>
      <c r="B6" s="169" t="s">
        <v>10</v>
      </c>
      <c r="C6" s="177">
        <v>19428</v>
      </c>
      <c r="D6" s="173">
        <v>829.20499999999981</v>
      </c>
      <c r="E6" s="245">
        <f t="shared" si="0"/>
        <v>0.10067740722515089</v>
      </c>
      <c r="F6" s="58" t="s">
        <v>52</v>
      </c>
      <c r="G6" s="59">
        <v>46078</v>
      </c>
      <c r="H6" s="190">
        <v>8000</v>
      </c>
      <c r="I6" s="141">
        <v>7184.639000000001</v>
      </c>
      <c r="J6" s="60">
        <f t="shared" si="1"/>
        <v>0.89807987500000008</v>
      </c>
    </row>
    <row r="7" spans="1:11" ht="15" customHeight="1" x14ac:dyDescent="0.25">
      <c r="A7" s="164"/>
      <c r="B7" s="169" t="s">
        <v>35</v>
      </c>
      <c r="C7" s="177">
        <v>24901</v>
      </c>
      <c r="D7" s="173">
        <v>1060.8139999999999</v>
      </c>
      <c r="E7" s="245">
        <f t="shared" si="0"/>
        <v>0.12879806931716672</v>
      </c>
      <c r="F7" s="58" t="s">
        <v>53</v>
      </c>
      <c r="G7" s="59">
        <v>46079</v>
      </c>
      <c r="H7" s="190">
        <v>8040</v>
      </c>
      <c r="I7" s="141">
        <v>8236.2570000000014</v>
      </c>
      <c r="J7" s="60">
        <f t="shared" si="1"/>
        <v>1.0244100746268658</v>
      </c>
    </row>
    <row r="8" spans="1:11" ht="15" customHeight="1" x14ac:dyDescent="0.25">
      <c r="A8" s="164"/>
      <c r="B8" s="169" t="s">
        <v>37</v>
      </c>
      <c r="C8" s="177">
        <v>34680</v>
      </c>
      <c r="D8" s="173">
        <v>1479.808</v>
      </c>
      <c r="E8" s="245">
        <f t="shared" si="0"/>
        <v>0.17966996415969047</v>
      </c>
      <c r="F8" s="58" t="s">
        <v>54</v>
      </c>
      <c r="G8" s="59">
        <v>46080</v>
      </c>
      <c r="H8" s="190">
        <v>7871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38</v>
      </c>
      <c r="C9" s="177">
        <v>43044</v>
      </c>
      <c r="D9" s="173">
        <v>1838.4700000000005</v>
      </c>
      <c r="E9" s="245">
        <f t="shared" si="0"/>
        <v>0.22321668690037236</v>
      </c>
      <c r="F9" s="58" t="s">
        <v>55</v>
      </c>
      <c r="G9" s="59">
        <v>46081</v>
      </c>
      <c r="H9" s="190">
        <v>8132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42</v>
      </c>
      <c r="C10" s="177">
        <v>11702</v>
      </c>
      <c r="D10" s="173">
        <v>499.57800000000003</v>
      </c>
      <c r="E10" s="80">
        <f t="shared" si="0"/>
        <v>6.0655950876714985E-2</v>
      </c>
      <c r="F10" s="58" t="s">
        <v>56</v>
      </c>
      <c r="G10" s="59">
        <v>46082</v>
      </c>
      <c r="H10" s="190">
        <v>7799.0000000000009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95</v>
      </c>
      <c r="C11" s="177">
        <v>1400</v>
      </c>
      <c r="D11" s="173">
        <v>35.47</v>
      </c>
      <c r="E11" s="80">
        <f t="shared" si="0"/>
        <v>4.3065678985004952E-3</v>
      </c>
      <c r="F11" s="58" t="s">
        <v>57</v>
      </c>
      <c r="G11" s="59">
        <v>46083</v>
      </c>
      <c r="H11" s="190">
        <v>4563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260</v>
      </c>
      <c r="C12" s="177">
        <v>88</v>
      </c>
      <c r="D12" s="173">
        <v>159.91200000000001</v>
      </c>
      <c r="E12" s="80">
        <f t="shared" si="0"/>
        <v>1.9415615612771674E-2</v>
      </c>
      <c r="H12" s="139">
        <f>+SUM(H5:H11)</f>
        <v>51816</v>
      </c>
      <c r="I12" s="142">
        <f>+SUM(I5:I11)</f>
        <v>21321.467000000004</v>
      </c>
      <c r="J12" s="140">
        <f t="shared" si="1"/>
        <v>0.41148423266944584</v>
      </c>
    </row>
    <row r="13" spans="1:11" ht="15" customHeight="1" x14ac:dyDescent="0.25">
      <c r="A13" s="164"/>
      <c r="B13" s="169" t="s">
        <v>44</v>
      </c>
      <c r="C13" s="177">
        <v>21</v>
      </c>
      <c r="D13" s="173">
        <v>31.62</v>
      </c>
      <c r="E13" s="80">
        <f t="shared" si="0"/>
        <v>3.8391225528780848E-3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39</v>
      </c>
      <c r="C14" s="177">
        <v>552</v>
      </c>
      <c r="D14" s="173">
        <v>833.58999999999992</v>
      </c>
      <c r="E14" s="245">
        <f t="shared" si="0"/>
        <v>0.10120980926165851</v>
      </c>
      <c r="F14" s="112" t="s">
        <v>108</v>
      </c>
      <c r="G14" s="190">
        <v>204007.80300000001</v>
      </c>
      <c r="H14" s="190">
        <v>190629.128</v>
      </c>
      <c r="I14" s="190"/>
      <c r="J14" s="98">
        <f>+H14/G14</f>
        <v>0.93442076820953746</v>
      </c>
      <c r="K14" s="98">
        <f>+I14/H14</f>
        <v>0</v>
      </c>
    </row>
    <row r="15" spans="1:11" ht="15" customHeight="1" x14ac:dyDescent="0.25">
      <c r="A15" s="164"/>
      <c r="B15" s="169" t="s">
        <v>43</v>
      </c>
      <c r="C15" s="177">
        <v>254</v>
      </c>
      <c r="D15" s="173">
        <v>383.65000000000003</v>
      </c>
      <c r="E15" s="80">
        <f t="shared" si="0"/>
        <v>4.658062515533451E-2</v>
      </c>
      <c r="F15" s="112" t="s">
        <v>109</v>
      </c>
      <c r="G15" s="190">
        <v>186305.94399999996</v>
      </c>
      <c r="H15" s="190">
        <v>182874.285</v>
      </c>
      <c r="I15" s="190">
        <f>+D24</f>
        <v>181547.07600000015</v>
      </c>
      <c r="J15" s="98">
        <f t="shared" ref="J15:K26" si="2">+H15/G15</f>
        <v>0.9815805179033904</v>
      </c>
      <c r="K15" s="98">
        <f>+I15/H15</f>
        <v>0.99274250614295034</v>
      </c>
    </row>
    <row r="16" spans="1:11" ht="15" customHeight="1" x14ac:dyDescent="0.25">
      <c r="A16" s="164"/>
      <c r="B16" s="169" t="s">
        <v>194</v>
      </c>
      <c r="C16" s="177">
        <v>23</v>
      </c>
      <c r="D16" s="173">
        <v>34.76</v>
      </c>
      <c r="E16" s="80">
        <f t="shared" si="0"/>
        <v>4.2203636919051933E-3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41</v>
      </c>
      <c r="C17" s="177">
        <v>240</v>
      </c>
      <c r="D17" s="173">
        <v>362.09999999999997</v>
      </c>
      <c r="E17" s="80">
        <f t="shared" si="0"/>
        <v>4.3964145363603865E-2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88</v>
      </c>
      <c r="C18" s="177">
        <v>20</v>
      </c>
      <c r="D18" s="173">
        <v>30.37</v>
      </c>
      <c r="E18" s="80">
        <f t="shared" si="0"/>
        <v>3.6873545835201592E-3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40</v>
      </c>
      <c r="C19" s="177"/>
      <c r="D19" s="173">
        <v>270.70000000000005</v>
      </c>
      <c r="E19" s="80">
        <f t="shared" si="0"/>
        <v>3.286687144415236E-2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184</v>
      </c>
      <c r="C20" s="177"/>
      <c r="D20" s="173">
        <v>63.16</v>
      </c>
      <c r="E20" s="80">
        <f t="shared" si="0"/>
        <v>7.6685319557172615E-3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9</v>
      </c>
      <c r="C21" s="177"/>
      <c r="D21" s="173">
        <v>92.8</v>
      </c>
      <c r="E21" s="80">
        <f t="shared" si="0"/>
        <v>1.1267254045132392E-2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thickBot="1" x14ac:dyDescent="0.3">
      <c r="A22" s="164"/>
      <c r="B22" s="169" t="s">
        <v>46</v>
      </c>
      <c r="C22" s="177"/>
      <c r="D22" s="173">
        <v>61.42</v>
      </c>
      <c r="E22" s="80">
        <f t="shared" si="0"/>
        <v>7.4572709423710295E-3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B23" s="178" t="s">
        <v>0</v>
      </c>
      <c r="C23" s="170"/>
      <c r="D23" s="171">
        <f>SUM(D5:D22)</f>
        <v>8236.2570000000014</v>
      </c>
      <c r="E23" s="80">
        <f t="shared" si="0"/>
        <v>1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B24" s="166" t="s">
        <v>1</v>
      </c>
      <c r="C24" s="167"/>
      <c r="D24" s="233">
        <v>181547.07600000015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x14ac:dyDescent="0.25">
      <c r="E25" s="245">
        <f t="shared" si="0"/>
        <v>0</v>
      </c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181547.07600000015</v>
      </c>
      <c r="J26" s="378">
        <f t="shared" si="2"/>
        <v>1.0267879425243049</v>
      </c>
      <c r="K26" s="378">
        <f t="shared" si="2"/>
        <v>6.9402950707378425E-2</v>
      </c>
    </row>
    <row r="27" spans="1:11" ht="15" customHeight="1" thickBot="1" x14ac:dyDescent="0.3">
      <c r="E27" s="313">
        <f>+D24/I2</f>
        <v>0.93318851375236112</v>
      </c>
      <c r="G27" s="379" t="s">
        <v>229</v>
      </c>
      <c r="H27" s="380"/>
      <c r="I27" s="380">
        <v>2726927.1277059279</v>
      </c>
      <c r="J27" s="381">
        <f>+I27/H26</f>
        <v>1.0424667430434815</v>
      </c>
      <c r="K27" s="179"/>
    </row>
    <row r="28" spans="1:11" x14ac:dyDescent="0.25">
      <c r="F28" s="179"/>
      <c r="G28" s="179"/>
      <c r="J28" s="179"/>
    </row>
    <row r="29" spans="1:11" x14ac:dyDescent="0.25">
      <c r="B29" s="397" t="s">
        <v>251</v>
      </c>
      <c r="C29" s="413">
        <v>25</v>
      </c>
      <c r="D29" s="108">
        <f>+(I2/28)*C29</f>
        <v>173700.81305398897</v>
      </c>
      <c r="E29" s="314">
        <f>+D29/I2</f>
        <v>0.89285714285714279</v>
      </c>
      <c r="F29" s="352"/>
    </row>
    <row r="30" spans="1:11" x14ac:dyDescent="0.25">
      <c r="D30" s="183">
        <f>+D24-D29</f>
        <v>7846.2629460111784</v>
      </c>
      <c r="E30" s="99">
        <f>E27-E29</f>
        <v>4.0331370895218321E-2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8357</v>
      </c>
      <c r="I32" s="88">
        <f>+H32*0.025</f>
        <v>208.92500000000001</v>
      </c>
      <c r="J32" s="224"/>
    </row>
    <row r="33" spans="1:11" x14ac:dyDescent="0.25">
      <c r="B33" s="162" t="s">
        <v>61</v>
      </c>
      <c r="C33" s="162">
        <v>802</v>
      </c>
      <c r="D33" s="108">
        <v>2142</v>
      </c>
      <c r="E33" s="57">
        <f>+C33/D33</f>
        <v>0.37441643323996265</v>
      </c>
      <c r="G33" s="86" t="s">
        <v>259</v>
      </c>
      <c r="H33" s="87">
        <f>55*72</f>
        <v>3960</v>
      </c>
      <c r="I33" s="88">
        <f>+H33*0.025</f>
        <v>99</v>
      </c>
      <c r="J33" s="224"/>
      <c r="K33" s="68"/>
    </row>
    <row r="34" spans="1:11" ht="15" customHeight="1" x14ac:dyDescent="0.25">
      <c r="B34" s="162" t="s">
        <v>62</v>
      </c>
      <c r="C34" s="162">
        <v>537</v>
      </c>
      <c r="D34" s="108">
        <v>1890</v>
      </c>
      <c r="E34" s="57">
        <f>+C34/D34</f>
        <v>0.28412698412698412</v>
      </c>
      <c r="G34" s="86" t="s">
        <v>171</v>
      </c>
      <c r="H34" s="87">
        <v>0</v>
      </c>
      <c r="I34" s="88">
        <v>0</v>
      </c>
      <c r="J34" s="297" t="s">
        <v>188</v>
      </c>
    </row>
    <row r="35" spans="1:11" x14ac:dyDescent="0.25">
      <c r="B35" s="162" t="s">
        <v>63</v>
      </c>
      <c r="C35" s="67">
        <v>700</v>
      </c>
      <c r="D35" s="108">
        <v>3006</v>
      </c>
      <c r="E35" s="57">
        <f>+C35/D35</f>
        <v>0.23286759813705921</v>
      </c>
      <c r="G35" s="89" t="s">
        <v>169</v>
      </c>
      <c r="H35" s="87">
        <v>95</v>
      </c>
      <c r="I35" s="88">
        <f>+H35*1.5</f>
        <v>142.5</v>
      </c>
      <c r="J35" s="298">
        <f>+I35+I32+I33</f>
        <v>450.42500000000001</v>
      </c>
    </row>
    <row r="36" spans="1:11" x14ac:dyDescent="0.25">
      <c r="C36" s="162">
        <f>+SUM(C33:C35)</f>
        <v>2039</v>
      </c>
      <c r="D36" s="110">
        <f>+SUM(D33:D35)</f>
        <v>7038</v>
      </c>
      <c r="E36" s="57">
        <f>+C36/D36</f>
        <v>0.28971298664393291</v>
      </c>
      <c r="G36" s="89" t="s">
        <v>168</v>
      </c>
      <c r="H36" s="87">
        <v>53</v>
      </c>
      <c r="I36" s="88">
        <f>+H36*1.5</f>
        <v>79.5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53</v>
      </c>
      <c r="C40" s="74">
        <v>5</v>
      </c>
      <c r="D40" s="74">
        <v>27</v>
      </c>
      <c r="E40" s="75">
        <f>+SUM(B40:D40)</f>
        <v>85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0.6</v>
      </c>
      <c r="C43" s="199">
        <v>708</v>
      </c>
      <c r="D43" s="200">
        <v>2400</v>
      </c>
      <c r="E43" s="201">
        <f t="shared" ref="E43:E48" si="3">+C43/D43</f>
        <v>0.29499999999999998</v>
      </c>
      <c r="F43" s="201">
        <f t="shared" ref="F43:F48" si="4">+B43/24</f>
        <v>2.4999999999999998E-2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7.28</v>
      </c>
      <c r="C44" s="199">
        <v>2103</v>
      </c>
      <c r="D44" s="200">
        <v>3600</v>
      </c>
      <c r="E44" s="201">
        <f t="shared" si="3"/>
        <v>0.58416666666666661</v>
      </c>
      <c r="F44" s="201">
        <f t="shared" si="4"/>
        <v>0.30333333333333334</v>
      </c>
      <c r="G44" s="202">
        <v>12</v>
      </c>
      <c r="H44" s="71"/>
    </row>
    <row r="45" spans="1:11" x14ac:dyDescent="0.25">
      <c r="A45" s="207" t="s">
        <v>72</v>
      </c>
      <c r="B45" s="199">
        <v>10.45</v>
      </c>
      <c r="C45" s="199">
        <v>1548</v>
      </c>
      <c r="D45" s="200">
        <v>3900</v>
      </c>
      <c r="E45" s="201">
        <f t="shared" si="3"/>
        <v>0.39692307692307693</v>
      </c>
      <c r="F45" s="201">
        <f t="shared" si="4"/>
        <v>0.43541666666666662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14.04</v>
      </c>
      <c r="C46" s="199">
        <v>2895</v>
      </c>
      <c r="D46" s="200">
        <v>3900</v>
      </c>
      <c r="E46" s="201">
        <f t="shared" si="3"/>
        <v>0.74230769230769234</v>
      </c>
      <c r="F46" s="201">
        <f t="shared" si="4"/>
        <v>0.58499999999999996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5" si="5">+J46*1.5</f>
        <v>139.5</v>
      </c>
    </row>
    <row r="47" spans="1:11" x14ac:dyDescent="0.25">
      <c r="A47" s="207" t="s">
        <v>74</v>
      </c>
      <c r="B47" s="199">
        <v>8.35</v>
      </c>
      <c r="C47" s="199">
        <v>2037</v>
      </c>
      <c r="D47" s="200">
        <v>3900</v>
      </c>
      <c r="E47" s="201">
        <f t="shared" si="3"/>
        <v>0.52230769230769236</v>
      </c>
      <c r="F47" s="201">
        <f t="shared" si="4"/>
        <v>0.34791666666666665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1" x14ac:dyDescent="0.25">
      <c r="A48" s="259" t="s">
        <v>75</v>
      </c>
      <c r="B48" s="260">
        <v>11.42</v>
      </c>
      <c r="C48" s="261">
        <v>3022</v>
      </c>
      <c r="D48" s="262">
        <v>4300</v>
      </c>
      <c r="E48" s="263">
        <f t="shared" si="3"/>
        <v>0.7027906976744186</v>
      </c>
      <c r="F48" s="201">
        <f t="shared" si="4"/>
        <v>0.47583333333333333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52.14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0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8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0</v>
      </c>
      <c r="H56" s="301">
        <v>46078</v>
      </c>
      <c r="I56" s="129" t="s">
        <v>176</v>
      </c>
      <c r="J56" s="162">
        <v>42</v>
      </c>
      <c r="K56" s="318">
        <f t="shared" ref="K56" si="6">+J56*1.5</f>
        <v>63</v>
      </c>
    </row>
    <row r="57" spans="2:11" x14ac:dyDescent="0.25">
      <c r="C57" s="71">
        <v>7</v>
      </c>
      <c r="D57" s="225">
        <v>0</v>
      </c>
      <c r="E57" s="225" t="s">
        <v>250</v>
      </c>
      <c r="K57" s="318"/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252</v>
      </c>
      <c r="I59" s="345"/>
      <c r="J59" s="199">
        <f>+J56</f>
        <v>42</v>
      </c>
      <c r="K59" s="346">
        <f>+J59*1.5</f>
        <v>63</v>
      </c>
    </row>
    <row r="60" spans="2:11" x14ac:dyDescent="0.25">
      <c r="B60" s="364" t="s">
        <v>231</v>
      </c>
      <c r="C60" s="199">
        <v>2050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46006</v>
      </c>
      <c r="I61" s="129" t="s">
        <v>175</v>
      </c>
      <c r="J61" s="162">
        <v>5733</v>
      </c>
      <c r="K61" s="318"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v>62.050000000000004</v>
      </c>
    </row>
    <row r="63" spans="2:11" x14ac:dyDescent="0.25">
      <c r="H63" s="301">
        <v>46012</v>
      </c>
      <c r="I63" s="129" t="s">
        <v>175</v>
      </c>
      <c r="J63" s="162">
        <v>6042</v>
      </c>
      <c r="K63" s="318">
        <v>151.05000000000001</v>
      </c>
    </row>
    <row r="64" spans="2:11" x14ac:dyDescent="0.25">
      <c r="H64" s="301">
        <v>46047</v>
      </c>
      <c r="I64" s="129" t="s">
        <v>175</v>
      </c>
      <c r="J64" s="162">
        <v>1509</v>
      </c>
      <c r="K64" s="318">
        <f>+J64*0.025</f>
        <v>37.725000000000001</v>
      </c>
    </row>
    <row r="65" spans="2:11" x14ac:dyDescent="0.25">
      <c r="B65" s="66"/>
      <c r="C65" s="391"/>
      <c r="D65" s="391"/>
      <c r="H65" s="301">
        <v>46050</v>
      </c>
      <c r="I65" s="129" t="s">
        <v>175</v>
      </c>
      <c r="J65" s="162">
        <v>2511</v>
      </c>
      <c r="K65" s="318">
        <f>+J65*0.025</f>
        <v>62.775000000000006</v>
      </c>
    </row>
    <row r="66" spans="2:11" x14ac:dyDescent="0.25">
      <c r="C66" s="389"/>
      <c r="H66" s="301">
        <v>46078</v>
      </c>
      <c r="I66" s="129" t="s">
        <v>176</v>
      </c>
      <c r="J66" s="162">
        <v>4044</v>
      </c>
      <c r="K66" s="318">
        <f>+J66*0.025</f>
        <v>101.10000000000001</v>
      </c>
    </row>
    <row r="67" spans="2:11" x14ac:dyDescent="0.25">
      <c r="C67" s="389"/>
      <c r="H67" s="359" t="s">
        <v>232</v>
      </c>
      <c r="I67" s="345"/>
      <c r="J67" s="200">
        <f>+J66</f>
        <v>4044</v>
      </c>
      <c r="K67" s="346">
        <f>+K66</f>
        <v>101.10000000000001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7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7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7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7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7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7"/>
        <v>264</v>
      </c>
    </row>
    <row r="79" spans="2:11" x14ac:dyDescent="0.25">
      <c r="H79" s="344"/>
      <c r="I79" s="345"/>
      <c r="J79" s="200">
        <f>+K79/1.5</f>
        <v>486.66666666666669</v>
      </c>
      <c r="K79" s="346">
        <v>730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53" workbookViewId="0">
      <selection activeCell="A28" sqref="A28:K7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1.85546875" style="162" bestFit="1" customWidth="1"/>
    <col min="6" max="6" width="11.42578125" style="162"/>
    <col min="7" max="7" width="11.85546875" style="162" bestFit="1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+I2/31</f>
        <v>6275.642278079602</v>
      </c>
    </row>
    <row r="4" spans="1:11" ht="19.5" customHeight="1" thickBot="1" x14ac:dyDescent="0.4">
      <c r="A4" s="164"/>
      <c r="B4" s="414"/>
      <c r="C4" s="414"/>
      <c r="D4" s="165">
        <f>D22</f>
        <v>7276.0670000000009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4551</v>
      </c>
      <c r="D5" s="172">
        <v>194.31799999999998</v>
      </c>
      <c r="E5" s="80">
        <f t="shared" ref="E5:E22" si="0">+D5/$D$4</f>
        <v>2.6706461059250824E-2</v>
      </c>
      <c r="F5" s="58" t="s">
        <v>51</v>
      </c>
      <c r="G5" s="59">
        <v>46077</v>
      </c>
      <c r="H5" s="190">
        <v>7411</v>
      </c>
      <c r="I5" s="141">
        <v>5900.5709999999999</v>
      </c>
      <c r="J5" s="60">
        <f t="shared" ref="J5:J12" si="1">+I5/H5</f>
        <v>0.79619093239778704</v>
      </c>
    </row>
    <row r="6" spans="1:11" ht="15" customHeight="1" x14ac:dyDescent="0.25">
      <c r="A6" s="164"/>
      <c r="B6" s="169" t="s">
        <v>10</v>
      </c>
      <c r="C6" s="177">
        <v>6160</v>
      </c>
      <c r="D6" s="173">
        <v>262.59399999999994</v>
      </c>
      <c r="E6" s="80">
        <f t="shared" si="0"/>
        <v>3.6090101974047231E-2</v>
      </c>
      <c r="F6" s="58" t="s">
        <v>52</v>
      </c>
      <c r="G6" s="59">
        <v>46078</v>
      </c>
      <c r="H6" s="190">
        <v>8000</v>
      </c>
      <c r="I6" s="141">
        <v>7184.639000000001</v>
      </c>
      <c r="J6" s="60">
        <f t="shared" si="1"/>
        <v>0.89807987500000008</v>
      </c>
    </row>
    <row r="7" spans="1:11" ht="15" customHeight="1" x14ac:dyDescent="0.25">
      <c r="A7" s="164"/>
      <c r="B7" s="169" t="s">
        <v>35</v>
      </c>
      <c r="C7" s="177">
        <v>22765</v>
      </c>
      <c r="D7" s="173">
        <v>970.11100000000022</v>
      </c>
      <c r="E7" s="245">
        <f t="shared" si="0"/>
        <v>0.13332903613999159</v>
      </c>
      <c r="F7" s="58" t="s">
        <v>53</v>
      </c>
      <c r="G7" s="59">
        <v>46079</v>
      </c>
      <c r="H7" s="190">
        <v>8040</v>
      </c>
      <c r="I7" s="141">
        <v>8236.2570000000014</v>
      </c>
      <c r="J7" s="60">
        <f t="shared" si="1"/>
        <v>1.0244100746268658</v>
      </c>
    </row>
    <row r="8" spans="1:11" ht="15" customHeight="1" x14ac:dyDescent="0.25">
      <c r="A8" s="164"/>
      <c r="B8" s="169" t="s">
        <v>37</v>
      </c>
      <c r="C8" s="177">
        <v>42102</v>
      </c>
      <c r="D8" s="173">
        <v>1797.6779999999992</v>
      </c>
      <c r="E8" s="245">
        <f t="shared" si="0"/>
        <v>0.24706726862190781</v>
      </c>
      <c r="F8" s="58" t="s">
        <v>54</v>
      </c>
      <c r="G8" s="59">
        <v>46080</v>
      </c>
      <c r="H8" s="190">
        <v>7871</v>
      </c>
      <c r="I8" s="141">
        <v>7276.0670000000009</v>
      </c>
      <c r="J8" s="60">
        <f t="shared" si="1"/>
        <v>0.92441455977639453</v>
      </c>
    </row>
    <row r="9" spans="1:11" ht="15" customHeight="1" x14ac:dyDescent="0.25">
      <c r="A9" s="164"/>
      <c r="B9" s="169" t="s">
        <v>38</v>
      </c>
      <c r="C9" s="177">
        <v>36630</v>
      </c>
      <c r="D9" s="173">
        <v>1564.306</v>
      </c>
      <c r="E9" s="245">
        <f t="shared" si="0"/>
        <v>0.214993347367472</v>
      </c>
      <c r="F9" s="58" t="s">
        <v>55</v>
      </c>
      <c r="G9" s="59">
        <v>46081</v>
      </c>
      <c r="H9" s="190">
        <v>8132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42</v>
      </c>
      <c r="C10" s="177">
        <v>16220</v>
      </c>
      <c r="D10" s="173">
        <v>692.57</v>
      </c>
      <c r="E10" s="80">
        <f t="shared" si="0"/>
        <v>9.5184665012018166E-2</v>
      </c>
      <c r="F10" s="58" t="s">
        <v>56</v>
      </c>
      <c r="G10" s="59">
        <v>46082</v>
      </c>
      <c r="H10" s="190">
        <v>7799.0000000000009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95</v>
      </c>
      <c r="C11" s="177">
        <v>1299</v>
      </c>
      <c r="D11" s="173">
        <v>32.951999999999998</v>
      </c>
      <c r="E11" s="80">
        <f t="shared" si="0"/>
        <v>4.5288203091038044E-3</v>
      </c>
      <c r="F11" s="58" t="s">
        <v>57</v>
      </c>
      <c r="G11" s="59">
        <v>46083</v>
      </c>
      <c r="H11" s="190">
        <v>4563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260</v>
      </c>
      <c r="C12" s="177">
        <v>17</v>
      </c>
      <c r="D12" s="173">
        <v>30.937999999999999</v>
      </c>
      <c r="E12" s="80">
        <f t="shared" si="0"/>
        <v>4.2520224181553023E-3</v>
      </c>
      <c r="H12" s="139">
        <f>+SUM(H5:H11)</f>
        <v>51816</v>
      </c>
      <c r="I12" s="142">
        <f>+SUM(I5:I11)</f>
        <v>28597.534000000007</v>
      </c>
      <c r="J12" s="140">
        <f t="shared" si="1"/>
        <v>0.55190547321290739</v>
      </c>
    </row>
    <row r="13" spans="1:11" ht="15" customHeight="1" x14ac:dyDescent="0.25">
      <c r="A13" s="164"/>
      <c r="B13" s="169" t="s">
        <v>44</v>
      </c>
      <c r="C13" s="177">
        <v>25</v>
      </c>
      <c r="D13" s="173">
        <v>37.89</v>
      </c>
      <c r="E13" s="80">
        <f t="shared" si="0"/>
        <v>5.2074836584105116E-3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39</v>
      </c>
      <c r="C14" s="177">
        <v>245</v>
      </c>
      <c r="D14" s="173">
        <v>369.85</v>
      </c>
      <c r="E14" s="80">
        <f t="shared" si="0"/>
        <v>5.0831032754371279E-2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43</v>
      </c>
      <c r="C15" s="177">
        <v>259</v>
      </c>
      <c r="D15" s="173">
        <v>391.42</v>
      </c>
      <c r="E15" s="80">
        <f t="shared" si="0"/>
        <v>5.3795546412642982E-2</v>
      </c>
      <c r="F15" s="112" t="s">
        <v>109</v>
      </c>
      <c r="G15" s="190">
        <v>186305.94399999996</v>
      </c>
      <c r="H15" s="190">
        <v>182874.285</v>
      </c>
      <c r="I15" s="190">
        <f>+D23</f>
        <v>188956.11300000013</v>
      </c>
      <c r="J15" s="98">
        <f t="shared" ref="J15:K25" si="2">+H15/G15</f>
        <v>0.9815805179033904</v>
      </c>
      <c r="K15" s="98">
        <f>+I15/H15</f>
        <v>1.0332568791724879</v>
      </c>
    </row>
    <row r="16" spans="1:11" ht="15" customHeight="1" x14ac:dyDescent="0.25">
      <c r="A16" s="164"/>
      <c r="B16" s="169" t="s">
        <v>49</v>
      </c>
      <c r="C16" s="177">
        <v>20</v>
      </c>
      <c r="D16" s="173">
        <v>30.13</v>
      </c>
      <c r="E16" s="80">
        <f t="shared" si="0"/>
        <v>4.1409734132464692E-3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45</v>
      </c>
      <c r="C17" s="177">
        <v>24</v>
      </c>
      <c r="D17" s="173">
        <v>36.020000000000003</v>
      </c>
      <c r="E17" s="80">
        <f t="shared" si="0"/>
        <v>4.95047667922794E-3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41</v>
      </c>
      <c r="C18" s="177">
        <v>153</v>
      </c>
      <c r="D18" s="173">
        <v>230.5</v>
      </c>
      <c r="E18" s="80">
        <f t="shared" si="0"/>
        <v>3.1679202514215438E-2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88</v>
      </c>
      <c r="C19" s="177">
        <v>20</v>
      </c>
      <c r="D19" s="173">
        <v>30.66</v>
      </c>
      <c r="E19" s="80">
        <f t="shared" si="0"/>
        <v>4.2138149634960752E-3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512.29</v>
      </c>
      <c r="E20" s="80">
        <f t="shared" si="0"/>
        <v>7.0407542976171036E-2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thickBot="1" x14ac:dyDescent="0.3">
      <c r="A21" s="164"/>
      <c r="B21" s="169" t="s">
        <v>46</v>
      </c>
      <c r="C21" s="177"/>
      <c r="D21" s="173">
        <v>91.84</v>
      </c>
      <c r="E21" s="80">
        <f t="shared" si="0"/>
        <v>1.2622203726271349E-2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thickBot="1" x14ac:dyDescent="0.3">
      <c r="B22" s="178" t="s">
        <v>0</v>
      </c>
      <c r="C22" s="170"/>
      <c r="D22" s="171">
        <f>SUM(D5:D21)</f>
        <v>7276.0670000000009</v>
      </c>
      <c r="E22" s="80">
        <f t="shared" si="0"/>
        <v>1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B23" s="166" t="s">
        <v>1</v>
      </c>
      <c r="C23" s="167"/>
      <c r="D23" s="233">
        <v>188956.11300000013</v>
      </c>
      <c r="E23" s="80"/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+SUM(H14:H15)</f>
        <v>373503.413</v>
      </c>
      <c r="I26" s="377">
        <f>+SUM(I14:I25)</f>
        <v>416666.75900000008</v>
      </c>
      <c r="J26" s="378"/>
      <c r="K26" s="378">
        <f>+I26/H26</f>
        <v>1.1155634580506499</v>
      </c>
    </row>
    <row r="27" spans="1:11" ht="19.5" thickBot="1" x14ac:dyDescent="0.3">
      <c r="E27" s="313">
        <f>+D23/I2</f>
        <v>0.97127245527707196</v>
      </c>
      <c r="G27" s="379" t="s">
        <v>229</v>
      </c>
      <c r="H27" s="380"/>
      <c r="I27" s="380">
        <v>2726927.1277059279</v>
      </c>
      <c r="J27" s="381">
        <f>+I27/H26</f>
        <v>7.3009429975568336</v>
      </c>
      <c r="K27" s="179"/>
    </row>
    <row r="28" spans="1:11" ht="15" customHeight="1" x14ac:dyDescent="0.25">
      <c r="F28" s="179"/>
      <c r="G28" s="179"/>
      <c r="J28" s="179"/>
    </row>
    <row r="29" spans="1:11" ht="15" customHeight="1" x14ac:dyDescent="0.25">
      <c r="B29" s="397" t="s">
        <v>251</v>
      </c>
      <c r="C29" s="415">
        <v>26</v>
      </c>
      <c r="D29" s="108">
        <f>+(I2/28)*C29</f>
        <v>180648.84557614851</v>
      </c>
      <c r="E29" s="314">
        <f>+D29/I2</f>
        <v>0.92857142857142849</v>
      </c>
      <c r="F29" s="352"/>
    </row>
    <row r="30" spans="1:11" x14ac:dyDescent="0.25">
      <c r="D30" s="183">
        <f>+D23-D29</f>
        <v>8307.2674238516192</v>
      </c>
      <c r="E30" s="99">
        <f>E27-E29</f>
        <v>4.2701026705643463E-2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7875</v>
      </c>
      <c r="I32" s="88">
        <f>+H32*0.025</f>
        <v>196.875</v>
      </c>
      <c r="J32" s="224"/>
    </row>
    <row r="33" spans="1:11" x14ac:dyDescent="0.25">
      <c r="B33" s="162" t="s">
        <v>61</v>
      </c>
      <c r="C33" s="162">
        <v>446</v>
      </c>
      <c r="D33" s="108">
        <v>2142</v>
      </c>
      <c r="E33" s="57">
        <f>+C33/D33</f>
        <v>0.20821661998132587</v>
      </c>
      <c r="G33" s="86" t="s">
        <v>259</v>
      </c>
      <c r="H33" s="87">
        <v>4243</v>
      </c>
      <c r="I33" s="88">
        <f>+H33*0.025</f>
        <v>106.075</v>
      </c>
      <c r="J33" s="224"/>
      <c r="K33" s="68"/>
    </row>
    <row r="34" spans="1:11" x14ac:dyDescent="0.25">
      <c r="B34" s="162" t="s">
        <v>62</v>
      </c>
      <c r="C34" s="162">
        <v>611</v>
      </c>
      <c r="D34" s="108">
        <v>1890</v>
      </c>
      <c r="E34" s="57">
        <f>+C34/D34</f>
        <v>0.32328042328042328</v>
      </c>
      <c r="G34" s="86" t="s">
        <v>171</v>
      </c>
      <c r="H34" s="87">
        <v>216</v>
      </c>
      <c r="I34" s="88">
        <f>+H34*0.025</f>
        <v>5.4</v>
      </c>
      <c r="J34" s="297" t="s">
        <v>188</v>
      </c>
    </row>
    <row r="35" spans="1:11" x14ac:dyDescent="0.25">
      <c r="B35" s="162" t="s">
        <v>63</v>
      </c>
      <c r="C35" s="67">
        <v>450</v>
      </c>
      <c r="D35" s="108">
        <v>3006</v>
      </c>
      <c r="E35" s="57">
        <f>+C35/D35</f>
        <v>0.1497005988023952</v>
      </c>
      <c r="G35" s="89" t="s">
        <v>169</v>
      </c>
      <c r="H35" s="87">
        <v>95</v>
      </c>
      <c r="I35" s="88">
        <f>+H35*1.5</f>
        <v>142.5</v>
      </c>
      <c r="J35" s="298">
        <f>+I35+I32+I33</f>
        <v>445.45</v>
      </c>
    </row>
    <row r="36" spans="1:11" x14ac:dyDescent="0.25">
      <c r="C36" s="162">
        <f>+SUM(C33:C35)</f>
        <v>1507</v>
      </c>
      <c r="D36" s="110">
        <f>+SUM(D33:D35)</f>
        <v>7038</v>
      </c>
      <c r="E36" s="57">
        <f>+C36/D36</f>
        <v>0.21412333049161694</v>
      </c>
      <c r="G36" s="89" t="s">
        <v>168</v>
      </c>
      <c r="H36" s="87">
        <v>53</v>
      </c>
      <c r="I36" s="88">
        <f>+H36*1.5</f>
        <v>79.5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72</v>
      </c>
      <c r="C40" s="74">
        <v>5</v>
      </c>
      <c r="D40" s="74">
        <v>22</v>
      </c>
      <c r="E40" s="75">
        <f>+SUM(B40:D40)</f>
        <v>99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2.2000000000000002</v>
      </c>
      <c r="C43" s="199">
        <v>1355</v>
      </c>
      <c r="D43" s="200">
        <v>2400</v>
      </c>
      <c r="E43" s="201">
        <f t="shared" ref="E43:E48" si="3">+C43/D43</f>
        <v>0.56458333333333333</v>
      </c>
      <c r="F43" s="201">
        <f t="shared" ref="F43:F48" si="4">+B43/24</f>
        <v>9.1666666666666674E-2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4.0599999999999996</v>
      </c>
      <c r="C44" s="199">
        <v>2091</v>
      </c>
      <c r="D44" s="200">
        <v>3600</v>
      </c>
      <c r="E44" s="201">
        <f t="shared" si="3"/>
        <v>0.58083333333333331</v>
      </c>
      <c r="F44" s="201">
        <f t="shared" si="4"/>
        <v>0.16916666666666666</v>
      </c>
      <c r="G44" s="202">
        <v>12</v>
      </c>
      <c r="H44" s="71"/>
    </row>
    <row r="45" spans="1:11" x14ac:dyDescent="0.25">
      <c r="A45" s="207" t="s">
        <v>72</v>
      </c>
      <c r="B45" s="199">
        <v>7.19</v>
      </c>
      <c r="C45" s="199">
        <v>1497</v>
      </c>
      <c r="D45" s="200">
        <v>3900</v>
      </c>
      <c r="E45" s="201">
        <f t="shared" si="3"/>
        <v>0.38384615384615384</v>
      </c>
      <c r="F45" s="201">
        <f t="shared" si="4"/>
        <v>0.29958333333333337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9.01</v>
      </c>
      <c r="C46" s="199">
        <v>2612</v>
      </c>
      <c r="D46" s="200">
        <v>3900</v>
      </c>
      <c r="E46" s="201">
        <f t="shared" si="3"/>
        <v>0.66974358974358972</v>
      </c>
      <c r="F46" s="201">
        <f t="shared" si="4"/>
        <v>0.37541666666666668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6" si="5">+J46*1.5</f>
        <v>139.5</v>
      </c>
    </row>
    <row r="47" spans="1:11" x14ac:dyDescent="0.25">
      <c r="A47" s="207" t="s">
        <v>74</v>
      </c>
      <c r="B47" s="199">
        <v>17.920000000000002</v>
      </c>
      <c r="C47" s="199">
        <v>2122</v>
      </c>
      <c r="D47" s="200">
        <v>3900</v>
      </c>
      <c r="E47" s="201">
        <f t="shared" si="3"/>
        <v>0.54410256410256408</v>
      </c>
      <c r="F47" s="201">
        <f t="shared" si="4"/>
        <v>0.7466666666666667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1" x14ac:dyDescent="0.25">
      <c r="A48" s="259" t="s">
        <v>75</v>
      </c>
      <c r="B48" s="260">
        <v>14.53</v>
      </c>
      <c r="C48" s="261">
        <v>2867</v>
      </c>
      <c r="D48" s="262">
        <v>4300</v>
      </c>
      <c r="E48" s="263">
        <f t="shared" si="3"/>
        <v>0.66674418604651164</v>
      </c>
      <c r="F48" s="201">
        <f t="shared" si="4"/>
        <v>0.6054166666666666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54.910000000000004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0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12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0</v>
      </c>
      <c r="H56" s="301">
        <v>46078</v>
      </c>
      <c r="I56" s="129" t="s">
        <v>176</v>
      </c>
      <c r="J56" s="162">
        <v>42</v>
      </c>
      <c r="K56" s="318">
        <f t="shared" si="5"/>
        <v>63</v>
      </c>
    </row>
    <row r="57" spans="2:11" x14ac:dyDescent="0.25">
      <c r="C57" s="71">
        <v>7</v>
      </c>
      <c r="D57" s="225">
        <v>0</v>
      </c>
      <c r="E57" s="225" t="s">
        <v>250</v>
      </c>
      <c r="K57" s="318"/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252</v>
      </c>
      <c r="I59" s="345"/>
      <c r="J59" s="199">
        <f>+J56</f>
        <v>42</v>
      </c>
      <c r="K59" s="346">
        <f>+J59*1.5</f>
        <v>63</v>
      </c>
    </row>
    <row r="60" spans="2:11" x14ac:dyDescent="0.25">
      <c r="B60" s="364" t="s">
        <v>231</v>
      </c>
      <c r="C60" s="199">
        <v>1970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46006</v>
      </c>
      <c r="I61" s="129" t="s">
        <v>175</v>
      </c>
      <c r="J61" s="162">
        <v>5733</v>
      </c>
      <c r="K61" s="318"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v>62.050000000000004</v>
      </c>
    </row>
    <row r="63" spans="2:11" x14ac:dyDescent="0.25">
      <c r="H63" s="301">
        <v>46012</v>
      </c>
      <c r="I63" s="129" t="s">
        <v>175</v>
      </c>
      <c r="J63" s="162">
        <v>6042</v>
      </c>
      <c r="K63" s="318">
        <v>151.05000000000001</v>
      </c>
    </row>
    <row r="64" spans="2:11" x14ac:dyDescent="0.25">
      <c r="H64" s="301">
        <v>46047</v>
      </c>
      <c r="I64" s="129" t="s">
        <v>175</v>
      </c>
      <c r="J64" s="162">
        <v>1509</v>
      </c>
      <c r="K64" s="318">
        <f>+J64*0.025</f>
        <v>37.725000000000001</v>
      </c>
    </row>
    <row r="65" spans="2:11" x14ac:dyDescent="0.25">
      <c r="B65" s="66"/>
      <c r="C65" s="391"/>
      <c r="D65" s="391"/>
      <c r="H65" s="301">
        <v>46050</v>
      </c>
      <c r="I65" s="129" t="s">
        <v>175</v>
      </c>
      <c r="J65" s="162">
        <v>2511</v>
      </c>
      <c r="K65" s="318">
        <f>+J65*0.025</f>
        <v>62.775000000000006</v>
      </c>
    </row>
    <row r="66" spans="2:11" x14ac:dyDescent="0.25">
      <c r="C66" s="389"/>
      <c r="H66" s="301">
        <v>46078</v>
      </c>
      <c r="I66" s="129" t="s">
        <v>176</v>
      </c>
      <c r="J66" s="162">
        <v>4044</v>
      </c>
      <c r="K66" s="318">
        <f>+J66*0.025</f>
        <v>101.10000000000001</v>
      </c>
    </row>
    <row r="67" spans="2:11" x14ac:dyDescent="0.25">
      <c r="C67" s="389"/>
      <c r="H67" s="359" t="s">
        <v>232</v>
      </c>
      <c r="I67" s="345"/>
      <c r="J67" s="200">
        <f>+J66</f>
        <v>4044</v>
      </c>
      <c r="K67" s="346">
        <f>+K66</f>
        <v>101.10000000000001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6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6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6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6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6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6"/>
        <v>264</v>
      </c>
    </row>
    <row r="79" spans="2:11" x14ac:dyDescent="0.25">
      <c r="H79" s="344"/>
      <c r="I79" s="345"/>
      <c r="J79" s="200">
        <f>+K79/1.5</f>
        <v>486.66666666666669</v>
      </c>
      <c r="K79" s="346">
        <v>730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57" workbookViewId="0">
      <selection activeCell="A28" sqref="A28:K7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7.42578125" style="162" customWidth="1"/>
    <col min="4" max="4" width="14.5703125" style="163" customWidth="1"/>
    <col min="5" max="5" width="17.140625" style="162" customWidth="1"/>
    <col min="6" max="6" width="11.42578125" style="162"/>
    <col min="7" max="7" width="11.85546875" style="162" bestFit="1" customWidth="1"/>
    <col min="8" max="9" width="11.42578125" style="162"/>
    <col min="10" max="10" width="15.42578125" style="162" customWidth="1"/>
    <col min="11" max="16384" width="11.42578125" style="162"/>
  </cols>
  <sheetData>
    <row r="1" spans="1:11" ht="15" customHeight="1" x14ac:dyDescent="0.25">
      <c r="A1" s="161"/>
      <c r="B1" s="518">
        <v>46082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16"/>
      <c r="C4" s="416"/>
      <c r="D4" s="165">
        <f>D22</f>
        <v>5653.3549999999996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1515</v>
      </c>
      <c r="D5" s="172">
        <v>64.739999999999995</v>
      </c>
      <c r="E5" s="80">
        <f t="shared" ref="E5:E22" si="0">+D5/$D$4</f>
        <v>1.145160705457202E-2</v>
      </c>
      <c r="F5" s="58" t="s">
        <v>51</v>
      </c>
      <c r="G5" s="59">
        <v>46077</v>
      </c>
      <c r="H5" s="190">
        <v>7411</v>
      </c>
      <c r="I5" s="141">
        <v>5900.5709999999999</v>
      </c>
      <c r="J5" s="60">
        <f t="shared" ref="J5:J12" si="1">+I5/H5</f>
        <v>0.79619093239778704</v>
      </c>
    </row>
    <row r="6" spans="1:11" ht="15" customHeight="1" x14ac:dyDescent="0.25">
      <c r="A6" s="164"/>
      <c r="B6" s="169" t="s">
        <v>10</v>
      </c>
      <c r="C6" s="177">
        <v>8525</v>
      </c>
      <c r="D6" s="173">
        <v>364.20400000000001</v>
      </c>
      <c r="E6" s="80">
        <f t="shared" si="0"/>
        <v>6.4422630455720553E-2</v>
      </c>
      <c r="F6" s="58" t="s">
        <v>52</v>
      </c>
      <c r="G6" s="59">
        <v>46078</v>
      </c>
      <c r="H6" s="190">
        <v>8000</v>
      </c>
      <c r="I6" s="141">
        <v>7184.639000000001</v>
      </c>
      <c r="J6" s="60">
        <f t="shared" si="1"/>
        <v>0.89807987500000008</v>
      </c>
    </row>
    <row r="7" spans="1:11" ht="15" customHeight="1" x14ac:dyDescent="0.25">
      <c r="A7" s="164"/>
      <c r="B7" s="169" t="s">
        <v>35</v>
      </c>
      <c r="C7" s="177">
        <v>17475</v>
      </c>
      <c r="D7" s="173">
        <v>746.21</v>
      </c>
      <c r="E7" s="245">
        <f t="shared" si="0"/>
        <v>0.13199418752227662</v>
      </c>
      <c r="F7" s="58" t="s">
        <v>53</v>
      </c>
      <c r="G7" s="59">
        <v>46079</v>
      </c>
      <c r="H7" s="190">
        <v>8040</v>
      </c>
      <c r="I7" s="141">
        <v>8236.2570000000014</v>
      </c>
      <c r="J7" s="60">
        <f t="shared" si="1"/>
        <v>1.0244100746268658</v>
      </c>
    </row>
    <row r="8" spans="1:11" ht="15" customHeight="1" x14ac:dyDescent="0.25">
      <c r="A8" s="164"/>
      <c r="B8" s="169" t="s">
        <v>4</v>
      </c>
      <c r="C8" s="177">
        <v>3440</v>
      </c>
      <c r="D8" s="173">
        <v>147</v>
      </c>
      <c r="E8" s="245">
        <f t="shared" si="0"/>
        <v>2.600225883568253E-2</v>
      </c>
      <c r="F8" s="58" t="s">
        <v>54</v>
      </c>
      <c r="G8" s="59">
        <v>46080</v>
      </c>
      <c r="H8" s="190">
        <v>7871</v>
      </c>
      <c r="I8" s="141">
        <v>7276.0670000000009</v>
      </c>
      <c r="J8" s="60">
        <f t="shared" si="1"/>
        <v>0.92441455977639453</v>
      </c>
    </row>
    <row r="9" spans="1:11" ht="15" customHeight="1" x14ac:dyDescent="0.25">
      <c r="A9" s="164"/>
      <c r="B9" s="169" t="s">
        <v>37</v>
      </c>
      <c r="C9" s="177">
        <v>24510</v>
      </c>
      <c r="D9" s="173">
        <v>1047.3340000000001</v>
      </c>
      <c r="E9" s="245">
        <f t="shared" si="0"/>
        <v>0.18525884187354238</v>
      </c>
      <c r="F9" s="58" t="s">
        <v>55</v>
      </c>
      <c r="G9" s="59">
        <v>46081</v>
      </c>
      <c r="H9" s="190">
        <v>8132</v>
      </c>
      <c r="I9" s="141">
        <v>7691.81</v>
      </c>
      <c r="J9" s="60">
        <f t="shared" si="1"/>
        <v>0.94586940482046244</v>
      </c>
    </row>
    <row r="10" spans="1:11" ht="15" customHeight="1" x14ac:dyDescent="0.25">
      <c r="A10" s="164"/>
      <c r="B10" s="169" t="s">
        <v>38</v>
      </c>
      <c r="C10" s="177">
        <v>25901</v>
      </c>
      <c r="D10" s="173">
        <v>1106.6780000000001</v>
      </c>
      <c r="E10" s="80">
        <f t="shared" si="0"/>
        <v>0.19575597145411888</v>
      </c>
      <c r="F10" s="58" t="s">
        <v>56</v>
      </c>
      <c r="G10" s="59">
        <v>46082</v>
      </c>
      <c r="H10" s="190">
        <v>7799.0000000000009</v>
      </c>
      <c r="I10" s="141">
        <v>6795.54</v>
      </c>
      <c r="J10" s="60">
        <f t="shared" si="1"/>
        <v>0.87133478651109109</v>
      </c>
    </row>
    <row r="11" spans="1:11" ht="15" customHeight="1" x14ac:dyDescent="0.25">
      <c r="A11" s="164"/>
      <c r="B11" s="169" t="s">
        <v>42</v>
      </c>
      <c r="C11" s="177">
        <v>870</v>
      </c>
      <c r="D11" s="173">
        <v>37.149000000000001</v>
      </c>
      <c r="E11" s="80">
        <f t="shared" si="0"/>
        <v>6.5711422686174853E-3</v>
      </c>
      <c r="F11" s="58" t="s">
        <v>57</v>
      </c>
      <c r="G11" s="59">
        <v>46083</v>
      </c>
      <c r="H11" s="190">
        <v>4563</v>
      </c>
      <c r="I11" s="141">
        <v>5653.3549999999996</v>
      </c>
      <c r="J11" s="60">
        <f t="shared" si="1"/>
        <v>1.2389557308788077</v>
      </c>
    </row>
    <row r="12" spans="1:11" ht="15" customHeight="1" x14ac:dyDescent="0.25">
      <c r="A12" s="164"/>
      <c r="B12" s="169" t="s">
        <v>218</v>
      </c>
      <c r="C12" s="177">
        <v>800</v>
      </c>
      <c r="D12" s="173">
        <v>34.200000000000003</v>
      </c>
      <c r="E12" s="80">
        <f t="shared" si="0"/>
        <v>6.0495051168730791E-3</v>
      </c>
      <c r="H12" s="139">
        <f>+SUM(H5:H11)</f>
        <v>51816</v>
      </c>
      <c r="I12" s="142">
        <f>+SUM(I5:I11)</f>
        <v>48738.239000000001</v>
      </c>
      <c r="J12" s="140">
        <f t="shared" si="1"/>
        <v>0.9406021113169678</v>
      </c>
    </row>
    <row r="13" spans="1:11" ht="15" customHeight="1" x14ac:dyDescent="0.25">
      <c r="A13" s="164"/>
      <c r="B13" s="169" t="s">
        <v>44</v>
      </c>
      <c r="C13" s="177">
        <v>22</v>
      </c>
      <c r="D13" s="173">
        <v>33.24</v>
      </c>
      <c r="E13" s="80">
        <f t="shared" si="0"/>
        <v>5.8796944469257642E-3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39</v>
      </c>
      <c r="C14" s="177">
        <v>437</v>
      </c>
      <c r="D14" s="173">
        <v>661.36</v>
      </c>
      <c r="E14" s="80">
        <f t="shared" si="0"/>
        <v>0.1169854007045374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43</v>
      </c>
      <c r="C15" s="177">
        <v>370</v>
      </c>
      <c r="D15" s="173">
        <v>559.97</v>
      </c>
      <c r="E15" s="80">
        <f t="shared" si="0"/>
        <v>9.9050917552497605E-2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49</v>
      </c>
      <c r="C16" s="177">
        <v>62</v>
      </c>
      <c r="D16" s="173">
        <v>93.82</v>
      </c>
      <c r="E16" s="80">
        <f t="shared" si="0"/>
        <v>1.6595455265059421E-2</v>
      </c>
      <c r="F16" s="112" t="s">
        <v>110</v>
      </c>
      <c r="G16" s="190">
        <v>199570.19199999989</v>
      </c>
      <c r="H16" s="190">
        <v>197224.22099999999</v>
      </c>
      <c r="I16" s="190"/>
      <c r="J16" s="98">
        <f t="shared" si="2"/>
        <v>0.98824488278289624</v>
      </c>
      <c r="K16" s="98">
        <f t="shared" si="2"/>
        <v>0</v>
      </c>
    </row>
    <row r="17" spans="1:11" ht="15" customHeight="1" x14ac:dyDescent="0.25">
      <c r="A17" s="164"/>
      <c r="B17" s="169" t="s">
        <v>41</v>
      </c>
      <c r="C17" s="177">
        <v>103</v>
      </c>
      <c r="D17" s="173">
        <v>155.44999999999999</v>
      </c>
      <c r="E17" s="80">
        <f t="shared" si="0"/>
        <v>2.7496946503447951E-2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88</v>
      </c>
      <c r="C18" s="177"/>
      <c r="D18" s="173">
        <v>59.92</v>
      </c>
      <c r="E18" s="80">
        <f t="shared" si="0"/>
        <v>1.0599015982544879E-2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40</v>
      </c>
      <c r="C19" s="177"/>
      <c r="D19" s="173">
        <v>325.79000000000002</v>
      </c>
      <c r="E19" s="80">
        <f t="shared" si="0"/>
        <v>5.7627727252224571E-2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9</v>
      </c>
      <c r="C20" s="177"/>
      <c r="D20" s="173">
        <v>184.23</v>
      </c>
      <c r="E20" s="80">
        <f t="shared" si="0"/>
        <v>3.2587728879576817E-2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thickBot="1" x14ac:dyDescent="0.3">
      <c r="A21" s="164"/>
      <c r="B21" s="169" t="s">
        <v>46</v>
      </c>
      <c r="C21" s="177"/>
      <c r="D21" s="173">
        <v>32.06</v>
      </c>
      <c r="E21" s="80">
        <f t="shared" si="0"/>
        <v>5.6709688317821902E-3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thickBot="1" x14ac:dyDescent="0.3">
      <c r="B22" s="178" t="s">
        <v>0</v>
      </c>
      <c r="C22" s="170"/>
      <c r="D22" s="171">
        <f>SUM(D5:D21)</f>
        <v>5653.3549999999996</v>
      </c>
      <c r="E22" s="80">
        <f t="shared" si="0"/>
        <v>1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B23" s="166" t="s">
        <v>1</v>
      </c>
      <c r="C23" s="167"/>
      <c r="D23" s="233">
        <v>5653.3549999999996</v>
      </c>
      <c r="E23" s="80"/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E26" s="80"/>
      <c r="G26" s="68">
        <f>+SUM(G14:G25)</f>
        <v>2547596.0290000001</v>
      </c>
      <c r="H26" s="377">
        <f>+SUM(H14:H15)</f>
        <v>373503.413</v>
      </c>
      <c r="I26" s="377">
        <f>+SUM(I14:I25)</f>
        <v>431347.60599999991</v>
      </c>
      <c r="J26" s="378"/>
      <c r="K26" s="378">
        <f>+I26/H26</f>
        <v>1.1548692488119243</v>
      </c>
    </row>
    <row r="27" spans="1:11" ht="15" customHeight="1" thickBot="1" x14ac:dyDescent="0.3">
      <c r="E27" s="313">
        <f>+D23/I2</f>
        <v>2.9059382648302608E-2</v>
      </c>
      <c r="G27" s="379" t="s">
        <v>229</v>
      </c>
      <c r="H27" s="380"/>
      <c r="I27" s="380">
        <v>2726927.1277059279</v>
      </c>
      <c r="J27" s="381">
        <f>+I26/H26</f>
        <v>1.1548692488119243</v>
      </c>
      <c r="K27" s="179"/>
    </row>
    <row r="28" spans="1:11" ht="16.5" thickBot="1" x14ac:dyDescent="0.3">
      <c r="F28" s="179"/>
      <c r="G28" s="179"/>
      <c r="J28" s="179"/>
    </row>
    <row r="29" spans="1:11" ht="16.5" thickBot="1" x14ac:dyDescent="0.3">
      <c r="B29" s="397" t="s">
        <v>251</v>
      </c>
      <c r="C29" s="417">
        <v>1</v>
      </c>
      <c r="D29" s="108">
        <f>+(J2/28)*C29</f>
        <v>7492.2854309583836</v>
      </c>
      <c r="E29" s="314">
        <f>+D29/J2</f>
        <v>3.5714285714285712E-2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ht="15" customHeight="1" x14ac:dyDescent="0.25">
      <c r="D30" s="183">
        <f>+D23-D29</f>
        <v>-1838.930430958384</v>
      </c>
      <c r="E30" s="99">
        <f>E27-E29</f>
        <v>-6.6549030659831046E-3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7204</v>
      </c>
      <c r="I32" s="88">
        <f>+H32*0.025</f>
        <v>180.10000000000002</v>
      </c>
      <c r="J32" s="224"/>
    </row>
    <row r="33" spans="1:11" ht="15" customHeight="1" x14ac:dyDescent="0.25">
      <c r="B33" s="162" t="s">
        <v>61</v>
      </c>
      <c r="C33" s="162">
        <v>468</v>
      </c>
      <c r="D33" s="108">
        <v>2142</v>
      </c>
      <c r="E33" s="57">
        <f>+C33/D33</f>
        <v>0.21848739495798319</v>
      </c>
      <c r="G33" s="86" t="s">
        <v>259</v>
      </c>
      <c r="H33" s="87">
        <v>17263</v>
      </c>
      <c r="I33" s="88">
        <f>+H33*0.025</f>
        <v>431.57500000000005</v>
      </c>
      <c r="J33" s="224"/>
      <c r="K33" s="68"/>
    </row>
    <row r="34" spans="1:11" ht="15" customHeight="1" x14ac:dyDescent="0.25">
      <c r="B34" s="162" t="s">
        <v>62</v>
      </c>
      <c r="C34" s="162">
        <v>1007</v>
      </c>
      <c r="D34" s="108">
        <v>1890</v>
      </c>
      <c r="E34" s="57">
        <f>+C34/D34</f>
        <v>0.53280423280423284</v>
      </c>
      <c r="G34" s="86" t="s">
        <v>171</v>
      </c>
      <c r="H34" s="87">
        <v>216</v>
      </c>
      <c r="I34" s="88">
        <f>+H34*0.025</f>
        <v>5.4</v>
      </c>
      <c r="J34" s="297" t="s">
        <v>188</v>
      </c>
    </row>
    <row r="35" spans="1:11" x14ac:dyDescent="0.25">
      <c r="B35" s="162" t="s">
        <v>63</v>
      </c>
      <c r="C35" s="67">
        <v>590</v>
      </c>
      <c r="D35" s="108">
        <v>3006</v>
      </c>
      <c r="E35" s="57">
        <f>+C35/D35</f>
        <v>0.19627411842980705</v>
      </c>
      <c r="G35" s="89" t="s">
        <v>169</v>
      </c>
      <c r="H35" s="87">
        <v>32</v>
      </c>
      <c r="I35" s="88">
        <f>+H35*1.5</f>
        <v>48</v>
      </c>
      <c r="J35" s="298">
        <f>+I35+I32+I33</f>
        <v>659.67500000000007</v>
      </c>
    </row>
    <row r="36" spans="1:11" x14ac:dyDescent="0.25">
      <c r="C36" s="162">
        <f>+SUM(C33:C35)</f>
        <v>2065</v>
      </c>
      <c r="D36" s="110">
        <f>+SUM(D33:D35)</f>
        <v>7038</v>
      </c>
      <c r="E36" s="57">
        <f>+C36/D36</f>
        <v>0.29340721795964764</v>
      </c>
      <c r="G36" s="89" t="s">
        <v>168</v>
      </c>
      <c r="H36" s="87">
        <v>53</v>
      </c>
      <c r="I36" s="88">
        <f>+H36*1.5</f>
        <v>79.5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72</v>
      </c>
      <c r="C40" s="74">
        <v>5</v>
      </c>
      <c r="D40" s="74">
        <v>22</v>
      </c>
      <c r="E40" s="75">
        <f>+SUM(B40:D40)</f>
        <v>99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2.7</v>
      </c>
      <c r="C43" s="199">
        <v>1772</v>
      </c>
      <c r="D43" s="200">
        <v>2400</v>
      </c>
      <c r="E43" s="201">
        <f t="shared" ref="E43:E48" si="3">+C43/D43</f>
        <v>0.73833333333333329</v>
      </c>
      <c r="F43" s="201">
        <f t="shared" ref="F43:F48" si="4">+B43/24</f>
        <v>0.1125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10.98</v>
      </c>
      <c r="C44" s="199">
        <v>1983</v>
      </c>
      <c r="D44" s="200">
        <v>3600</v>
      </c>
      <c r="E44" s="201">
        <f t="shared" si="3"/>
        <v>0.55083333333333329</v>
      </c>
      <c r="F44" s="201">
        <f t="shared" si="4"/>
        <v>0.45750000000000002</v>
      </c>
      <c r="G44" s="202">
        <v>12</v>
      </c>
      <c r="H44" s="71"/>
    </row>
    <row r="45" spans="1:11" x14ac:dyDescent="0.25">
      <c r="A45" s="207" t="s">
        <v>72</v>
      </c>
      <c r="B45" s="199">
        <v>11.41</v>
      </c>
      <c r="C45" s="199">
        <v>1556</v>
      </c>
      <c r="D45" s="200">
        <v>3900</v>
      </c>
      <c r="E45" s="201">
        <f t="shared" si="3"/>
        <v>0.39897435897435896</v>
      </c>
      <c r="F45" s="201">
        <f t="shared" si="4"/>
        <v>0.47541666666666665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2.97</v>
      </c>
      <c r="C46" s="199">
        <v>1986</v>
      </c>
      <c r="D46" s="200">
        <v>3900</v>
      </c>
      <c r="E46" s="201">
        <f t="shared" si="3"/>
        <v>0.50923076923076926</v>
      </c>
      <c r="F46" s="201">
        <f t="shared" si="4"/>
        <v>0.12375000000000001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6" si="5">+J46*1.5</f>
        <v>139.5</v>
      </c>
    </row>
    <row r="47" spans="1:11" x14ac:dyDescent="0.25">
      <c r="A47" s="207" t="s">
        <v>74</v>
      </c>
      <c r="B47" s="199">
        <v>7.1</v>
      </c>
      <c r="C47" s="199">
        <v>1776</v>
      </c>
      <c r="D47" s="200">
        <v>3900</v>
      </c>
      <c r="E47" s="201">
        <f t="shared" si="3"/>
        <v>0.45538461538461539</v>
      </c>
      <c r="F47" s="201">
        <f t="shared" si="4"/>
        <v>0.29583333333333334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1" x14ac:dyDescent="0.25">
      <c r="A48" s="259" t="s">
        <v>75</v>
      </c>
      <c r="B48" s="260">
        <v>0.76</v>
      </c>
      <c r="C48" s="261">
        <v>1256</v>
      </c>
      <c r="D48" s="262">
        <v>4300</v>
      </c>
      <c r="E48" s="263">
        <f t="shared" si="3"/>
        <v>0.29209302325581393</v>
      </c>
      <c r="F48" s="201">
        <f t="shared" si="4"/>
        <v>3.1666666666666669E-2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35.919999999999995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1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4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0</v>
      </c>
      <c r="H56" s="301">
        <v>46078</v>
      </c>
      <c r="I56" s="129" t="s">
        <v>176</v>
      </c>
      <c r="J56" s="162">
        <v>42</v>
      </c>
      <c r="K56" s="318">
        <f t="shared" si="5"/>
        <v>63</v>
      </c>
    </row>
    <row r="57" spans="2:11" x14ac:dyDescent="0.25">
      <c r="C57" s="71">
        <v>7</v>
      </c>
      <c r="D57" s="225">
        <v>0</v>
      </c>
      <c r="E57" s="225" t="s">
        <v>250</v>
      </c>
      <c r="K57" s="318"/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263</v>
      </c>
      <c r="I59" s="345"/>
      <c r="J59" s="199">
        <f>+J56</f>
        <v>42</v>
      </c>
      <c r="K59" s="346">
        <f>+J59*1.5</f>
        <v>63</v>
      </c>
    </row>
    <row r="60" spans="2:11" x14ac:dyDescent="0.25">
      <c r="B60" s="364" t="s">
        <v>231</v>
      </c>
      <c r="C60" s="199">
        <v>1970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46006</v>
      </c>
      <c r="I61" s="129" t="s">
        <v>175</v>
      </c>
      <c r="J61" s="162">
        <v>5733</v>
      </c>
      <c r="K61" s="318"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v>62.050000000000004</v>
      </c>
    </row>
    <row r="63" spans="2:11" x14ac:dyDescent="0.25">
      <c r="H63" s="301">
        <v>46012</v>
      </c>
      <c r="I63" s="129" t="s">
        <v>175</v>
      </c>
      <c r="J63" s="162">
        <v>6042</v>
      </c>
      <c r="K63" s="318">
        <v>151.05000000000001</v>
      </c>
    </row>
    <row r="64" spans="2:11" x14ac:dyDescent="0.25">
      <c r="H64" s="301">
        <v>46047</v>
      </c>
      <c r="I64" s="129" t="s">
        <v>175</v>
      </c>
      <c r="J64" s="162">
        <v>1509</v>
      </c>
      <c r="K64" s="318">
        <f>+J64*0.025</f>
        <v>37.725000000000001</v>
      </c>
    </row>
    <row r="65" spans="2:11" x14ac:dyDescent="0.25">
      <c r="B65" s="66"/>
      <c r="C65" s="391"/>
      <c r="D65" s="391"/>
      <c r="H65" s="301"/>
      <c r="I65" s="129"/>
      <c r="K65" s="318"/>
    </row>
    <row r="66" spans="2:11" x14ac:dyDescent="0.25">
      <c r="C66" s="389"/>
      <c r="H66" s="301">
        <v>46082</v>
      </c>
      <c r="I66" s="129" t="s">
        <v>176</v>
      </c>
      <c r="J66" s="162">
        <v>11032</v>
      </c>
      <c r="K66" s="318">
        <f>+J66*0.025</f>
        <v>275.8</v>
      </c>
    </row>
    <row r="67" spans="2:11" x14ac:dyDescent="0.25">
      <c r="C67" s="389"/>
      <c r="H67" s="359" t="s">
        <v>262</v>
      </c>
      <c r="I67" s="345"/>
      <c r="J67" s="200">
        <f>+J66</f>
        <v>11032</v>
      </c>
      <c r="K67" s="346">
        <f>+K66</f>
        <v>275.8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6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6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6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6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6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6"/>
        <v>264</v>
      </c>
    </row>
    <row r="79" spans="2:11" x14ac:dyDescent="0.25">
      <c r="H79" s="344"/>
      <c r="I79" s="345"/>
      <c r="J79" s="200">
        <f>+K79/1.5</f>
        <v>486.66666666666669</v>
      </c>
      <c r="K79" s="346">
        <v>730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53" workbookViewId="0">
      <selection activeCell="A28" sqref="A28:K7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7.140625" style="162" customWidth="1"/>
    <col min="6" max="6" width="11.42578125" style="162"/>
    <col min="7" max="7" width="11.85546875" style="162" bestFit="1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18"/>
      <c r="C4" s="418"/>
      <c r="D4" s="165">
        <f>D23</f>
        <v>8124.9999999999991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6999</v>
      </c>
      <c r="D5" s="172">
        <v>299.31599999999997</v>
      </c>
      <c r="E5" s="80">
        <f t="shared" ref="E5:E22" si="0">+D5/$D$4</f>
        <v>3.6838892307692307E-2</v>
      </c>
      <c r="F5" s="58" t="s">
        <v>51</v>
      </c>
      <c r="G5" s="59">
        <v>46083</v>
      </c>
      <c r="H5" s="190">
        <v>6461</v>
      </c>
      <c r="I5" s="141">
        <v>8124.9999999999991</v>
      </c>
      <c r="J5" s="60">
        <f t="shared" ref="J5:J12" si="1">+I5/H5</f>
        <v>1.2575452716297786</v>
      </c>
    </row>
    <row r="6" spans="1:11" ht="15" customHeight="1" x14ac:dyDescent="0.25">
      <c r="A6" s="164"/>
      <c r="B6" s="169" t="s">
        <v>10</v>
      </c>
      <c r="C6" s="177">
        <v>11336</v>
      </c>
      <c r="D6" s="173">
        <v>483.09300000000002</v>
      </c>
      <c r="E6" s="80">
        <f t="shared" si="0"/>
        <v>5.9457600000000006E-2</v>
      </c>
      <c r="F6" s="58" t="s">
        <v>52</v>
      </c>
      <c r="G6" s="59">
        <v>46084</v>
      </c>
      <c r="H6" s="190">
        <v>9137.16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27123</v>
      </c>
      <c r="D7" s="173">
        <v>1154.96</v>
      </c>
      <c r="E7" s="245">
        <f t="shared" si="0"/>
        <v>0.14214892307692309</v>
      </c>
      <c r="F7" s="58" t="s">
        <v>53</v>
      </c>
      <c r="G7" s="59">
        <v>46085</v>
      </c>
      <c r="H7" s="190">
        <v>7516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</v>
      </c>
      <c r="C8" s="177">
        <v>715</v>
      </c>
      <c r="D8" s="173">
        <v>30.54</v>
      </c>
      <c r="E8" s="80">
        <f t="shared" si="0"/>
        <v>3.7587692307692309E-3</v>
      </c>
      <c r="F8" s="58" t="s">
        <v>54</v>
      </c>
      <c r="G8" s="59">
        <v>46086</v>
      </c>
      <c r="H8" s="190">
        <v>7334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42531</v>
      </c>
      <c r="D9" s="173">
        <v>1816.8620000000001</v>
      </c>
      <c r="E9" s="245">
        <f t="shared" si="0"/>
        <v>0.22361378461538464</v>
      </c>
      <c r="F9" s="58" t="s">
        <v>55</v>
      </c>
      <c r="G9" s="59">
        <v>46087</v>
      </c>
      <c r="H9" s="190">
        <v>7505.9999999999991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44641</v>
      </c>
      <c r="D10" s="173">
        <v>1906.2950000000001</v>
      </c>
      <c r="E10" s="245">
        <f t="shared" si="0"/>
        <v>0.23462092307692312</v>
      </c>
      <c r="F10" s="58" t="s">
        <v>56</v>
      </c>
      <c r="G10" s="59">
        <v>46088</v>
      </c>
      <c r="H10" s="190">
        <v>7436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9188</v>
      </c>
      <c r="D11" s="173">
        <v>392.59199999999998</v>
      </c>
      <c r="E11" s="80">
        <f t="shared" si="0"/>
        <v>4.8319015384615388E-2</v>
      </c>
      <c r="F11" s="58" t="s">
        <v>57</v>
      </c>
      <c r="G11" s="59">
        <v>46089</v>
      </c>
      <c r="H11" s="190">
        <v>4598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186</v>
      </c>
      <c r="C12" s="177">
        <v>1245</v>
      </c>
      <c r="D12" s="173">
        <v>31.271999999999998</v>
      </c>
      <c r="E12" s="80">
        <f t="shared" si="0"/>
        <v>3.8488615384615387E-3</v>
      </c>
      <c r="H12" s="139">
        <f>+SUM(H5:H11)</f>
        <v>49988.159999999996</v>
      </c>
      <c r="I12" s="142">
        <f>+SUM(I5:I11)</f>
        <v>8124.9999999999991</v>
      </c>
      <c r="J12" s="140">
        <f t="shared" si="1"/>
        <v>0.16253848911422225</v>
      </c>
    </row>
    <row r="13" spans="1:11" ht="15" customHeight="1" x14ac:dyDescent="0.25">
      <c r="A13" s="164"/>
      <c r="B13" s="169" t="s">
        <v>44</v>
      </c>
      <c r="C13" s="177">
        <v>64</v>
      </c>
      <c r="D13" s="173">
        <v>97.15</v>
      </c>
      <c r="E13" s="80">
        <f t="shared" si="0"/>
        <v>1.1956923076923079E-2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39</v>
      </c>
      <c r="C14" s="177">
        <v>320</v>
      </c>
      <c r="D14" s="173">
        <v>483.83</v>
      </c>
      <c r="E14" s="80">
        <f t="shared" si="0"/>
        <v>5.9548307692307699E-2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43</v>
      </c>
      <c r="C15" s="177">
        <v>231</v>
      </c>
      <c r="D15" s="173">
        <v>349.77</v>
      </c>
      <c r="E15" s="80">
        <f t="shared" si="0"/>
        <v>4.3048615384615387E-2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49</v>
      </c>
      <c r="C16" s="177">
        <v>42</v>
      </c>
      <c r="D16" s="173">
        <v>63.49</v>
      </c>
      <c r="E16" s="80">
        <f t="shared" si="0"/>
        <v>7.8141538461538474E-3</v>
      </c>
      <c r="F16" s="112" t="s">
        <v>110</v>
      </c>
      <c r="G16" s="190">
        <v>199570.19199999989</v>
      </c>
      <c r="H16" s="190">
        <v>197224.22099999999</v>
      </c>
      <c r="I16" s="190">
        <f>+D24</f>
        <v>13778.356</v>
      </c>
      <c r="J16" s="98">
        <f t="shared" si="2"/>
        <v>0.98824488278289624</v>
      </c>
      <c r="K16" s="98">
        <f t="shared" si="2"/>
        <v>6.9861378740088922E-2</v>
      </c>
    </row>
    <row r="17" spans="1:11" ht="15" customHeight="1" x14ac:dyDescent="0.25">
      <c r="A17" s="164"/>
      <c r="B17" s="169" t="s">
        <v>41</v>
      </c>
      <c r="C17" s="177">
        <v>211</v>
      </c>
      <c r="D17" s="173">
        <v>318.70999999999998</v>
      </c>
      <c r="E17" s="80">
        <f t="shared" si="0"/>
        <v>3.9225846153846153E-2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88</v>
      </c>
      <c r="C18" s="177"/>
      <c r="D18" s="173">
        <v>60.07</v>
      </c>
      <c r="E18" s="80">
        <f t="shared" si="0"/>
        <v>7.39323076923077E-3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85</v>
      </c>
      <c r="C19" s="177">
        <v>24</v>
      </c>
      <c r="D19" s="173">
        <v>36.19</v>
      </c>
      <c r="E19" s="80">
        <f t="shared" si="0"/>
        <v>4.4541538461538464E-3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453.44</v>
      </c>
      <c r="E20" s="80">
        <f t="shared" si="0"/>
        <v>5.5808000000000003E-2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9</v>
      </c>
      <c r="C21" s="177"/>
      <c r="D21" s="173">
        <v>89.77</v>
      </c>
      <c r="E21" s="80">
        <f t="shared" si="0"/>
        <v>1.1048615384615386E-2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thickBot="1" x14ac:dyDescent="0.3">
      <c r="A22" s="164"/>
      <c r="B22" s="169" t="s">
        <v>46</v>
      </c>
      <c r="C22" s="177"/>
      <c r="D22" s="173">
        <v>57.65</v>
      </c>
      <c r="E22" s="80">
        <f t="shared" si="0"/>
        <v>7.0953846153846162E-3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B23" s="178" t="s">
        <v>0</v>
      </c>
      <c r="C23" s="170"/>
      <c r="D23" s="171">
        <f>SUM(D5:D22)</f>
        <v>8124.9999999999991</v>
      </c>
      <c r="E23" s="80"/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B24" s="166" t="s">
        <v>1</v>
      </c>
      <c r="C24" s="167"/>
      <c r="D24" s="233">
        <v>13778.356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E26" s="80"/>
      <c r="G26" s="68">
        <f>+SUM(G14:G25)</f>
        <v>2547596.0290000001</v>
      </c>
      <c r="H26" s="377">
        <f>+SUM(H14:H15)</f>
        <v>373503.413</v>
      </c>
      <c r="I26" s="377">
        <f>+SUM(I14:I25)</f>
        <v>445125.96199999994</v>
      </c>
      <c r="J26" s="378"/>
      <c r="K26" s="378">
        <f>+I26/H26</f>
        <v>1.191758753754681</v>
      </c>
    </row>
    <row r="27" spans="1:11" ht="15" customHeight="1" thickBot="1" x14ac:dyDescent="0.3">
      <c r="E27" s="313">
        <f>+D24/J2</f>
        <v>6.5678776842088005E-2</v>
      </c>
      <c r="G27" s="379" t="s">
        <v>229</v>
      </c>
      <c r="H27" s="380"/>
      <c r="I27" s="380">
        <v>2726927.1277059279</v>
      </c>
      <c r="J27" s="381">
        <f>+I26/H26</f>
        <v>1.191758753754681</v>
      </c>
      <c r="K27" s="179"/>
    </row>
    <row r="28" spans="1:11" ht="16.5" thickBot="1" x14ac:dyDescent="0.3">
      <c r="F28" s="179"/>
      <c r="G28" s="179"/>
      <c r="J28" s="179"/>
    </row>
    <row r="29" spans="1:11" ht="16.5" thickBot="1" x14ac:dyDescent="0.3">
      <c r="B29" s="397" t="s">
        <v>251</v>
      </c>
      <c r="C29" s="419">
        <v>2</v>
      </c>
      <c r="D29" s="108">
        <f>+(J2/28)*C29</f>
        <v>14984.570861916767</v>
      </c>
      <c r="E29" s="314">
        <f>+D29/J2</f>
        <v>7.1428571428571425E-2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ht="15" customHeight="1" x14ac:dyDescent="0.25">
      <c r="D30" s="183">
        <f>+D23-D29</f>
        <v>-6859.5708619167681</v>
      </c>
      <c r="E30" s="99">
        <f>E27-E29</f>
        <v>-5.7497945864834199E-3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7204</v>
      </c>
      <c r="I32" s="88">
        <f>+H32*0.025</f>
        <v>180.10000000000002</v>
      </c>
      <c r="J32" s="224"/>
    </row>
    <row r="33" spans="1:11" ht="15" customHeight="1" x14ac:dyDescent="0.25">
      <c r="B33" s="162" t="s">
        <v>61</v>
      </c>
      <c r="C33" s="162">
        <v>460</v>
      </c>
      <c r="D33" s="108">
        <v>2142</v>
      </c>
      <c r="E33" s="57">
        <f>+C33/D33</f>
        <v>0.21475256769374415</v>
      </c>
      <c r="G33" s="86" t="s">
        <v>259</v>
      </c>
      <c r="H33" s="87">
        <v>13637</v>
      </c>
      <c r="I33" s="88">
        <f>+H33*0.025</f>
        <v>340.92500000000001</v>
      </c>
      <c r="J33" s="224"/>
      <c r="K33" s="68"/>
    </row>
    <row r="34" spans="1:11" ht="15" customHeight="1" x14ac:dyDescent="0.25">
      <c r="B34" s="162" t="s">
        <v>62</v>
      </c>
      <c r="C34" s="162">
        <v>870</v>
      </c>
      <c r="D34" s="108">
        <v>1890</v>
      </c>
      <c r="E34" s="57">
        <f>+C34/D34</f>
        <v>0.46031746031746029</v>
      </c>
      <c r="G34" s="86" t="s">
        <v>171</v>
      </c>
      <c r="H34" s="87">
        <v>207</v>
      </c>
      <c r="I34" s="88">
        <f>+H34*0.025</f>
        <v>5.1750000000000007</v>
      </c>
      <c r="J34" s="297" t="s">
        <v>188</v>
      </c>
    </row>
    <row r="35" spans="1:11" x14ac:dyDescent="0.25">
      <c r="B35" s="162" t="s">
        <v>63</v>
      </c>
      <c r="C35" s="67">
        <v>744</v>
      </c>
      <c r="D35" s="108">
        <v>3006</v>
      </c>
      <c r="E35" s="57">
        <f>+C35/D35</f>
        <v>0.24750499001996007</v>
      </c>
      <c r="G35" s="89" t="s">
        <v>169</v>
      </c>
      <c r="H35" s="87">
        <v>32</v>
      </c>
      <c r="I35" s="88">
        <f>+H35*1.5</f>
        <v>48</v>
      </c>
      <c r="J35" s="298">
        <f>+I35+I32+I33</f>
        <v>569.02500000000009</v>
      </c>
    </row>
    <row r="36" spans="1:11" x14ac:dyDescent="0.25">
      <c r="C36" s="162">
        <f>+SUM(C33:C35)</f>
        <v>2074</v>
      </c>
      <c r="D36" s="110">
        <f>+SUM(D33:D35)</f>
        <v>7038</v>
      </c>
      <c r="E36" s="57">
        <f>+C36/D36</f>
        <v>0.29468599033816423</v>
      </c>
      <c r="G36" s="89" t="s">
        <v>168</v>
      </c>
      <c r="H36" s="87">
        <v>53</v>
      </c>
      <c r="I36" s="88">
        <f>+H36*1.5</f>
        <v>79.5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60</v>
      </c>
      <c r="C40" s="74">
        <v>5</v>
      </c>
      <c r="D40" s="74">
        <v>23</v>
      </c>
      <c r="E40" s="75">
        <f>+SUM(B40:D40)</f>
        <v>88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2.8</v>
      </c>
      <c r="C43" s="199">
        <v>1959</v>
      </c>
      <c r="D43" s="200">
        <v>2400</v>
      </c>
      <c r="E43" s="201">
        <f t="shared" ref="E43:E48" si="3">+C43/D43</f>
        <v>0.81625000000000003</v>
      </c>
      <c r="F43" s="201">
        <f t="shared" ref="F43:F48" si="4">+B43/24</f>
        <v>0.11666666666666665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4.32</v>
      </c>
      <c r="C44" s="199">
        <v>2388</v>
      </c>
      <c r="D44" s="200">
        <v>3600</v>
      </c>
      <c r="E44" s="201">
        <f t="shared" si="3"/>
        <v>0.66333333333333333</v>
      </c>
      <c r="F44" s="201">
        <f t="shared" si="4"/>
        <v>0.18000000000000002</v>
      </c>
      <c r="G44" s="202">
        <v>12</v>
      </c>
      <c r="H44" s="71"/>
    </row>
    <row r="45" spans="1:11" x14ac:dyDescent="0.25">
      <c r="A45" s="207" t="s">
        <v>72</v>
      </c>
      <c r="B45" s="199">
        <v>11</v>
      </c>
      <c r="C45" s="199">
        <v>1604</v>
      </c>
      <c r="D45" s="200">
        <v>3900</v>
      </c>
      <c r="E45" s="201">
        <f t="shared" si="3"/>
        <v>0.41128205128205131</v>
      </c>
      <c r="F45" s="201">
        <f t="shared" si="4"/>
        <v>0.45833333333333331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12.75</v>
      </c>
      <c r="C46" s="199">
        <v>2634</v>
      </c>
      <c r="D46" s="200">
        <v>3900</v>
      </c>
      <c r="E46" s="201">
        <f t="shared" si="3"/>
        <v>0.67538461538461536</v>
      </c>
      <c r="F46" s="201">
        <f t="shared" si="4"/>
        <v>0.53125</v>
      </c>
      <c r="G46" s="202">
        <v>12</v>
      </c>
      <c r="H46" s="301">
        <v>46029</v>
      </c>
      <c r="I46" s="129" t="s">
        <v>175</v>
      </c>
      <c r="J46" s="162">
        <v>93</v>
      </c>
      <c r="K46" s="318">
        <f t="shared" ref="K46:K56" si="5">+J46*1.5</f>
        <v>139.5</v>
      </c>
    </row>
    <row r="47" spans="1:11" x14ac:dyDescent="0.25">
      <c r="A47" s="207" t="s">
        <v>74</v>
      </c>
      <c r="B47" s="199">
        <v>14.81</v>
      </c>
      <c r="C47" s="199">
        <v>2195</v>
      </c>
      <c r="D47" s="200">
        <v>3900</v>
      </c>
      <c r="E47" s="201">
        <f t="shared" si="3"/>
        <v>0.56282051282051282</v>
      </c>
      <c r="F47" s="201">
        <f t="shared" si="4"/>
        <v>0.61708333333333332</v>
      </c>
      <c r="G47" s="202">
        <v>12</v>
      </c>
      <c r="H47" s="301">
        <v>46029</v>
      </c>
      <c r="I47" s="129" t="s">
        <v>176</v>
      </c>
      <c r="J47" s="162">
        <v>99</v>
      </c>
      <c r="K47" s="318">
        <f t="shared" si="5"/>
        <v>148.5</v>
      </c>
    </row>
    <row r="48" spans="1:11" x14ac:dyDescent="0.25">
      <c r="A48" s="259" t="s">
        <v>75</v>
      </c>
      <c r="B48" s="260">
        <v>12.06</v>
      </c>
      <c r="C48" s="261">
        <v>3250</v>
      </c>
      <c r="D48" s="262">
        <v>4300</v>
      </c>
      <c r="E48" s="263">
        <f t="shared" si="3"/>
        <v>0.7558139534883721</v>
      </c>
      <c r="F48" s="201">
        <f t="shared" si="4"/>
        <v>0.50250000000000006</v>
      </c>
      <c r="G48" s="202">
        <v>16</v>
      </c>
      <c r="H48" s="301">
        <v>46036</v>
      </c>
      <c r="I48" s="129" t="s">
        <v>175</v>
      </c>
      <c r="J48" s="162">
        <v>50</v>
      </c>
      <c r="K48" s="318">
        <f t="shared" si="5"/>
        <v>75</v>
      </c>
    </row>
    <row r="49" spans="2:11" x14ac:dyDescent="0.25">
      <c r="B49" s="113">
        <f>+SUM(B43:B48)</f>
        <v>57.74</v>
      </c>
      <c r="C49" s="71"/>
      <c r="D49" s="72"/>
      <c r="H49" s="301">
        <v>46036</v>
      </c>
      <c r="I49" s="129" t="s">
        <v>176</v>
      </c>
      <c r="J49" s="162">
        <v>105</v>
      </c>
      <c r="K49" s="318">
        <f t="shared" si="5"/>
        <v>157.5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46037</v>
      </c>
      <c r="I50" s="129" t="s">
        <v>175</v>
      </c>
      <c r="J50" s="162">
        <v>30</v>
      </c>
      <c r="K50" s="318">
        <f t="shared" si="5"/>
        <v>45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46040</v>
      </c>
      <c r="I51" s="129" t="s">
        <v>175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46045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46045</v>
      </c>
      <c r="I53" s="129" t="s">
        <v>176</v>
      </c>
      <c r="J53" s="162">
        <v>70</v>
      </c>
      <c r="K53" s="318">
        <f t="shared" si="5"/>
        <v>105</v>
      </c>
    </row>
    <row r="54" spans="2:11" x14ac:dyDescent="0.25">
      <c r="C54" s="71">
        <v>4</v>
      </c>
      <c r="D54" s="108">
        <v>1</v>
      </c>
      <c r="H54" s="301">
        <v>46046</v>
      </c>
      <c r="I54" s="129" t="s">
        <v>175</v>
      </c>
      <c r="J54" s="162">
        <v>178</v>
      </c>
      <c r="K54" s="318">
        <f t="shared" si="5"/>
        <v>267</v>
      </c>
    </row>
    <row r="55" spans="2:11" x14ac:dyDescent="0.25">
      <c r="C55" s="71">
        <v>5</v>
      </c>
      <c r="D55" s="108">
        <v>14</v>
      </c>
      <c r="H55" s="301">
        <v>46046</v>
      </c>
      <c r="I55" s="129" t="s">
        <v>176</v>
      </c>
      <c r="J55" s="162">
        <v>125</v>
      </c>
      <c r="K55" s="318">
        <f t="shared" si="5"/>
        <v>187.5</v>
      </c>
    </row>
    <row r="56" spans="2:11" x14ac:dyDescent="0.25">
      <c r="C56" s="71">
        <v>6</v>
      </c>
      <c r="D56" s="108">
        <v>0</v>
      </c>
      <c r="H56" s="301">
        <v>46078</v>
      </c>
      <c r="I56" s="129" t="s">
        <v>176</v>
      </c>
      <c r="J56" s="162">
        <v>42</v>
      </c>
      <c r="K56" s="318">
        <f t="shared" si="5"/>
        <v>63</v>
      </c>
    </row>
    <row r="57" spans="2:11" x14ac:dyDescent="0.25">
      <c r="C57" s="71">
        <v>7</v>
      </c>
      <c r="D57" s="225">
        <v>0</v>
      </c>
      <c r="E57" s="225" t="s">
        <v>250</v>
      </c>
      <c r="H57" s="301">
        <v>46083</v>
      </c>
      <c r="I57" s="129" t="s">
        <v>175</v>
      </c>
      <c r="J57" s="162">
        <v>133</v>
      </c>
      <c r="K57" s="318">
        <f t="shared" ref="K57:K58" si="6">+J57*1.5</f>
        <v>199.5</v>
      </c>
    </row>
    <row r="58" spans="2:11" x14ac:dyDescent="0.25">
      <c r="C58" s="71">
        <v>8</v>
      </c>
      <c r="D58" s="108">
        <v>0</v>
      </c>
      <c r="H58" s="301">
        <v>46083</v>
      </c>
      <c r="I58" s="129" t="s">
        <v>176</v>
      </c>
      <c r="J58" s="162">
        <v>42</v>
      </c>
      <c r="K58" s="318">
        <f t="shared" si="6"/>
        <v>63</v>
      </c>
    </row>
    <row r="59" spans="2:11" x14ac:dyDescent="0.25">
      <c r="H59" s="359" t="s">
        <v>263</v>
      </c>
      <c r="I59" s="345"/>
      <c r="J59" s="199">
        <f>+J56</f>
        <v>42</v>
      </c>
      <c r="K59" s="346">
        <f>+J59*1.5</f>
        <v>63</v>
      </c>
    </row>
    <row r="60" spans="2:11" x14ac:dyDescent="0.25">
      <c r="B60" s="364" t="s">
        <v>231</v>
      </c>
      <c r="C60" s="199">
        <v>2126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>
        <v>46006</v>
      </c>
      <c r="I61" s="129" t="s">
        <v>175</v>
      </c>
      <c r="J61" s="162">
        <v>5733</v>
      </c>
      <c r="K61" s="318">
        <v>143.32500000000002</v>
      </c>
    </row>
    <row r="62" spans="2:11" x14ac:dyDescent="0.25">
      <c r="H62" s="301">
        <v>46008</v>
      </c>
      <c r="I62" s="129" t="s">
        <v>176</v>
      </c>
      <c r="J62" s="162">
        <v>2482</v>
      </c>
      <c r="K62" s="318">
        <v>62.050000000000004</v>
      </c>
    </row>
    <row r="63" spans="2:11" x14ac:dyDescent="0.25">
      <c r="H63" s="301">
        <v>46012</v>
      </c>
      <c r="I63" s="129" t="s">
        <v>175</v>
      </c>
      <c r="J63" s="162">
        <v>6042</v>
      </c>
      <c r="K63" s="318">
        <v>151.05000000000001</v>
      </c>
    </row>
    <row r="64" spans="2:11" x14ac:dyDescent="0.25">
      <c r="H64" s="301">
        <v>46047</v>
      </c>
      <c r="I64" s="129" t="s">
        <v>175</v>
      </c>
      <c r="J64" s="162">
        <v>1509</v>
      </c>
      <c r="K64" s="318">
        <f>+J64*0.025</f>
        <v>37.725000000000001</v>
      </c>
    </row>
    <row r="65" spans="2:11" x14ac:dyDescent="0.25">
      <c r="B65" s="66"/>
      <c r="C65" s="391"/>
      <c r="D65" s="391"/>
      <c r="G65" s="162" t="s">
        <v>264</v>
      </c>
      <c r="H65" s="301"/>
      <c r="I65" s="129"/>
      <c r="K65" s="318"/>
    </row>
    <row r="66" spans="2:11" x14ac:dyDescent="0.25">
      <c r="C66" s="389"/>
      <c r="G66" s="162">
        <f>+K66+K57+K58</f>
        <v>538.29999999999995</v>
      </c>
      <c r="H66" s="301">
        <v>46082</v>
      </c>
      <c r="I66" s="129" t="s">
        <v>176</v>
      </c>
      <c r="J66" s="162">
        <v>11032</v>
      </c>
      <c r="K66" s="318">
        <f>+J66*0.025</f>
        <v>275.8</v>
      </c>
    </row>
    <row r="67" spans="2:11" x14ac:dyDescent="0.25">
      <c r="C67" s="389"/>
      <c r="H67" s="359" t="s">
        <v>262</v>
      </c>
      <c r="I67" s="345"/>
      <c r="J67" s="200">
        <f>+J66</f>
        <v>11032</v>
      </c>
      <c r="K67" s="346">
        <f>+K66</f>
        <v>275.8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7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7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7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7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7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7"/>
        <v>264</v>
      </c>
    </row>
    <row r="79" spans="2:11" x14ac:dyDescent="0.25">
      <c r="H79" s="344"/>
      <c r="I79" s="345"/>
      <c r="J79" s="200">
        <f>+K79/1.5</f>
        <v>486.66666666666669</v>
      </c>
      <c r="K79" s="346">
        <v>730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9" workbookViewId="0">
      <selection activeCell="A28" sqref="A28:K79"/>
    </sheetView>
  </sheetViews>
  <sheetFormatPr baseColWidth="10" defaultColWidth="11.42578125" defaultRowHeight="15.75" x14ac:dyDescent="0.25"/>
  <cols>
    <col min="1" max="1" width="2.42578125" style="162" customWidth="1"/>
    <col min="2" max="2" width="46.140625" style="162" customWidth="1"/>
    <col min="3" max="3" width="13.28515625" style="162" customWidth="1"/>
    <col min="4" max="4" width="14.5703125" style="163" customWidth="1"/>
    <col min="5" max="5" width="17.140625" style="162" customWidth="1"/>
    <col min="6" max="6" width="11.42578125" style="162"/>
    <col min="7" max="7" width="11.85546875" style="162" bestFit="1" customWidth="1"/>
    <col min="8" max="16384" width="11.42578125" style="162"/>
  </cols>
  <sheetData>
    <row r="1" spans="1:11" ht="15" customHeight="1" x14ac:dyDescent="0.25">
      <c r="A1" s="161"/>
      <c r="B1" s="518">
        <v>46084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23"/>
      <c r="C4" s="423"/>
      <c r="D4" s="165">
        <f>D25</f>
        <v>9442.9479999999967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2370</v>
      </c>
      <c r="D5" s="172">
        <v>101.15</v>
      </c>
      <c r="E5" s="80">
        <f t="shared" ref="E5:E25" si="0">+D5/$D$4</f>
        <v>1.0711697236922203E-2</v>
      </c>
      <c r="F5" s="58" t="s">
        <v>51</v>
      </c>
      <c r="G5" s="59">
        <v>46083</v>
      </c>
      <c r="H5" s="190">
        <v>6461</v>
      </c>
      <c r="I5" s="141">
        <v>8124.9999999999991</v>
      </c>
      <c r="J5" s="60">
        <f t="shared" ref="J5:J12" si="1">+I5/H5</f>
        <v>1.2575452716297786</v>
      </c>
    </row>
    <row r="6" spans="1:11" ht="15" customHeight="1" x14ac:dyDescent="0.25">
      <c r="A6" s="164"/>
      <c r="B6" s="169" t="s">
        <v>10</v>
      </c>
      <c r="C6" s="177">
        <f>9952+710</f>
        <v>10662</v>
      </c>
      <c r="D6" s="173">
        <f>424.544+30.322</f>
        <v>454.86599999999999</v>
      </c>
      <c r="E6" s="80">
        <f t="shared" si="0"/>
        <v>4.8169914734254617E-2</v>
      </c>
      <c r="F6" s="58" t="s">
        <v>52</v>
      </c>
      <c r="G6" s="59">
        <v>46084</v>
      </c>
      <c r="H6" s="190">
        <v>9137.16</v>
      </c>
      <c r="I6" s="141">
        <v>9442.9479999999967</v>
      </c>
      <c r="J6" s="60">
        <f t="shared" si="1"/>
        <v>1.033466416260632</v>
      </c>
    </row>
    <row r="7" spans="1:11" ht="15" customHeight="1" x14ac:dyDescent="0.25">
      <c r="A7" s="164"/>
      <c r="B7" s="169" t="s">
        <v>35</v>
      </c>
      <c r="C7" s="177">
        <v>31418</v>
      </c>
      <c r="D7" s="173">
        <v>1338.5139999999999</v>
      </c>
      <c r="E7" s="245">
        <f t="shared" si="0"/>
        <v>0.14174747123461873</v>
      </c>
      <c r="F7" s="58" t="s">
        <v>53</v>
      </c>
      <c r="G7" s="59">
        <v>46085</v>
      </c>
      <c r="H7" s="190">
        <v>7516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</v>
      </c>
      <c r="C8" s="177">
        <v>4965</v>
      </c>
      <c r="D8" s="173">
        <v>211.51</v>
      </c>
      <c r="E8" s="80">
        <f t="shared" si="0"/>
        <v>2.239872548276238E-2</v>
      </c>
      <c r="F8" s="58" t="s">
        <v>54</v>
      </c>
      <c r="G8" s="59">
        <v>46086</v>
      </c>
      <c r="H8" s="190">
        <v>7334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46815</v>
      </c>
      <c r="D9" s="173">
        <v>1999.9860000000001</v>
      </c>
      <c r="E9" s="245">
        <f t="shared" si="0"/>
        <v>0.21179678210660494</v>
      </c>
      <c r="F9" s="58" t="s">
        <v>55</v>
      </c>
      <c r="G9" s="59">
        <v>46087</v>
      </c>
      <c r="H9" s="190">
        <v>7505.9999999999991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f>42637+750</f>
        <v>43387</v>
      </c>
      <c r="D10" s="173">
        <f>1820.302+31.96</f>
        <v>1852.2619999999999</v>
      </c>
      <c r="E10" s="245">
        <f t="shared" si="0"/>
        <v>0.19615293867974287</v>
      </c>
      <c r="F10" s="58" t="s">
        <v>56</v>
      </c>
      <c r="G10" s="59">
        <v>46088</v>
      </c>
      <c r="H10" s="190">
        <v>7436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f>18905+830</f>
        <v>19735</v>
      </c>
      <c r="D11" s="173">
        <f>806.972+35.38</f>
        <v>842.35199999999998</v>
      </c>
      <c r="E11" s="80">
        <f t="shared" si="0"/>
        <v>8.9204345930952944E-2</v>
      </c>
      <c r="F11" s="58" t="s">
        <v>57</v>
      </c>
      <c r="G11" s="59">
        <v>46089</v>
      </c>
      <c r="H11" s="190">
        <v>4598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186</v>
      </c>
      <c r="C12" s="177">
        <v>2520</v>
      </c>
      <c r="D12" s="173">
        <v>63.295999999999999</v>
      </c>
      <c r="E12" s="80">
        <f t="shared" si="0"/>
        <v>6.7029914810501998E-3</v>
      </c>
      <c r="H12" s="139">
        <f>+SUM(H5:H11)</f>
        <v>49988.159999999996</v>
      </c>
      <c r="I12" s="142">
        <f>+SUM(I5:I11)</f>
        <v>17567.947999999997</v>
      </c>
      <c r="J12" s="140">
        <f t="shared" si="1"/>
        <v>0.3514421815085812</v>
      </c>
    </row>
    <row r="13" spans="1:11" ht="15" customHeight="1" x14ac:dyDescent="0.25">
      <c r="A13" s="164"/>
      <c r="B13" s="169" t="s">
        <v>260</v>
      </c>
      <c r="C13" s="177">
        <v>18</v>
      </c>
      <c r="D13" s="173">
        <v>32.682000000000002</v>
      </c>
      <c r="E13" s="80">
        <f t="shared" si="0"/>
        <v>3.4609954433721347E-3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44</v>
      </c>
      <c r="C14" s="177">
        <v>20</v>
      </c>
      <c r="D14" s="173">
        <v>30.25</v>
      </c>
      <c r="E14" s="80">
        <f t="shared" si="0"/>
        <v>3.2034487535036738E-3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574</v>
      </c>
      <c r="D15" s="173">
        <v>867.03</v>
      </c>
      <c r="E15" s="80">
        <f t="shared" si="0"/>
        <v>9.1817724719017862E-2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233</v>
      </c>
      <c r="D16" s="173">
        <v>352.11</v>
      </c>
      <c r="E16" s="80">
        <f t="shared" si="0"/>
        <v>3.7288143490782764E-2</v>
      </c>
      <c r="F16" s="112" t="s">
        <v>110</v>
      </c>
      <c r="G16" s="190">
        <v>199570.19199999989</v>
      </c>
      <c r="H16" s="190">
        <v>197224.22099999999</v>
      </c>
      <c r="I16" s="190">
        <f>+D26</f>
        <v>23254.784</v>
      </c>
      <c r="J16" s="98">
        <f t="shared" si="2"/>
        <v>0.98824488278289624</v>
      </c>
      <c r="K16" s="98">
        <f t="shared" si="2"/>
        <v>0.11791038586482742</v>
      </c>
    </row>
    <row r="17" spans="1:11" ht="15" customHeight="1" x14ac:dyDescent="0.25">
      <c r="A17" s="164"/>
      <c r="B17" s="169" t="s">
        <v>49</v>
      </c>
      <c r="C17" s="177">
        <v>60</v>
      </c>
      <c r="D17" s="173">
        <v>90.57</v>
      </c>
      <c r="E17" s="80">
        <f t="shared" si="0"/>
        <v>9.591284416688519E-3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41</v>
      </c>
      <c r="C18" s="177">
        <v>189</v>
      </c>
      <c r="D18" s="173">
        <v>285.49</v>
      </c>
      <c r="E18" s="80">
        <f t="shared" si="0"/>
        <v>3.0233143293810376E-2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45</v>
      </c>
      <c r="C19" s="177">
        <v>24</v>
      </c>
      <c r="D19" s="173">
        <v>36.299999999999997</v>
      </c>
      <c r="E19" s="80">
        <f t="shared" si="0"/>
        <v>3.8441385042044082E-3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88</v>
      </c>
      <c r="C20" s="177"/>
      <c r="D20" s="173">
        <v>30.08</v>
      </c>
      <c r="E20" s="80">
        <f t="shared" si="0"/>
        <v>3.1854459010046449E-3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85</v>
      </c>
      <c r="C21" s="177">
        <v>22</v>
      </c>
      <c r="D21" s="173">
        <v>33.25</v>
      </c>
      <c r="E21" s="80">
        <f t="shared" si="0"/>
        <v>3.5211461505453606E-3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40</v>
      </c>
      <c r="C22" s="177"/>
      <c r="D22" s="173">
        <v>667.8</v>
      </c>
      <c r="E22" s="80">
        <f t="shared" si="0"/>
        <v>7.0719440581479442E-2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92.56</v>
      </c>
      <c r="E23" s="80">
        <f t="shared" si="0"/>
        <v>9.8020236900595061E-3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60.89</v>
      </c>
      <c r="E24" s="80">
        <f t="shared" si="0"/>
        <v>6.4481981686227673E-3</v>
      </c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thickBot="1" x14ac:dyDescent="0.3">
      <c r="B25" s="178" t="s">
        <v>0</v>
      </c>
      <c r="C25" s="170"/>
      <c r="D25" s="171">
        <f>SUM(D5:D24)</f>
        <v>9442.9479999999967</v>
      </c>
      <c r="E25" s="80">
        <f t="shared" si="0"/>
        <v>1</v>
      </c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B26" s="166" t="s">
        <v>1</v>
      </c>
      <c r="C26" s="167"/>
      <c r="D26" s="233">
        <v>23254.784</v>
      </c>
      <c r="E26" s="80"/>
      <c r="G26" s="68">
        <f>+SUM(G14:G25)</f>
        <v>2547596.0290000001</v>
      </c>
      <c r="H26" s="377">
        <f>+SUM(H14:H15)</f>
        <v>373503.413</v>
      </c>
      <c r="I26" s="377">
        <f>+SUM(I14:I25)</f>
        <v>454602.3899999999</v>
      </c>
      <c r="J26" s="378"/>
      <c r="K26" s="378">
        <f>+I26/H26</f>
        <v>1.2171304844274606</v>
      </c>
    </row>
    <row r="27" spans="1:11" ht="19.5" thickBot="1" x14ac:dyDescent="0.3">
      <c r="E27" s="313">
        <f>+D26/J2</f>
        <v>0.11085108911737793</v>
      </c>
      <c r="G27" s="379" t="s">
        <v>229</v>
      </c>
      <c r="H27" s="380"/>
      <c r="I27" s="380">
        <v>2726927.1277059279</v>
      </c>
      <c r="J27" s="381">
        <f>+I26/H26</f>
        <v>1.2171304844274606</v>
      </c>
      <c r="K27" s="179"/>
    </row>
    <row r="28" spans="1:11" ht="15" customHeight="1" thickBot="1" x14ac:dyDescent="0.3">
      <c r="F28" s="179"/>
      <c r="G28" s="179"/>
      <c r="J28" s="179"/>
    </row>
    <row r="29" spans="1:11" ht="15" customHeight="1" thickBot="1" x14ac:dyDescent="0.3">
      <c r="B29" s="397" t="s">
        <v>251</v>
      </c>
      <c r="C29" s="424">
        <v>3</v>
      </c>
      <c r="D29" s="108">
        <f>+(J2/28)*C29</f>
        <v>22476.856292875149</v>
      </c>
      <c r="E29" s="314">
        <f>+D29/J2</f>
        <v>0.10714285714285714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x14ac:dyDescent="0.25">
      <c r="D30" s="183">
        <f>+D26-D29</f>
        <v>777.92770712485071</v>
      </c>
      <c r="E30" s="99">
        <f>E27-E29</f>
        <v>3.7082319745207898E-3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9839</v>
      </c>
      <c r="I32" s="88">
        <f>+H32*0.025</f>
        <v>245.97500000000002</v>
      </c>
      <c r="J32" s="224"/>
    </row>
    <row r="33" spans="1:11" x14ac:dyDescent="0.25">
      <c r="B33" s="162" t="s">
        <v>61</v>
      </c>
      <c r="C33" s="162">
        <v>465</v>
      </c>
      <c r="D33" s="108">
        <v>2142</v>
      </c>
      <c r="E33" s="57">
        <f>+C33/D33</f>
        <v>0.21708683473389356</v>
      </c>
      <c r="G33" s="86" t="s">
        <v>259</v>
      </c>
      <c r="H33" s="87">
        <f>13637-3600</f>
        <v>10037</v>
      </c>
      <c r="I33" s="88">
        <f>+H33*0.025</f>
        <v>250.92500000000001</v>
      </c>
      <c r="J33" s="224"/>
      <c r="K33" s="68"/>
    </row>
    <row r="34" spans="1:11" x14ac:dyDescent="0.25">
      <c r="B34" s="162" t="s">
        <v>62</v>
      </c>
      <c r="C34" s="162">
        <v>739</v>
      </c>
      <c r="D34" s="108">
        <v>1890</v>
      </c>
      <c r="E34" s="57">
        <f>+C34/D34</f>
        <v>0.39100529100529102</v>
      </c>
      <c r="G34" s="86" t="s">
        <v>171</v>
      </c>
      <c r="H34" s="87">
        <v>132</v>
      </c>
      <c r="I34" s="88">
        <f>+H34*0.025</f>
        <v>3.3000000000000003</v>
      </c>
      <c r="J34" s="297" t="s">
        <v>188</v>
      </c>
    </row>
    <row r="35" spans="1:11" ht="15" customHeight="1" x14ac:dyDescent="0.25">
      <c r="B35" s="162" t="s">
        <v>63</v>
      </c>
      <c r="C35" s="67">
        <v>934</v>
      </c>
      <c r="D35" s="108">
        <v>3006</v>
      </c>
      <c r="E35" s="57">
        <f>+C35/D35</f>
        <v>0.31071190951430472</v>
      </c>
      <c r="G35" s="89" t="s">
        <v>169</v>
      </c>
      <c r="H35" s="87">
        <v>32</v>
      </c>
      <c r="I35" s="88">
        <f>+H35*1.5</f>
        <v>48</v>
      </c>
      <c r="J35" s="298">
        <f>+I35+I32+I33</f>
        <v>544.90000000000009</v>
      </c>
    </row>
    <row r="36" spans="1:11" ht="15" customHeight="1" x14ac:dyDescent="0.25">
      <c r="C36" s="162">
        <f>+SUM(C33:C35)</f>
        <v>2138</v>
      </c>
      <c r="D36" s="110">
        <f>+SUM(D33:D35)</f>
        <v>7038</v>
      </c>
      <c r="E36" s="57">
        <f>+C36/D36</f>
        <v>0.3037794828076158</v>
      </c>
      <c r="G36" s="89" t="s">
        <v>168</v>
      </c>
      <c r="H36" s="87">
        <v>53</v>
      </c>
      <c r="I36" s="88">
        <f>+H36*1.5</f>
        <v>79.5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60</v>
      </c>
      <c r="C40" s="74">
        <v>5</v>
      </c>
      <c r="D40" s="74">
        <v>18</v>
      </c>
      <c r="E40" s="75">
        <f>+SUM(B40:D40)</f>
        <v>83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11.79</v>
      </c>
      <c r="C44" s="199">
        <v>2263</v>
      </c>
      <c r="D44" s="200">
        <v>3600</v>
      </c>
      <c r="E44" s="201">
        <f t="shared" si="3"/>
        <v>0.62861111111111112</v>
      </c>
      <c r="F44" s="201">
        <f t="shared" si="4"/>
        <v>0.49124999999999996</v>
      </c>
      <c r="G44" s="202">
        <v>12</v>
      </c>
      <c r="H44" s="71"/>
    </row>
    <row r="45" spans="1:11" x14ac:dyDescent="0.25">
      <c r="A45" s="207" t="s">
        <v>72</v>
      </c>
      <c r="B45" s="199">
        <v>11.21</v>
      </c>
      <c r="C45" s="199">
        <v>1779</v>
      </c>
      <c r="D45" s="200">
        <v>3900</v>
      </c>
      <c r="E45" s="201">
        <f t="shared" si="3"/>
        <v>0.45615384615384613</v>
      </c>
      <c r="F45" s="201">
        <f t="shared" si="4"/>
        <v>0.46708333333333335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10.51</v>
      </c>
      <c r="C46" s="199">
        <v>2814</v>
      </c>
      <c r="D46" s="200">
        <v>3900</v>
      </c>
      <c r="E46" s="201">
        <f t="shared" si="3"/>
        <v>0.72153846153846157</v>
      </c>
      <c r="F46" s="201">
        <f t="shared" si="4"/>
        <v>0.43791666666666668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14.21</v>
      </c>
      <c r="C47" s="199">
        <v>2397</v>
      </c>
      <c r="D47" s="200">
        <v>3900</v>
      </c>
      <c r="E47" s="201">
        <f t="shared" si="3"/>
        <v>0.61461538461538456</v>
      </c>
      <c r="F47" s="201">
        <f t="shared" si="4"/>
        <v>0.59208333333333341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>+J47*1.5</f>
        <v>199.5</v>
      </c>
    </row>
    <row r="48" spans="1:11" x14ac:dyDescent="0.25">
      <c r="A48" s="259" t="s">
        <v>75</v>
      </c>
      <c r="B48" s="260">
        <v>14.69</v>
      </c>
      <c r="C48" s="261">
        <v>3438</v>
      </c>
      <c r="D48" s="262">
        <v>4300</v>
      </c>
      <c r="E48" s="263">
        <f t="shared" si="3"/>
        <v>0.79953488372093018</v>
      </c>
      <c r="F48" s="201">
        <f t="shared" si="4"/>
        <v>0.61208333333333331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>+J48*1.5</f>
        <v>63</v>
      </c>
    </row>
    <row r="49" spans="2:11" x14ac:dyDescent="0.25">
      <c r="B49" s="113">
        <f>+SUM(B43:B48)</f>
        <v>62.41</v>
      </c>
      <c r="C49" s="71"/>
      <c r="D49" s="72"/>
      <c r="H49" s="301">
        <v>46084</v>
      </c>
      <c r="I49" s="129" t="s">
        <v>175</v>
      </c>
      <c r="J49" s="162">
        <v>60</v>
      </c>
      <c r="K49" s="318">
        <f>+J49*1.5</f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1</v>
      </c>
      <c r="H54" s="301"/>
      <c r="I54" s="129"/>
      <c r="K54" s="318"/>
    </row>
    <row r="55" spans="2:11" x14ac:dyDescent="0.25">
      <c r="C55" s="71">
        <v>5</v>
      </c>
      <c r="D55" s="108">
        <v>14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263</v>
      </c>
      <c r="I59" s="345"/>
      <c r="J59" s="199">
        <f>+SUM(J47:J58)</f>
        <v>235</v>
      </c>
      <c r="K59" s="346">
        <f>+J59*1.5</f>
        <v>352.5</v>
      </c>
    </row>
    <row r="60" spans="2:11" x14ac:dyDescent="0.25">
      <c r="B60" s="364" t="s">
        <v>231</v>
      </c>
      <c r="C60" s="199">
        <v>2849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/>
      <c r="I61" s="129"/>
      <c r="K61" s="318"/>
    </row>
    <row r="62" spans="2:11" x14ac:dyDescent="0.25">
      <c r="H62" s="301">
        <v>46082</v>
      </c>
      <c r="I62" s="129" t="s">
        <v>176</v>
      </c>
      <c r="J62" s="162">
        <v>11032</v>
      </c>
      <c r="K62" s="318">
        <f>+J62*0.025</f>
        <v>275.8</v>
      </c>
    </row>
    <row r="63" spans="2:11" x14ac:dyDescent="0.25">
      <c r="H63" s="301"/>
      <c r="I63" s="129"/>
      <c r="K63" s="318"/>
    </row>
    <row r="64" spans="2:11" x14ac:dyDescent="0.25">
      <c r="H64" s="301"/>
      <c r="I64" s="129"/>
      <c r="K64" s="318"/>
    </row>
    <row r="65" spans="2:11" x14ac:dyDescent="0.25">
      <c r="B65" s="66"/>
      <c r="C65" s="391"/>
      <c r="D65" s="391"/>
      <c r="G65" s="162" t="s">
        <v>264</v>
      </c>
      <c r="H65" s="301"/>
      <c r="I65" s="129"/>
      <c r="K65" s="318"/>
    </row>
    <row r="66" spans="2:11" x14ac:dyDescent="0.25">
      <c r="C66" s="389"/>
      <c r="G66" s="162">
        <f>+K67+K59</f>
        <v>628.29999999999995</v>
      </c>
    </row>
    <row r="67" spans="2:11" x14ac:dyDescent="0.25">
      <c r="C67" s="389"/>
      <c r="H67" s="359" t="s">
        <v>262</v>
      </c>
      <c r="I67" s="345"/>
      <c r="J67" s="200">
        <f>+SUM(J62:J66)</f>
        <v>11032</v>
      </c>
      <c r="K67" s="346">
        <f>+K62</f>
        <v>275.8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5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5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5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5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5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5"/>
        <v>264</v>
      </c>
    </row>
    <row r="79" spans="2:11" x14ac:dyDescent="0.25">
      <c r="H79" s="344"/>
      <c r="I79" s="345"/>
      <c r="J79" s="200">
        <f>+K79/1.5</f>
        <v>486.66666666666669</v>
      </c>
      <c r="K79" s="346">
        <v>730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7" workbookViewId="0">
      <selection activeCell="D29" sqref="D29"/>
    </sheetView>
  </sheetViews>
  <sheetFormatPr baseColWidth="10" defaultColWidth="11.42578125" defaultRowHeight="15.75" x14ac:dyDescent="0.25"/>
  <cols>
    <col min="1" max="1" width="2.42578125" style="162" customWidth="1"/>
    <col min="2" max="2" width="48.42578125" style="162" customWidth="1"/>
    <col min="3" max="3" width="13.28515625" style="162" customWidth="1"/>
    <col min="4" max="4" width="14.5703125" style="163" customWidth="1"/>
    <col min="5" max="5" width="17.140625" style="162" customWidth="1"/>
    <col min="6" max="6" width="11.42578125" style="162"/>
    <col min="7" max="7" width="11.85546875" style="162" bestFit="1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25"/>
      <c r="C4" s="425"/>
      <c r="D4" s="165">
        <f>D25</f>
        <v>10675.561000000002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6215</v>
      </c>
      <c r="D5" s="172">
        <v>265.53800000000001</v>
      </c>
      <c r="E5" s="80">
        <f t="shared" ref="E5:E25" si="0">+D5/$D$4</f>
        <v>2.4873446931735013E-2</v>
      </c>
      <c r="F5" s="58" t="s">
        <v>51</v>
      </c>
      <c r="G5" s="59">
        <v>46083</v>
      </c>
      <c r="H5" s="190">
        <v>6461</v>
      </c>
      <c r="I5" s="141">
        <v>8124.9999999999991</v>
      </c>
      <c r="J5" s="60">
        <f t="shared" ref="J5:J12" si="1">+I5/H5</f>
        <v>1.2575452716297786</v>
      </c>
    </row>
    <row r="6" spans="1:11" ht="15" customHeight="1" x14ac:dyDescent="0.25">
      <c r="A6" s="164"/>
      <c r="B6" s="169" t="s">
        <v>10</v>
      </c>
      <c r="C6" s="177">
        <v>21268</v>
      </c>
      <c r="D6" s="173">
        <v>906.75800000000004</v>
      </c>
      <c r="E6" s="80">
        <f t="shared" si="0"/>
        <v>8.4937737698281141E-2</v>
      </c>
      <c r="F6" s="58" t="s">
        <v>52</v>
      </c>
      <c r="G6" s="59">
        <v>46084</v>
      </c>
      <c r="H6" s="190">
        <v>9137.16</v>
      </c>
      <c r="I6" s="141">
        <v>9442.9479999999967</v>
      </c>
      <c r="J6" s="60">
        <f t="shared" si="1"/>
        <v>1.033466416260632</v>
      </c>
    </row>
    <row r="7" spans="1:11" ht="15" customHeight="1" x14ac:dyDescent="0.25">
      <c r="A7" s="164"/>
      <c r="B7" s="169" t="s">
        <v>35</v>
      </c>
      <c r="C7" s="177">
        <v>40921</v>
      </c>
      <c r="D7" s="173">
        <v>1743.12</v>
      </c>
      <c r="E7" s="245">
        <f t="shared" si="0"/>
        <v>0.16328134886775503</v>
      </c>
      <c r="F7" s="58" t="s">
        <v>53</v>
      </c>
      <c r="G7" s="59">
        <v>46085</v>
      </c>
      <c r="H7" s="190">
        <v>7516</v>
      </c>
      <c r="I7" s="141">
        <v>10675.561000000002</v>
      </c>
      <c r="J7" s="60">
        <f t="shared" si="1"/>
        <v>1.4203779936136245</v>
      </c>
    </row>
    <row r="8" spans="1:11" ht="15" customHeight="1" x14ac:dyDescent="0.25">
      <c r="A8" s="164"/>
      <c r="B8" s="169" t="s">
        <v>4</v>
      </c>
      <c r="C8" s="177">
        <v>2390</v>
      </c>
      <c r="D8" s="173">
        <v>101.97</v>
      </c>
      <c r="E8" s="80">
        <f t="shared" si="0"/>
        <v>9.5517228555951281E-3</v>
      </c>
      <c r="F8" s="58" t="s">
        <v>54</v>
      </c>
      <c r="G8" s="59">
        <v>46086</v>
      </c>
      <c r="H8" s="190">
        <v>7334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37453</v>
      </c>
      <c r="D9" s="173">
        <v>1599.864</v>
      </c>
      <c r="E9" s="245">
        <f t="shared" si="0"/>
        <v>0.14986228826756737</v>
      </c>
      <c r="F9" s="58" t="s">
        <v>55</v>
      </c>
      <c r="G9" s="59">
        <v>46087</v>
      </c>
      <c r="H9" s="190">
        <v>7505.9999999999991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56049</v>
      </c>
      <c r="D10" s="173">
        <v>2394.5100000000002</v>
      </c>
      <c r="E10" s="245">
        <f t="shared" si="0"/>
        <v>0.22429828277876918</v>
      </c>
      <c r="F10" s="58" t="s">
        <v>56</v>
      </c>
      <c r="G10" s="59">
        <v>46088</v>
      </c>
      <c r="H10" s="190">
        <v>7436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16472</v>
      </c>
      <c r="D11" s="173">
        <v>702.98800000000006</v>
      </c>
      <c r="E11" s="80">
        <f t="shared" si="0"/>
        <v>6.5850216208778165E-2</v>
      </c>
      <c r="F11" s="58" t="s">
        <v>57</v>
      </c>
      <c r="G11" s="59">
        <v>46089</v>
      </c>
      <c r="H11" s="190">
        <v>4598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186</v>
      </c>
      <c r="C12" s="177">
        <v>2480</v>
      </c>
      <c r="D12" s="173">
        <v>62.433</v>
      </c>
      <c r="E12" s="80">
        <f t="shared" si="0"/>
        <v>5.848217250596947E-3</v>
      </c>
      <c r="H12" s="139">
        <f>+SUM(H5:H11)</f>
        <v>49988.159999999996</v>
      </c>
      <c r="I12" s="142">
        <f>+SUM(I5:I11)</f>
        <v>28243.508999999998</v>
      </c>
      <c r="J12" s="140">
        <f t="shared" si="1"/>
        <v>0.56500397294079241</v>
      </c>
    </row>
    <row r="13" spans="1:11" ht="15" customHeight="1" x14ac:dyDescent="0.25">
      <c r="A13" s="164"/>
      <c r="B13" s="169" t="s">
        <v>260</v>
      </c>
      <c r="C13" s="177">
        <v>2</v>
      </c>
      <c r="D13" s="173">
        <v>3.64</v>
      </c>
      <c r="E13" s="80">
        <f t="shared" si="0"/>
        <v>3.4096568789218661E-4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44</v>
      </c>
      <c r="C14" s="177">
        <v>63</v>
      </c>
      <c r="D14" s="173">
        <v>95.22</v>
      </c>
      <c r="E14" s="80">
        <f t="shared" si="0"/>
        <v>8.9194375827181347E-3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489</v>
      </c>
      <c r="D15" s="173">
        <v>737.51</v>
      </c>
      <c r="E15" s="80">
        <f t="shared" si="0"/>
        <v>6.9083957274001795E-2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346</v>
      </c>
      <c r="D16" s="173">
        <v>522.13</v>
      </c>
      <c r="E16" s="80">
        <f t="shared" si="0"/>
        <v>4.8908905115150385E-2</v>
      </c>
      <c r="F16" s="112" t="s">
        <v>110</v>
      </c>
      <c r="G16" s="190">
        <v>199570.19199999989</v>
      </c>
      <c r="H16" s="190">
        <v>197224.22099999999</v>
      </c>
      <c r="I16" s="190">
        <f>+D26</f>
        <v>34234.525000000001</v>
      </c>
      <c r="J16" s="98">
        <f t="shared" si="2"/>
        <v>0.98824488278289624</v>
      </c>
      <c r="K16" s="98">
        <f t="shared" si="2"/>
        <v>0.17358174785235939</v>
      </c>
    </row>
    <row r="17" spans="1:11" ht="15" customHeight="1" x14ac:dyDescent="0.25">
      <c r="A17" s="164"/>
      <c r="B17" s="169" t="s">
        <v>49</v>
      </c>
      <c r="C17" s="177">
        <v>86</v>
      </c>
      <c r="D17" s="173">
        <v>130.13</v>
      </c>
      <c r="E17" s="80">
        <f t="shared" si="0"/>
        <v>1.218952334214567E-2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41</v>
      </c>
      <c r="C18" s="177">
        <v>250</v>
      </c>
      <c r="D18" s="173">
        <v>378.22</v>
      </c>
      <c r="E18" s="80">
        <f t="shared" si="0"/>
        <v>3.5428583097412862E-2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45</v>
      </c>
      <c r="C19" s="177">
        <v>23</v>
      </c>
      <c r="D19" s="173">
        <v>34.78</v>
      </c>
      <c r="E19" s="80">
        <f t="shared" si="0"/>
        <v>3.2579084134313875E-3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88</v>
      </c>
      <c r="C20" s="177"/>
      <c r="D20" s="173">
        <v>60.01</v>
      </c>
      <c r="E20" s="80">
        <f t="shared" si="0"/>
        <v>5.6212502556071747E-3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46</v>
      </c>
      <c r="C21" s="177"/>
      <c r="D21" s="173">
        <v>89.33</v>
      </c>
      <c r="E21" s="80">
        <f t="shared" si="0"/>
        <v>8.3677101372002828E-3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40</v>
      </c>
      <c r="C22" s="177"/>
      <c r="D22" s="173">
        <v>693.2</v>
      </c>
      <c r="E22" s="80">
        <f t="shared" si="0"/>
        <v>6.4933355727160372E-2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121.42</v>
      </c>
      <c r="E23" s="80">
        <f t="shared" si="0"/>
        <v>1.1373641160403652E-2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A24" s="164"/>
      <c r="B24" s="169" t="s">
        <v>265</v>
      </c>
      <c r="C24" s="177"/>
      <c r="D24" s="173">
        <v>32.79</v>
      </c>
      <c r="E24" s="80">
        <f t="shared" si="0"/>
        <v>3.0715013477980216E-3</v>
      </c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thickBot="1" x14ac:dyDescent="0.3">
      <c r="B25" s="178" t="s">
        <v>0</v>
      </c>
      <c r="C25" s="170"/>
      <c r="D25" s="171">
        <f>SUM(D5:D24)</f>
        <v>10675.561000000002</v>
      </c>
      <c r="E25" s="80">
        <f t="shared" si="0"/>
        <v>1</v>
      </c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B26" s="166" t="s">
        <v>1</v>
      </c>
      <c r="C26" s="167"/>
      <c r="D26" s="233">
        <v>34234.525000000001</v>
      </c>
      <c r="E26" s="80"/>
      <c r="G26" s="68">
        <f>+SUM(G14:G25)</f>
        <v>2547596.0290000001</v>
      </c>
      <c r="H26" s="377">
        <f>+SUM(H14:H15)</f>
        <v>373503.413</v>
      </c>
      <c r="I26" s="377">
        <f>+SUM(I14:I25)</f>
        <v>465582.13099999994</v>
      </c>
      <c r="J26" s="378"/>
      <c r="K26" s="378">
        <f>+I26/H26</f>
        <v>1.2465271127254731</v>
      </c>
    </row>
    <row r="27" spans="1:11" ht="19.5" thickBot="1" x14ac:dyDescent="0.3">
      <c r="E27" s="313">
        <f>+D26/J2</f>
        <v>0.163189405744044</v>
      </c>
      <c r="G27" s="379" t="s">
        <v>229</v>
      </c>
      <c r="H27" s="380"/>
      <c r="I27" s="380">
        <v>2726927.1277059279</v>
      </c>
      <c r="J27" s="381">
        <f>+I26/H26</f>
        <v>1.2465271127254731</v>
      </c>
      <c r="K27" s="179"/>
    </row>
    <row r="28" spans="1:11" ht="16.5" thickBot="1" x14ac:dyDescent="0.3">
      <c r="F28" s="179"/>
      <c r="G28" s="179"/>
      <c r="J28" s="179"/>
    </row>
    <row r="29" spans="1:11" ht="15" customHeight="1" thickBot="1" x14ac:dyDescent="0.3">
      <c r="B29" s="397" t="s">
        <v>251</v>
      </c>
      <c r="C29" s="426">
        <v>4</v>
      </c>
      <c r="D29" s="108">
        <f>J3*C29</f>
        <v>27068.902202172223</v>
      </c>
      <c r="E29" s="314">
        <f>+D29/J2</f>
        <v>0.12903225806451613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ht="15" customHeight="1" x14ac:dyDescent="0.25">
      <c r="D30" s="183">
        <f>+D26-D29</f>
        <v>7165.6227978277784</v>
      </c>
      <c r="E30" s="99">
        <f>E27-E29</f>
        <v>3.4157147679527877E-2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9498</v>
      </c>
      <c r="I32" s="88">
        <f>+H32*0.025</f>
        <v>237.45000000000002</v>
      </c>
      <c r="J32" s="224"/>
    </row>
    <row r="33" spans="1:11" ht="15" customHeight="1" x14ac:dyDescent="0.25">
      <c r="B33" s="162" t="s">
        <v>61</v>
      </c>
      <c r="C33" s="162">
        <v>561</v>
      </c>
      <c r="D33" s="108">
        <v>2142</v>
      </c>
      <c r="E33" s="57">
        <f>+C33/D33</f>
        <v>0.26190476190476192</v>
      </c>
      <c r="G33" s="86" t="s">
        <v>259</v>
      </c>
      <c r="H33" s="87">
        <v>5838</v>
      </c>
      <c r="I33" s="88">
        <f>+H33*0.025</f>
        <v>145.95000000000002</v>
      </c>
      <c r="J33" s="224"/>
      <c r="K33" s="68"/>
    </row>
    <row r="34" spans="1:11" x14ac:dyDescent="0.25">
      <c r="B34" s="162" t="s">
        <v>62</v>
      </c>
      <c r="C34" s="162">
        <v>1000</v>
      </c>
      <c r="D34" s="108">
        <v>1890</v>
      </c>
      <c r="E34" s="57">
        <f>+C34/D34</f>
        <v>0.52910052910052907</v>
      </c>
      <c r="G34" s="86" t="s">
        <v>171</v>
      </c>
      <c r="H34" s="87">
        <v>216</v>
      </c>
      <c r="I34" s="88">
        <f>+H34*0.025</f>
        <v>5.4</v>
      </c>
      <c r="J34" s="297" t="s">
        <v>188</v>
      </c>
    </row>
    <row r="35" spans="1:11" x14ac:dyDescent="0.25">
      <c r="B35" s="162" t="s">
        <v>63</v>
      </c>
      <c r="C35" s="67">
        <v>862</v>
      </c>
      <c r="D35" s="108">
        <v>3006</v>
      </c>
      <c r="E35" s="57">
        <f>+C35/D35</f>
        <v>0.28675981370592152</v>
      </c>
      <c r="G35" s="89" t="s">
        <v>169</v>
      </c>
      <c r="H35" s="87">
        <v>300</v>
      </c>
      <c r="I35" s="88">
        <f>+H35*1.5</f>
        <v>450</v>
      </c>
      <c r="J35" s="298">
        <f>+I35+I32+I33</f>
        <v>833.40000000000009</v>
      </c>
    </row>
    <row r="36" spans="1:11" ht="15" customHeight="1" x14ac:dyDescent="0.25">
      <c r="C36" s="162">
        <f>+SUM(C33:C35)</f>
        <v>2423</v>
      </c>
      <c r="D36" s="110">
        <f>+SUM(D33:D35)</f>
        <v>7038</v>
      </c>
      <c r="E36" s="57">
        <f>+C36/D36</f>
        <v>0.34427394146064222</v>
      </c>
      <c r="G36" s="89" t="s">
        <v>168</v>
      </c>
      <c r="H36" s="87">
        <v>7</v>
      </c>
      <c r="I36" s="88">
        <f>+H36*1.5</f>
        <v>10.5</v>
      </c>
      <c r="J36" s="228" t="s">
        <v>193</v>
      </c>
    </row>
    <row r="37" spans="1:11" ht="15" customHeight="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34</v>
      </c>
      <c r="C40" s="74">
        <v>5</v>
      </c>
      <c r="D40" s="74">
        <v>10</v>
      </c>
      <c r="E40" s="75">
        <f>+SUM(B40:D40)</f>
        <v>49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8.49</v>
      </c>
      <c r="C44" s="199">
        <v>2188</v>
      </c>
      <c r="D44" s="200">
        <v>3600</v>
      </c>
      <c r="E44" s="201">
        <f t="shared" si="3"/>
        <v>0.60777777777777775</v>
      </c>
      <c r="F44" s="201">
        <f t="shared" si="4"/>
        <v>0.35375000000000001</v>
      </c>
      <c r="G44" s="202">
        <v>12</v>
      </c>
      <c r="H44" s="71"/>
    </row>
    <row r="45" spans="1:11" x14ac:dyDescent="0.25">
      <c r="A45" s="207" t="s">
        <v>72</v>
      </c>
      <c r="B45" s="199">
        <v>11.57</v>
      </c>
      <c r="C45" s="199">
        <v>1706</v>
      </c>
      <c r="D45" s="200">
        <v>3900</v>
      </c>
      <c r="E45" s="201">
        <f t="shared" si="3"/>
        <v>0.43743589743589745</v>
      </c>
      <c r="F45" s="201">
        <f t="shared" si="4"/>
        <v>0.48208333333333336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15.05</v>
      </c>
      <c r="C46" s="199">
        <v>3242</v>
      </c>
      <c r="D46" s="200">
        <v>3900</v>
      </c>
      <c r="E46" s="201">
        <f t="shared" si="3"/>
        <v>0.83128205128205124</v>
      </c>
      <c r="F46" s="201">
        <f t="shared" si="4"/>
        <v>0.62708333333333333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17.739999999999998</v>
      </c>
      <c r="C47" s="199">
        <v>2439</v>
      </c>
      <c r="D47" s="200">
        <v>3900</v>
      </c>
      <c r="E47" s="201">
        <f t="shared" si="3"/>
        <v>0.62538461538461543</v>
      </c>
      <c r="F47" s="201">
        <f t="shared" si="4"/>
        <v>0.73916666666666664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>+J47*1.5</f>
        <v>199.5</v>
      </c>
    </row>
    <row r="48" spans="1:11" x14ac:dyDescent="0.25">
      <c r="A48" s="259" t="s">
        <v>75</v>
      </c>
      <c r="B48" s="260">
        <v>12.32</v>
      </c>
      <c r="C48" s="261">
        <v>2593</v>
      </c>
      <c r="D48" s="262">
        <v>4300</v>
      </c>
      <c r="E48" s="263">
        <f t="shared" si="3"/>
        <v>0.60302325581395344</v>
      </c>
      <c r="F48" s="201">
        <f t="shared" si="4"/>
        <v>0.51333333333333331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>+J48*1.5</f>
        <v>63</v>
      </c>
    </row>
    <row r="49" spans="2:11" x14ac:dyDescent="0.25">
      <c r="B49" s="113">
        <f>+SUM(B43:B48)</f>
        <v>65.169999999999987</v>
      </c>
      <c r="C49" s="71"/>
      <c r="D49" s="72"/>
      <c r="H49" s="301">
        <v>46085</v>
      </c>
      <c r="I49" s="129" t="s">
        <v>175</v>
      </c>
      <c r="J49" s="162">
        <v>60</v>
      </c>
      <c r="K49" s="318">
        <f>+J49*1.5</f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>+J50*1.5</f>
        <v>156</v>
      </c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1</v>
      </c>
      <c r="H54" s="301"/>
      <c r="I54" s="129"/>
      <c r="K54" s="318"/>
    </row>
    <row r="55" spans="2:11" x14ac:dyDescent="0.25">
      <c r="C55" s="71">
        <v>5</v>
      </c>
      <c r="D55" s="108">
        <v>9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263</v>
      </c>
      <c r="I59" s="345"/>
      <c r="J59" s="199">
        <f>+SUM(J47:J58)</f>
        <v>339</v>
      </c>
      <c r="K59" s="346">
        <f>+J59*1.5</f>
        <v>508.5</v>
      </c>
    </row>
    <row r="60" spans="2:11" x14ac:dyDescent="0.25">
      <c r="B60" s="364" t="s">
        <v>231</v>
      </c>
      <c r="C60" s="199">
        <v>2858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/>
      <c r="I61" s="129"/>
      <c r="K61" s="318"/>
    </row>
    <row r="62" spans="2:11" x14ac:dyDescent="0.25">
      <c r="H62" s="301">
        <v>46082</v>
      </c>
      <c r="I62" s="129" t="s">
        <v>176</v>
      </c>
      <c r="J62" s="162">
        <v>11032</v>
      </c>
      <c r="K62" s="318">
        <f>+J62*0.025</f>
        <v>275.8</v>
      </c>
    </row>
    <row r="63" spans="2:11" x14ac:dyDescent="0.25">
      <c r="H63" s="301"/>
      <c r="I63" s="129"/>
      <c r="K63" s="318"/>
    </row>
    <row r="64" spans="2:11" x14ac:dyDescent="0.25">
      <c r="H64" s="301"/>
      <c r="I64" s="129"/>
      <c r="K64" s="318"/>
    </row>
    <row r="65" spans="2:11" x14ac:dyDescent="0.25">
      <c r="B65" s="66"/>
      <c r="C65" s="391"/>
      <c r="D65" s="391"/>
      <c r="F65" s="162" t="s">
        <v>266</v>
      </c>
      <c r="G65" s="162" t="s">
        <v>267</v>
      </c>
      <c r="H65" s="301"/>
      <c r="I65" s="129"/>
      <c r="K65" s="318"/>
    </row>
    <row r="66" spans="2:11" x14ac:dyDescent="0.25">
      <c r="C66" s="389"/>
      <c r="G66" s="162">
        <f>+K67+K59</f>
        <v>784.3</v>
      </c>
    </row>
    <row r="67" spans="2:11" x14ac:dyDescent="0.25">
      <c r="C67" s="389"/>
      <c r="H67" s="359" t="s">
        <v>262</v>
      </c>
      <c r="I67" s="345"/>
      <c r="J67" s="200">
        <f>+SUM(J62:J66)</f>
        <v>11032</v>
      </c>
      <c r="K67" s="346">
        <f>+K62</f>
        <v>275.8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5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5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5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5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5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5"/>
        <v>264</v>
      </c>
    </row>
    <row r="79" spans="2:11" x14ac:dyDescent="0.25">
      <c r="H79" s="344"/>
      <c r="I79" s="345"/>
      <c r="J79" s="200">
        <f>+K79/1.5</f>
        <v>486.66666666666669</v>
      </c>
      <c r="K79" s="346">
        <v>730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C55" workbookViewId="0">
      <selection activeCell="A28" sqref="A28:K79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4.5703125" style="162" customWidth="1"/>
    <col min="6" max="6" width="14.85546875" style="162" customWidth="1"/>
    <col min="7" max="7" width="16" style="162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27"/>
      <c r="C4" s="427"/>
      <c r="D4" s="165">
        <f>D23</f>
        <v>8436.5320000000011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1520</v>
      </c>
      <c r="D5" s="172">
        <v>64.84</v>
      </c>
      <c r="E5" s="80">
        <f t="shared" ref="E5:E23" si="0">+D5/$D$4</f>
        <v>7.6856224808961784E-3</v>
      </c>
      <c r="F5" s="58" t="s">
        <v>51</v>
      </c>
      <c r="G5" s="59">
        <v>46083</v>
      </c>
      <c r="H5" s="190">
        <v>6461</v>
      </c>
      <c r="I5" s="141">
        <v>8124.9999999999991</v>
      </c>
      <c r="J5" s="60">
        <f t="shared" ref="J5:J12" si="1">+I5/H5</f>
        <v>1.2575452716297786</v>
      </c>
    </row>
    <row r="6" spans="1:11" ht="15" customHeight="1" x14ac:dyDescent="0.25">
      <c r="A6" s="164"/>
      <c r="B6" s="169" t="s">
        <v>10</v>
      </c>
      <c r="C6" s="177">
        <v>5515</v>
      </c>
      <c r="D6" s="173">
        <v>234.93199999999999</v>
      </c>
      <c r="E6" s="80">
        <f t="shared" si="0"/>
        <v>2.7846987364002169E-2</v>
      </c>
      <c r="F6" s="58" t="s">
        <v>52</v>
      </c>
      <c r="G6" s="59">
        <v>46084</v>
      </c>
      <c r="H6" s="190">
        <v>9137.16</v>
      </c>
      <c r="I6" s="141">
        <v>9442.9479999999967</v>
      </c>
      <c r="J6" s="60">
        <f t="shared" si="1"/>
        <v>1.033466416260632</v>
      </c>
    </row>
    <row r="7" spans="1:11" ht="15" customHeight="1" x14ac:dyDescent="0.25">
      <c r="A7" s="164"/>
      <c r="B7" s="169" t="s">
        <v>35</v>
      </c>
      <c r="C7" s="177">
        <v>34017</v>
      </c>
      <c r="D7" s="173">
        <v>1448.57</v>
      </c>
      <c r="E7" s="245">
        <f t="shared" si="0"/>
        <v>0.17170206904922541</v>
      </c>
      <c r="F7" s="58" t="s">
        <v>53</v>
      </c>
      <c r="G7" s="59">
        <v>46085</v>
      </c>
      <c r="H7" s="190">
        <v>7516</v>
      </c>
      <c r="I7" s="141">
        <v>10675.561000000002</v>
      </c>
      <c r="J7" s="60">
        <f t="shared" si="1"/>
        <v>1.4203779936136245</v>
      </c>
    </row>
    <row r="8" spans="1:11" ht="15" customHeight="1" x14ac:dyDescent="0.25">
      <c r="A8" s="164"/>
      <c r="B8" s="169" t="s">
        <v>4</v>
      </c>
      <c r="C8" s="177"/>
      <c r="D8" s="173"/>
      <c r="E8" s="80">
        <f t="shared" si="0"/>
        <v>0</v>
      </c>
      <c r="F8" s="58" t="s">
        <v>54</v>
      </c>
      <c r="G8" s="59">
        <v>46086</v>
      </c>
      <c r="H8" s="190">
        <v>7334</v>
      </c>
      <c r="I8" s="141">
        <v>8436.5320000000011</v>
      </c>
      <c r="J8" s="60">
        <f t="shared" si="1"/>
        <v>1.1503316062176168</v>
      </c>
    </row>
    <row r="9" spans="1:11" ht="15" customHeight="1" x14ac:dyDescent="0.25">
      <c r="A9" s="164"/>
      <c r="B9" s="169" t="s">
        <v>37</v>
      </c>
      <c r="C9" s="177">
        <v>32794</v>
      </c>
      <c r="D9" s="173">
        <v>1400.2719999999999</v>
      </c>
      <c r="E9" s="245">
        <f t="shared" si="0"/>
        <v>0.1659772048514721</v>
      </c>
      <c r="F9" s="58" t="s">
        <v>55</v>
      </c>
      <c r="G9" s="59">
        <v>46087</v>
      </c>
      <c r="H9" s="190">
        <v>7505.9999999999991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45389</v>
      </c>
      <c r="D10" s="173">
        <v>1937.72</v>
      </c>
      <c r="E10" s="245">
        <f t="shared" si="0"/>
        <v>0.2296820541900392</v>
      </c>
      <c r="F10" s="58" t="s">
        <v>56</v>
      </c>
      <c r="G10" s="59">
        <v>46088</v>
      </c>
      <c r="H10" s="190">
        <v>7436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18693</v>
      </c>
      <c r="D11" s="173">
        <v>798.428</v>
      </c>
      <c r="E11" s="80">
        <f t="shared" si="0"/>
        <v>9.4639361292056967E-2</v>
      </c>
      <c r="F11" s="58" t="s">
        <v>57</v>
      </c>
      <c r="G11" s="59">
        <v>46089</v>
      </c>
      <c r="H11" s="190">
        <v>4598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44</v>
      </c>
      <c r="C12" s="177"/>
      <c r="D12" s="173"/>
      <c r="E12" s="80">
        <f t="shared" si="0"/>
        <v>0</v>
      </c>
      <c r="H12" s="139">
        <f>+SUM(H5:H11)</f>
        <v>49988.159999999996</v>
      </c>
      <c r="I12" s="142">
        <f>+SUM(I5:I11)</f>
        <v>36680.040999999997</v>
      </c>
      <c r="J12" s="140">
        <f t="shared" si="1"/>
        <v>0.73377457782002775</v>
      </c>
    </row>
    <row r="13" spans="1:11" ht="15" customHeight="1" x14ac:dyDescent="0.25">
      <c r="A13" s="164"/>
      <c r="B13" s="169" t="s">
        <v>39</v>
      </c>
      <c r="C13" s="177">
        <v>409</v>
      </c>
      <c r="D13" s="173">
        <v>617.15</v>
      </c>
      <c r="E13" s="80">
        <f t="shared" si="0"/>
        <v>7.3152096145667422E-2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43</v>
      </c>
      <c r="C14" s="177">
        <v>411</v>
      </c>
      <c r="D14" s="173">
        <v>620.22</v>
      </c>
      <c r="E14" s="80">
        <f t="shared" si="0"/>
        <v>7.3515989745549473E-2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49</v>
      </c>
      <c r="C15" s="177">
        <v>43</v>
      </c>
      <c r="D15" s="173">
        <v>64.900000000000006</v>
      </c>
      <c r="E15" s="80">
        <f t="shared" si="0"/>
        <v>7.6927344079297036E-3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41</v>
      </c>
      <c r="C16" s="177">
        <v>133</v>
      </c>
      <c r="D16" s="173">
        <v>200.92</v>
      </c>
      <c r="E16" s="80">
        <f t="shared" si="0"/>
        <v>2.3815472992931214E-2</v>
      </c>
      <c r="F16" s="112" t="s">
        <v>110</v>
      </c>
      <c r="G16" s="190">
        <v>199570.19199999989</v>
      </c>
      <c r="H16" s="190">
        <v>197224.22099999999</v>
      </c>
      <c r="I16" s="190">
        <f>+D24</f>
        <v>42701.756999999998</v>
      </c>
      <c r="J16" s="98">
        <f t="shared" si="2"/>
        <v>0.98824488278289624</v>
      </c>
      <c r="K16" s="98">
        <f t="shared" si="2"/>
        <v>0.21651375669522863</v>
      </c>
    </row>
    <row r="17" spans="1:11" ht="15" customHeight="1" x14ac:dyDescent="0.25">
      <c r="A17" s="164"/>
      <c r="B17" s="169" t="s">
        <v>45</v>
      </c>
      <c r="C17" s="177">
        <v>92</v>
      </c>
      <c r="D17" s="173">
        <v>138.88999999999999</v>
      </c>
      <c r="E17" s="80">
        <f t="shared" si="0"/>
        <v>1.6462925761438464E-2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88</v>
      </c>
      <c r="C18" s="177"/>
      <c r="D18" s="173">
        <v>60.13</v>
      </c>
      <c r="E18" s="80">
        <f t="shared" si="0"/>
        <v>7.1273362087644534E-3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46</v>
      </c>
      <c r="C19" s="177"/>
      <c r="D19" s="173">
        <v>88.53</v>
      </c>
      <c r="E19" s="80">
        <f t="shared" si="0"/>
        <v>1.0493648337966358E-2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545.80999999999995</v>
      </c>
      <c r="E20" s="80">
        <f t="shared" si="0"/>
        <v>6.4696014902806021E-2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9</v>
      </c>
      <c r="C21" s="177"/>
      <c r="D21" s="173">
        <v>183.04</v>
      </c>
      <c r="E21" s="80">
        <f t="shared" si="0"/>
        <v>2.1696118736940721E-2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thickBot="1" x14ac:dyDescent="0.3">
      <c r="A22" s="164"/>
      <c r="B22" s="169" t="s">
        <v>265</v>
      </c>
      <c r="C22" s="177"/>
      <c r="D22" s="173">
        <v>32.18</v>
      </c>
      <c r="E22" s="80">
        <f t="shared" si="0"/>
        <v>3.8143635323139883E-3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B23" s="178" t="s">
        <v>0</v>
      </c>
      <c r="C23" s="170"/>
      <c r="D23" s="171">
        <f>SUM(D5:D22)</f>
        <v>8436.5320000000011</v>
      </c>
      <c r="E23" s="80">
        <f t="shared" si="0"/>
        <v>1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B24" s="166" t="s">
        <v>1</v>
      </c>
      <c r="C24" s="167"/>
      <c r="D24" s="233">
        <v>42701.756999999998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+SUM(H14:H15)</f>
        <v>373503.413</v>
      </c>
      <c r="I26" s="377">
        <f>+SUM(I14:I25)</f>
        <v>474049.3629999999</v>
      </c>
      <c r="J26" s="378"/>
      <c r="K26" s="378">
        <f>+I26/H26</f>
        <v>1.2691968707659438</v>
      </c>
    </row>
    <row r="27" spans="1:11" ht="15" customHeight="1" thickBot="1" x14ac:dyDescent="0.3">
      <c r="E27" s="313">
        <f>+D24/J2</f>
        <v>0.20355107450903936</v>
      </c>
      <c r="G27" s="379" t="s">
        <v>229</v>
      </c>
      <c r="H27" s="380"/>
      <c r="I27" s="380">
        <v>2726927.1277059279</v>
      </c>
      <c r="J27" s="381">
        <f>+I26/H26</f>
        <v>1.2691968707659438</v>
      </c>
      <c r="K27" s="179"/>
    </row>
    <row r="28" spans="1:11" ht="15" customHeight="1" thickBot="1" x14ac:dyDescent="0.3">
      <c r="F28" s="179"/>
      <c r="G28" s="179"/>
      <c r="J28" s="179"/>
    </row>
    <row r="29" spans="1:11" ht="16.5" thickBot="1" x14ac:dyDescent="0.3">
      <c r="B29" s="397" t="s">
        <v>251</v>
      </c>
      <c r="C29" s="428">
        <v>5</v>
      </c>
      <c r="D29" s="108">
        <f>J3*C29</f>
        <v>33836.127752715278</v>
      </c>
      <c r="E29" s="314">
        <f>+D29/J2</f>
        <v>0.16129032258064516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x14ac:dyDescent="0.25">
      <c r="D30" s="183">
        <f>+D24-D29</f>
        <v>8865.6292472847199</v>
      </c>
      <c r="E30" s="99">
        <f>E27-E29</f>
        <v>4.2260751928394208E-2</v>
      </c>
    </row>
    <row r="31" spans="1:11" ht="15" customHeight="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9498</v>
      </c>
      <c r="I32" s="88">
        <f>+H32*0.025</f>
        <v>237.45000000000002</v>
      </c>
      <c r="J32" s="224"/>
    </row>
    <row r="33" spans="1:11" x14ac:dyDescent="0.25">
      <c r="B33" s="162" t="s">
        <v>61</v>
      </c>
      <c r="C33" s="162">
        <v>582</v>
      </c>
      <c r="D33" s="108">
        <v>2142</v>
      </c>
      <c r="E33" s="57">
        <f>+C33/D33</f>
        <v>0.27170868347338933</v>
      </c>
      <c r="G33" s="86" t="s">
        <v>259</v>
      </c>
      <c r="H33" s="87">
        <v>5838</v>
      </c>
      <c r="I33" s="88">
        <f>+H33*0.025</f>
        <v>145.95000000000002</v>
      </c>
      <c r="J33" s="224"/>
      <c r="K33" s="68"/>
    </row>
    <row r="34" spans="1:11" ht="15" customHeight="1" x14ac:dyDescent="0.25">
      <c r="B34" s="162" t="s">
        <v>62</v>
      </c>
      <c r="C34" s="162">
        <v>920</v>
      </c>
      <c r="D34" s="108">
        <v>1890</v>
      </c>
      <c r="E34" s="57">
        <f>+C34/D34</f>
        <v>0.48677248677248675</v>
      </c>
      <c r="G34" s="86" t="s">
        <v>171</v>
      </c>
      <c r="H34" s="87">
        <v>216</v>
      </c>
      <c r="I34" s="88">
        <f>+H34*0.025</f>
        <v>5.4</v>
      </c>
      <c r="J34" s="297" t="s">
        <v>188</v>
      </c>
    </row>
    <row r="35" spans="1:11" ht="15" customHeight="1" x14ac:dyDescent="0.25">
      <c r="B35" s="162" t="s">
        <v>63</v>
      </c>
      <c r="C35" s="67">
        <v>1050</v>
      </c>
      <c r="D35" s="108">
        <v>3006</v>
      </c>
      <c r="E35" s="57">
        <f>+C35/D35</f>
        <v>0.34930139720558884</v>
      </c>
      <c r="G35" s="89" t="s">
        <v>169</v>
      </c>
      <c r="H35" s="87">
        <v>237</v>
      </c>
      <c r="I35" s="88">
        <f>+H35*1.5</f>
        <v>355.5</v>
      </c>
      <c r="J35" s="298">
        <f>+I35+I32+I33</f>
        <v>738.90000000000009</v>
      </c>
    </row>
    <row r="36" spans="1:11" x14ac:dyDescent="0.25">
      <c r="C36" s="162">
        <f>+SUM(C33:C35)</f>
        <v>2552</v>
      </c>
      <c r="D36" s="110">
        <f>+SUM(D33:D35)</f>
        <v>7038</v>
      </c>
      <c r="E36" s="57">
        <f>+C36/D36</f>
        <v>0.36260301221938052</v>
      </c>
      <c r="G36" s="89" t="s">
        <v>168</v>
      </c>
      <c r="H36" s="87">
        <v>7</v>
      </c>
      <c r="I36" s="88">
        <f>+H36*1.5</f>
        <v>10.5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68</v>
      </c>
      <c r="C40" s="74">
        <v>5</v>
      </c>
      <c r="D40" s="74">
        <v>27</v>
      </c>
      <c r="E40" s="75">
        <f>+SUM(B40:D40)</f>
        <v>100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7.16</v>
      </c>
      <c r="C44" s="199">
        <v>2598</v>
      </c>
      <c r="D44" s="200">
        <v>3600</v>
      </c>
      <c r="E44" s="201">
        <f t="shared" si="3"/>
        <v>0.72166666666666668</v>
      </c>
      <c r="F44" s="201">
        <f t="shared" si="4"/>
        <v>0.29833333333333334</v>
      </c>
      <c r="G44" s="202">
        <v>12</v>
      </c>
      <c r="H44" s="71"/>
    </row>
    <row r="45" spans="1:11" x14ac:dyDescent="0.25">
      <c r="A45" s="207" t="s">
        <v>72</v>
      </c>
      <c r="B45" s="199">
        <v>9.66</v>
      </c>
      <c r="C45" s="199">
        <v>1739</v>
      </c>
      <c r="D45" s="200">
        <v>3900</v>
      </c>
      <c r="E45" s="201">
        <f t="shared" si="3"/>
        <v>0.44589743589743591</v>
      </c>
      <c r="F45" s="201">
        <f t="shared" si="4"/>
        <v>0.40250000000000002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13.53</v>
      </c>
      <c r="C46" s="199">
        <v>2869</v>
      </c>
      <c r="D46" s="200">
        <v>3900</v>
      </c>
      <c r="E46" s="201">
        <f t="shared" si="3"/>
        <v>0.73564102564102563</v>
      </c>
      <c r="F46" s="201">
        <f t="shared" si="4"/>
        <v>0.56374999999999997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14.97</v>
      </c>
      <c r="C47" s="199">
        <v>1778</v>
      </c>
      <c r="D47" s="200">
        <v>3900</v>
      </c>
      <c r="E47" s="201">
        <f t="shared" si="3"/>
        <v>0.45589743589743592</v>
      </c>
      <c r="F47" s="201">
        <f t="shared" si="4"/>
        <v>0.62375000000000003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>+J47*1.5</f>
        <v>199.5</v>
      </c>
    </row>
    <row r="48" spans="1:11" x14ac:dyDescent="0.25">
      <c r="A48" s="259" t="s">
        <v>75</v>
      </c>
      <c r="B48" s="260">
        <v>11.35</v>
      </c>
      <c r="C48" s="261">
        <v>2707</v>
      </c>
      <c r="D48" s="262">
        <v>4300</v>
      </c>
      <c r="E48" s="263">
        <f t="shared" si="3"/>
        <v>0.62953488372093025</v>
      </c>
      <c r="F48" s="201">
        <f t="shared" si="4"/>
        <v>0.47291666666666665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>+J48*1.5</f>
        <v>63</v>
      </c>
    </row>
    <row r="49" spans="2:11" x14ac:dyDescent="0.25">
      <c r="B49" s="113">
        <f>+SUM(B43:B48)</f>
        <v>56.67</v>
      </c>
      <c r="C49" s="71"/>
      <c r="D49" s="72"/>
      <c r="H49" s="301">
        <v>46085</v>
      </c>
      <c r="I49" s="129" t="s">
        <v>175</v>
      </c>
      <c r="J49" s="162">
        <v>60</v>
      </c>
      <c r="K49" s="318">
        <f>+J49*1.5</f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>+J50*1.5</f>
        <v>156</v>
      </c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7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</row>
    <row r="58" spans="2:11" x14ac:dyDescent="0.25">
      <c r="C58" s="71">
        <v>8</v>
      </c>
      <c r="D58" s="108">
        <v>2</v>
      </c>
    </row>
    <row r="59" spans="2:11" x14ac:dyDescent="0.25">
      <c r="H59" s="359" t="s">
        <v>263</v>
      </c>
      <c r="I59" s="345"/>
      <c r="J59" s="199">
        <f>+SUM(J47:J58)</f>
        <v>339</v>
      </c>
      <c r="K59" s="346">
        <f>+J59*1.5</f>
        <v>508.5</v>
      </c>
    </row>
    <row r="60" spans="2:11" x14ac:dyDescent="0.25">
      <c r="B60" s="364" t="s">
        <v>231</v>
      </c>
      <c r="C60" s="199">
        <v>2076</v>
      </c>
      <c r="D60" s="384" t="s">
        <v>92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H61" s="301"/>
      <c r="I61" s="129"/>
      <c r="K61" s="318"/>
    </row>
    <row r="62" spans="2:11" x14ac:dyDescent="0.25">
      <c r="H62" s="301">
        <v>46082</v>
      </c>
      <c r="I62" s="129" t="s">
        <v>176</v>
      </c>
      <c r="J62" s="162">
        <v>11032</v>
      </c>
      <c r="K62" s="318">
        <f>+J62*0.025</f>
        <v>275.8</v>
      </c>
    </row>
    <row r="63" spans="2:11" x14ac:dyDescent="0.25">
      <c r="H63" s="301"/>
      <c r="I63" s="129"/>
      <c r="K63" s="318"/>
    </row>
    <row r="64" spans="2:11" x14ac:dyDescent="0.25">
      <c r="B64" s="162" t="s">
        <v>268</v>
      </c>
      <c r="H64" s="301"/>
      <c r="I64" s="129"/>
      <c r="K64" s="318"/>
    </row>
    <row r="65" spans="2:11" x14ac:dyDescent="0.25">
      <c r="B65" s="66"/>
      <c r="C65" s="391"/>
      <c r="D65" s="391"/>
      <c r="F65" s="162" t="s">
        <v>266</v>
      </c>
      <c r="G65" s="162" t="s">
        <v>267</v>
      </c>
      <c r="H65" s="301"/>
      <c r="I65" s="129"/>
      <c r="K65" s="318"/>
    </row>
    <row r="66" spans="2:11" x14ac:dyDescent="0.25">
      <c r="C66" s="389"/>
      <c r="F66" s="162">
        <v>1230</v>
      </c>
      <c r="G66" s="162">
        <f>+K67+K59</f>
        <v>784.3</v>
      </c>
    </row>
    <row r="67" spans="2:11" x14ac:dyDescent="0.25">
      <c r="C67" s="389"/>
      <c r="F67" s="93">
        <f>+G66/F66</f>
        <v>0.63764227642276416</v>
      </c>
      <c r="H67" s="359" t="s">
        <v>262</v>
      </c>
      <c r="I67" s="345"/>
      <c r="J67" s="200">
        <f>+SUM(J62:J66)</f>
        <v>11032</v>
      </c>
      <c r="K67" s="346">
        <f>+K62</f>
        <v>275.8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162" t="s">
        <v>157</v>
      </c>
      <c r="K71" s="215" t="s">
        <v>92</v>
      </c>
    </row>
    <row r="72" spans="2:11" x14ac:dyDescent="0.25">
      <c r="H72" s="301">
        <v>46032</v>
      </c>
      <c r="I72" s="129" t="s">
        <v>175</v>
      </c>
      <c r="J72" s="68">
        <v>22</v>
      </c>
      <c r="K72" s="318">
        <f t="shared" ref="K72:K77" si="5">+J72*1.5</f>
        <v>33</v>
      </c>
    </row>
    <row r="73" spans="2:11" x14ac:dyDescent="0.25">
      <c r="B73" s="162" t="s">
        <v>254</v>
      </c>
      <c r="C73" s="389">
        <v>0.8</v>
      </c>
      <c r="H73" s="301">
        <v>46032</v>
      </c>
      <c r="I73" s="129" t="s">
        <v>176</v>
      </c>
      <c r="J73" s="68">
        <v>166</v>
      </c>
      <c r="K73" s="318">
        <f t="shared" si="5"/>
        <v>249</v>
      </c>
    </row>
    <row r="74" spans="2:11" x14ac:dyDescent="0.25">
      <c r="H74" s="301">
        <v>46033</v>
      </c>
      <c r="I74" s="129" t="s">
        <v>175</v>
      </c>
      <c r="J74" s="68">
        <v>210</v>
      </c>
      <c r="K74" s="318">
        <f t="shared" si="5"/>
        <v>315</v>
      </c>
    </row>
    <row r="75" spans="2:11" x14ac:dyDescent="0.25">
      <c r="H75" s="301">
        <v>46033</v>
      </c>
      <c r="I75" s="129" t="s">
        <v>176</v>
      </c>
      <c r="J75" s="162">
        <v>121</v>
      </c>
      <c r="K75" s="318">
        <f t="shared" si="5"/>
        <v>181.5</v>
      </c>
    </row>
    <row r="76" spans="2:11" x14ac:dyDescent="0.25">
      <c r="H76" s="301">
        <v>46047</v>
      </c>
      <c r="I76" s="129" t="s">
        <v>175</v>
      </c>
      <c r="J76" s="68">
        <v>139</v>
      </c>
      <c r="K76" s="318">
        <f t="shared" si="5"/>
        <v>208.5</v>
      </c>
    </row>
    <row r="77" spans="2:11" x14ac:dyDescent="0.25">
      <c r="H77" s="301">
        <v>46047</v>
      </c>
      <c r="I77" s="129" t="s">
        <v>176</v>
      </c>
      <c r="J77" s="162">
        <v>176</v>
      </c>
      <c r="K77" s="318">
        <f t="shared" si="5"/>
        <v>264</v>
      </c>
    </row>
    <row r="79" spans="2:11" x14ac:dyDescent="0.25">
      <c r="H79" s="344"/>
      <c r="I79" s="345"/>
      <c r="J79" s="200">
        <f>+K79/1.5</f>
        <v>486.66666666666669</v>
      </c>
      <c r="K79" s="346">
        <v>730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54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44.42578125" style="162" customWidth="1"/>
    <col min="3" max="3" width="11.42578125" style="162" customWidth="1"/>
    <col min="4" max="4" width="14.5703125" style="163" customWidth="1"/>
    <col min="5" max="6" width="14" style="162" customWidth="1"/>
    <col min="7" max="7" width="15.28515625" style="162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29"/>
      <c r="C4" s="429"/>
      <c r="D4" s="165">
        <f>D24</f>
        <v>4278.5810000000001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/>
      <c r="D5" s="172"/>
      <c r="E5" s="80">
        <f t="shared" ref="E5:E23" si="0">+D5/$D$4</f>
        <v>0</v>
      </c>
      <c r="F5" s="58" t="s">
        <v>51</v>
      </c>
      <c r="G5" s="59">
        <v>46083</v>
      </c>
      <c r="H5" s="190">
        <v>6461</v>
      </c>
      <c r="I5" s="141">
        <v>8124.9999999999991</v>
      </c>
      <c r="J5" s="60">
        <f t="shared" ref="J5:J12" si="1">+I5/H5</f>
        <v>1.2575452716297786</v>
      </c>
    </row>
    <row r="6" spans="1:11" ht="15" customHeight="1" x14ac:dyDescent="0.25">
      <c r="A6" s="164"/>
      <c r="B6" s="169" t="s">
        <v>10</v>
      </c>
      <c r="C6" s="177">
        <v>6925</v>
      </c>
      <c r="D6" s="173">
        <v>295.16199999999998</v>
      </c>
      <c r="E6" s="80">
        <f t="shared" si="0"/>
        <v>6.8985955857794906E-2</v>
      </c>
      <c r="F6" s="58" t="s">
        <v>52</v>
      </c>
      <c r="G6" s="59">
        <v>46084</v>
      </c>
      <c r="H6" s="190">
        <v>9137.16</v>
      </c>
      <c r="I6" s="141">
        <v>9442.9479999999967</v>
      </c>
      <c r="J6" s="60">
        <f t="shared" si="1"/>
        <v>1.033466416260632</v>
      </c>
    </row>
    <row r="7" spans="1:11" ht="15" customHeight="1" x14ac:dyDescent="0.25">
      <c r="A7" s="164"/>
      <c r="B7" s="169" t="s">
        <v>35</v>
      </c>
      <c r="C7" s="177">
        <v>23395</v>
      </c>
      <c r="D7" s="173">
        <v>997.65200000000004</v>
      </c>
      <c r="E7" s="245">
        <f t="shared" si="0"/>
        <v>0.23317356852657459</v>
      </c>
      <c r="F7" s="58" t="s">
        <v>53</v>
      </c>
      <c r="G7" s="59">
        <v>46085</v>
      </c>
      <c r="H7" s="190">
        <v>7516</v>
      </c>
      <c r="I7" s="141">
        <v>10675.561000000002</v>
      </c>
      <c r="J7" s="60">
        <f t="shared" si="1"/>
        <v>1.4203779936136245</v>
      </c>
    </row>
    <row r="8" spans="1:11" ht="15" customHeight="1" x14ac:dyDescent="0.25">
      <c r="A8" s="164"/>
      <c r="B8" s="169" t="s">
        <v>4</v>
      </c>
      <c r="C8" s="177">
        <v>2985</v>
      </c>
      <c r="D8" s="173">
        <v>127.36</v>
      </c>
      <c r="E8" s="80">
        <f t="shared" si="0"/>
        <v>2.9766878317834814E-2</v>
      </c>
      <c r="F8" s="58" t="s">
        <v>54</v>
      </c>
      <c r="G8" s="59">
        <v>46086</v>
      </c>
      <c r="H8" s="190">
        <v>7334</v>
      </c>
      <c r="I8" s="141">
        <v>8436.5320000000011</v>
      </c>
      <c r="J8" s="60">
        <f t="shared" si="1"/>
        <v>1.1503316062176168</v>
      </c>
    </row>
    <row r="9" spans="1:11" ht="15" customHeight="1" x14ac:dyDescent="0.25">
      <c r="A9" s="164"/>
      <c r="B9" s="169" t="s">
        <v>37</v>
      </c>
      <c r="C9" s="177">
        <v>20102</v>
      </c>
      <c r="D9" s="173">
        <v>858.577</v>
      </c>
      <c r="E9" s="245">
        <f t="shared" si="0"/>
        <v>0.20066863289487799</v>
      </c>
      <c r="F9" s="58" t="s">
        <v>55</v>
      </c>
      <c r="G9" s="59">
        <v>46087</v>
      </c>
      <c r="H9" s="190">
        <v>7505.9999999999991</v>
      </c>
      <c r="I9" s="141">
        <v>8988.09</v>
      </c>
      <c r="J9" s="60">
        <f t="shared" si="1"/>
        <v>1.1974540367705837</v>
      </c>
    </row>
    <row r="10" spans="1:11" ht="15" customHeight="1" x14ac:dyDescent="0.25">
      <c r="A10" s="164"/>
      <c r="B10" s="169" t="s">
        <v>38</v>
      </c>
      <c r="C10" s="177">
        <v>17018</v>
      </c>
      <c r="D10" s="173">
        <v>726.43</v>
      </c>
      <c r="E10" s="245">
        <f t="shared" si="0"/>
        <v>0.16978292569428974</v>
      </c>
      <c r="F10" s="58" t="s">
        <v>56</v>
      </c>
      <c r="G10" s="59">
        <v>46088</v>
      </c>
      <c r="H10" s="190">
        <v>7436</v>
      </c>
      <c r="I10" s="141">
        <v>8100.44</v>
      </c>
      <c r="J10" s="60">
        <f t="shared" si="1"/>
        <v>1.089354491662184</v>
      </c>
    </row>
    <row r="11" spans="1:11" ht="15" customHeight="1" x14ac:dyDescent="0.25">
      <c r="A11" s="164"/>
      <c r="B11" s="169" t="s">
        <v>42</v>
      </c>
      <c r="C11" s="177">
        <v>1550</v>
      </c>
      <c r="D11" s="173">
        <v>66.122</v>
      </c>
      <c r="E11" s="80">
        <f t="shared" si="0"/>
        <v>1.5454189134201268E-2</v>
      </c>
      <c r="F11" s="58" t="s">
        <v>57</v>
      </c>
      <c r="G11" s="59">
        <v>46089</v>
      </c>
      <c r="H11" s="190">
        <v>4598</v>
      </c>
      <c r="I11" s="141">
        <v>4278.5810000000001</v>
      </c>
      <c r="J11" s="60">
        <f t="shared" si="1"/>
        <v>0.93053088299260556</v>
      </c>
    </row>
    <row r="12" spans="1:11" ht="15" customHeight="1" x14ac:dyDescent="0.25">
      <c r="A12" s="164"/>
      <c r="B12" s="169" t="s">
        <v>196</v>
      </c>
      <c r="C12" s="177">
        <v>4176</v>
      </c>
      <c r="D12" s="173">
        <v>105.76</v>
      </c>
      <c r="E12" s="80">
        <f t="shared" si="0"/>
        <v>2.4718475588051271E-2</v>
      </c>
      <c r="H12" s="139">
        <f>+SUM(H5:H11)</f>
        <v>49988.159999999996</v>
      </c>
      <c r="I12" s="142">
        <f>+SUM(I5:I11)</f>
        <v>58047.151999999995</v>
      </c>
      <c r="J12" s="140">
        <f t="shared" si="1"/>
        <v>1.1612180164262897</v>
      </c>
    </row>
    <row r="13" spans="1:11" ht="15" customHeight="1" x14ac:dyDescent="0.25">
      <c r="A13" s="164"/>
      <c r="B13" s="169" t="s">
        <v>95</v>
      </c>
      <c r="C13" s="177">
        <v>72</v>
      </c>
      <c r="D13" s="173">
        <v>1.8280000000000001</v>
      </c>
      <c r="E13" s="80">
        <f t="shared" si="0"/>
        <v>4.2724445324279244E-4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39</v>
      </c>
      <c r="C14" s="177"/>
      <c r="D14" s="173"/>
      <c r="E14" s="80">
        <f t="shared" si="0"/>
        <v>0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43</v>
      </c>
      <c r="C15" s="177"/>
      <c r="D15" s="173"/>
      <c r="E15" s="80">
        <f t="shared" si="0"/>
        <v>0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49</v>
      </c>
      <c r="C16" s="177">
        <v>22</v>
      </c>
      <c r="D16" s="173">
        <v>33.229999999999997</v>
      </c>
      <c r="E16" s="80">
        <f t="shared" si="0"/>
        <v>7.7665936440142174E-3</v>
      </c>
      <c r="F16" s="112" t="s">
        <v>110</v>
      </c>
      <c r="G16" s="190">
        <v>199570.19199999989</v>
      </c>
      <c r="H16" s="190">
        <v>197224.22099999999</v>
      </c>
      <c r="I16" s="190">
        <f>+D25</f>
        <v>64673.180999999997</v>
      </c>
      <c r="J16" s="98">
        <f t="shared" si="2"/>
        <v>0.98824488278289624</v>
      </c>
      <c r="K16" s="98">
        <f t="shared" si="2"/>
        <v>0.32791703104255132</v>
      </c>
    </row>
    <row r="17" spans="1:11" ht="15" customHeight="1" x14ac:dyDescent="0.25">
      <c r="A17" s="164"/>
      <c r="B17" s="169" t="s">
        <v>41</v>
      </c>
      <c r="C17" s="177">
        <v>130</v>
      </c>
      <c r="D17" s="173">
        <v>196.3</v>
      </c>
      <c r="E17" s="80">
        <f t="shared" si="0"/>
        <v>4.5879697030393955E-2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45</v>
      </c>
      <c r="C18" s="177"/>
      <c r="D18" s="173"/>
      <c r="E18" s="80">
        <f t="shared" si="0"/>
        <v>0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85</v>
      </c>
      <c r="C19" s="177">
        <v>90</v>
      </c>
      <c r="D19" s="173">
        <v>135.72999999999999</v>
      </c>
      <c r="E19" s="80">
        <f t="shared" si="0"/>
        <v>3.1723134375625933E-2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46</v>
      </c>
      <c r="C20" s="177"/>
      <c r="D20" s="173">
        <v>61.92</v>
      </c>
      <c r="E20" s="80">
        <f t="shared" si="0"/>
        <v>1.4472087825379489E-2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547.15</v>
      </c>
      <c r="E21" s="245">
        <f t="shared" si="0"/>
        <v>0.12788118303708634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9</v>
      </c>
      <c r="C22" s="177"/>
      <c r="D22" s="173">
        <v>93.03</v>
      </c>
      <c r="E22" s="80">
        <f t="shared" si="0"/>
        <v>2.1743190090359396E-2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A23" s="164"/>
      <c r="B23" s="169" t="s">
        <v>265</v>
      </c>
      <c r="C23" s="177"/>
      <c r="D23" s="173">
        <v>32.33</v>
      </c>
      <c r="E23" s="80">
        <f t="shared" si="0"/>
        <v>7.5562435302732375E-3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B24" s="178" t="s">
        <v>0</v>
      </c>
      <c r="C24" s="170"/>
      <c r="D24" s="171">
        <f>SUM(D5:D23)</f>
        <v>4278.5810000000001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B25" s="166" t="s">
        <v>1</v>
      </c>
      <c r="C25" s="167"/>
      <c r="D25" s="233">
        <v>64673.180999999997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E26" s="80"/>
      <c r="G26" s="68">
        <f>+SUM(G14:G25)</f>
        <v>2547596.0290000001</v>
      </c>
      <c r="H26" s="377">
        <f>+SUM(H14:H15)</f>
        <v>373503.413</v>
      </c>
      <c r="I26" s="377">
        <f>+SUM(I14:I25)</f>
        <v>496020.78699999989</v>
      </c>
      <c r="J26" s="378"/>
      <c r="K26" s="378">
        <f>+I26/H26</f>
        <v>1.3280221002960417</v>
      </c>
    </row>
    <row r="27" spans="1:11" ht="15" customHeight="1" thickBot="1" x14ac:dyDescent="0.3">
      <c r="E27" s="313">
        <f>+D25/J2</f>
        <v>0.30828463298284398</v>
      </c>
      <c r="G27" s="379" t="s">
        <v>229</v>
      </c>
      <c r="H27" s="380"/>
      <c r="I27" s="380">
        <v>2726927.1277059279</v>
      </c>
      <c r="J27" s="381">
        <f>+I26/H26</f>
        <v>1.3280221002960417</v>
      </c>
      <c r="K27" s="179"/>
    </row>
    <row r="28" spans="1:11" ht="15" customHeight="1" thickBot="1" x14ac:dyDescent="0.3">
      <c r="F28" s="179"/>
      <c r="G28" s="179"/>
      <c r="J28" s="179"/>
    </row>
    <row r="29" spans="1:11" ht="15" customHeight="1" thickBot="1" x14ac:dyDescent="0.3">
      <c r="B29" s="397" t="s">
        <v>251</v>
      </c>
      <c r="C29" s="430">
        <v>8</v>
      </c>
      <c r="D29" s="108">
        <f>J3*C29</f>
        <v>54137.804404344446</v>
      </c>
      <c r="E29" s="314">
        <f>+D29/J2</f>
        <v>0.25806451612903225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ht="15" customHeight="1" x14ac:dyDescent="0.25">
      <c r="D30" s="183">
        <f>+D25-D29</f>
        <v>10535.376595655551</v>
      </c>
      <c r="E30" s="99">
        <f>E27-E29</f>
        <v>5.0220116853811725E-2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6392</v>
      </c>
      <c r="I32" s="88">
        <f>+H32*0.025</f>
        <v>159.80000000000001</v>
      </c>
      <c r="J32" s="224"/>
    </row>
    <row r="33" spans="1:11" x14ac:dyDescent="0.25">
      <c r="B33" s="162" t="s">
        <v>61</v>
      </c>
      <c r="C33" s="162">
        <v>672</v>
      </c>
      <c r="D33" s="108">
        <v>2142</v>
      </c>
      <c r="E33" s="57">
        <f>+C33/D33</f>
        <v>0.31372549019607843</v>
      </c>
      <c r="G33" s="86" t="s">
        <v>259</v>
      </c>
      <c r="H33" s="87">
        <v>4627</v>
      </c>
      <c r="I33" s="88">
        <f>+H33*0.025</f>
        <v>115.67500000000001</v>
      </c>
      <c r="J33" s="224"/>
      <c r="K33" s="68"/>
    </row>
    <row r="34" spans="1:11" x14ac:dyDescent="0.25">
      <c r="B34" s="162" t="s">
        <v>62</v>
      </c>
      <c r="C34" s="162">
        <v>1100</v>
      </c>
      <c r="D34" s="108">
        <v>1890</v>
      </c>
      <c r="E34" s="57">
        <f>+C34/D34</f>
        <v>0.58201058201058198</v>
      </c>
      <c r="G34" s="86" t="s">
        <v>171</v>
      </c>
      <c r="H34" s="87">
        <v>216</v>
      </c>
      <c r="I34" s="88">
        <f>+H34*0.025</f>
        <v>5.4</v>
      </c>
      <c r="J34" s="297" t="s">
        <v>188</v>
      </c>
    </row>
    <row r="35" spans="1:11" x14ac:dyDescent="0.25">
      <c r="B35" s="162" t="s">
        <v>63</v>
      </c>
      <c r="C35" s="67">
        <v>500</v>
      </c>
      <c r="D35" s="108">
        <v>3006</v>
      </c>
      <c r="E35" s="57">
        <f>+C35/D35</f>
        <v>0.16633399866932802</v>
      </c>
      <c r="G35" s="89" t="s">
        <v>169</v>
      </c>
      <c r="H35" s="87">
        <v>222</v>
      </c>
      <c r="I35" s="88">
        <f>+H35*1.5</f>
        <v>333</v>
      </c>
      <c r="J35" s="298">
        <f>+I35+I32+I33</f>
        <v>608.47500000000002</v>
      </c>
    </row>
    <row r="36" spans="1:11" x14ac:dyDescent="0.25">
      <c r="C36" s="162">
        <f>+SUM(C33:C35)</f>
        <v>2272</v>
      </c>
      <c r="D36" s="110">
        <f>+SUM(D33:D35)</f>
        <v>7038</v>
      </c>
      <c r="E36" s="57">
        <f>+C36/D36</f>
        <v>0.32281898266553</v>
      </c>
      <c r="G36" s="89" t="s">
        <v>168</v>
      </c>
      <c r="H36" s="87">
        <v>7</v>
      </c>
      <c r="I36" s="88">
        <f>+H36*1.5</f>
        <v>10.5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20</v>
      </c>
      <c r="C40" s="74">
        <v>5</v>
      </c>
      <c r="D40" s="74">
        <v>6</v>
      </c>
      <c r="E40" s="75">
        <f>+SUM(B40:D40)</f>
        <v>31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4.72</v>
      </c>
      <c r="C44" s="199">
        <v>2041</v>
      </c>
      <c r="D44" s="200">
        <v>3600</v>
      </c>
      <c r="E44" s="201">
        <f t="shared" si="3"/>
        <v>0.56694444444444447</v>
      </c>
      <c r="F44" s="201">
        <f t="shared" si="4"/>
        <v>0.19666666666666666</v>
      </c>
      <c r="G44" s="202">
        <v>12</v>
      </c>
      <c r="H44" s="71"/>
    </row>
    <row r="45" spans="1:11" x14ac:dyDescent="0.25">
      <c r="A45" s="207" t="s">
        <v>72</v>
      </c>
      <c r="B45" s="199">
        <v>4.38</v>
      </c>
      <c r="C45" s="199">
        <v>1823</v>
      </c>
      <c r="D45" s="200">
        <v>3900</v>
      </c>
      <c r="E45" s="201">
        <f t="shared" si="3"/>
        <v>0.46743589743589742</v>
      </c>
      <c r="F45" s="201">
        <f t="shared" si="4"/>
        <v>0.1825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3</v>
      </c>
      <c r="C46" s="199">
        <v>2223</v>
      </c>
      <c r="D46" s="200">
        <v>3900</v>
      </c>
      <c r="E46" s="201">
        <f t="shared" si="3"/>
        <v>0.56999999999999995</v>
      </c>
      <c r="F46" s="201">
        <f t="shared" si="4"/>
        <v>0.125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10.87</v>
      </c>
      <c r="C47" s="199">
        <v>2149</v>
      </c>
      <c r="D47" s="200">
        <v>3900</v>
      </c>
      <c r="E47" s="201">
        <f t="shared" si="3"/>
        <v>0.551025641025641</v>
      </c>
      <c r="F47" s="201">
        <f t="shared" si="4"/>
        <v>0.45291666666666663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>+J47*1.5</f>
        <v>199.5</v>
      </c>
    </row>
    <row r="48" spans="1:11" x14ac:dyDescent="0.25">
      <c r="A48" s="259" t="s">
        <v>75</v>
      </c>
      <c r="B48" s="260">
        <v>6.69</v>
      </c>
      <c r="C48" s="261">
        <v>2548</v>
      </c>
      <c r="D48" s="262">
        <v>4300</v>
      </c>
      <c r="E48" s="263">
        <f t="shared" si="3"/>
        <v>0.59255813953488368</v>
      </c>
      <c r="F48" s="201">
        <f t="shared" si="4"/>
        <v>0.27875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>+J48*1.5</f>
        <v>63</v>
      </c>
    </row>
    <row r="49" spans="2:11" x14ac:dyDescent="0.25">
      <c r="B49" s="113">
        <f>+SUM(B43:B48)</f>
        <v>29.66</v>
      </c>
      <c r="C49" s="71"/>
      <c r="D49" s="72"/>
      <c r="H49" s="301">
        <v>46085</v>
      </c>
      <c r="I49" s="129" t="s">
        <v>175</v>
      </c>
      <c r="J49" s="162">
        <v>60</v>
      </c>
      <c r="K49" s="318">
        <f>+J49*1.5</f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>+J50*1.5</f>
        <v>156</v>
      </c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3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</row>
    <row r="58" spans="2:11" x14ac:dyDescent="0.25">
      <c r="C58" s="71">
        <v>8</v>
      </c>
      <c r="D58" s="108">
        <v>2</v>
      </c>
    </row>
    <row r="59" spans="2:11" x14ac:dyDescent="0.25">
      <c r="H59" s="359" t="s">
        <v>219</v>
      </c>
      <c r="I59" s="345"/>
      <c r="J59" s="199">
        <f>+SUM(J47:J58)</f>
        <v>339</v>
      </c>
      <c r="K59" s="346">
        <f>+J59*1.5</f>
        <v>508.5</v>
      </c>
    </row>
    <row r="60" spans="2:11" x14ac:dyDescent="0.25">
      <c r="B60" s="364" t="s">
        <v>231</v>
      </c>
      <c r="C60" s="199">
        <v>1647</v>
      </c>
      <c r="D60" s="384" t="s">
        <v>92</v>
      </c>
      <c r="F60" s="430" t="s">
        <v>271</v>
      </c>
      <c r="G60" s="430" t="s">
        <v>267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F61" s="430">
        <v>1230</v>
      </c>
      <c r="G61" s="430">
        <v>784.3</v>
      </c>
      <c r="H61" s="301"/>
      <c r="I61" s="129"/>
      <c r="K61" s="318"/>
    </row>
    <row r="62" spans="2:11" x14ac:dyDescent="0.25">
      <c r="F62" s="432">
        <f>+G61/F61</f>
        <v>0.63764227642276416</v>
      </c>
      <c r="G62" s="430" t="s">
        <v>269</v>
      </c>
      <c r="H62" s="301">
        <v>46082</v>
      </c>
      <c r="I62" s="129" t="s">
        <v>176</v>
      </c>
      <c r="J62" s="162">
        <v>11032</v>
      </c>
      <c r="K62" s="318">
        <f>+J62*0.025</f>
        <v>275.8</v>
      </c>
    </row>
    <row r="63" spans="2:11" x14ac:dyDescent="0.25">
      <c r="F63" s="430"/>
      <c r="G63" s="430">
        <v>140</v>
      </c>
      <c r="H63" s="301">
        <v>46090</v>
      </c>
      <c r="I63" s="129" t="s">
        <v>175</v>
      </c>
      <c r="J63" s="162">
        <v>1278</v>
      </c>
      <c r="K63" s="318">
        <f>+J63*0.025</f>
        <v>31.950000000000003</v>
      </c>
    </row>
    <row r="64" spans="2:11" x14ac:dyDescent="0.25">
      <c r="B64" s="162" t="s">
        <v>268</v>
      </c>
      <c r="F64" s="432">
        <f>(G63+G61)/F61</f>
        <v>0.75146341463414634</v>
      </c>
      <c r="G64" s="430" t="s">
        <v>270</v>
      </c>
      <c r="H64" s="301"/>
      <c r="I64" s="129"/>
      <c r="K64" s="318"/>
    </row>
    <row r="65" spans="2:11" x14ac:dyDescent="0.25">
      <c r="B65" s="66"/>
      <c r="C65" s="391"/>
      <c r="D65" s="391"/>
      <c r="H65" s="301"/>
      <c r="I65" s="129"/>
      <c r="K65" s="318"/>
    </row>
    <row r="66" spans="2:11" x14ac:dyDescent="0.25">
      <c r="C66" s="389"/>
    </row>
    <row r="67" spans="2:11" x14ac:dyDescent="0.25">
      <c r="C67" s="389"/>
      <c r="H67" s="431" t="s">
        <v>262</v>
      </c>
      <c r="I67" s="345"/>
      <c r="J67" s="200">
        <f>+J63</f>
        <v>1278</v>
      </c>
      <c r="K67" s="346">
        <f>+J67*0.025</f>
        <v>31.950000000000003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237" t="s">
        <v>157</v>
      </c>
      <c r="K71" s="437" t="s">
        <v>92</v>
      </c>
    </row>
    <row r="72" spans="2:11" x14ac:dyDescent="0.25">
      <c r="H72" s="301">
        <v>46089</v>
      </c>
      <c r="I72" s="129" t="s">
        <v>175</v>
      </c>
      <c r="J72" s="108">
        <v>55</v>
      </c>
      <c r="K72" s="297">
        <f>+J72*1.5</f>
        <v>82.5</v>
      </c>
    </row>
    <row r="73" spans="2:11" x14ac:dyDescent="0.25">
      <c r="B73" s="162" t="s">
        <v>254</v>
      </c>
      <c r="C73" s="389">
        <v>0.8</v>
      </c>
      <c r="H73" s="301">
        <v>46089</v>
      </c>
      <c r="I73" s="129" t="s">
        <v>176</v>
      </c>
      <c r="J73" s="71">
        <v>162</v>
      </c>
      <c r="K73" s="297">
        <f>+J73*1.5</f>
        <v>243</v>
      </c>
    </row>
    <row r="74" spans="2:11" x14ac:dyDescent="0.25">
      <c r="H74" s="301">
        <v>46090</v>
      </c>
      <c r="I74" s="129" t="s">
        <v>175</v>
      </c>
      <c r="J74" s="108">
        <f>36+36+37</f>
        <v>109</v>
      </c>
      <c r="K74" s="297">
        <f>+J74*1.5</f>
        <v>163.5</v>
      </c>
    </row>
    <row r="75" spans="2:11" x14ac:dyDescent="0.25">
      <c r="J75" s="71"/>
      <c r="K75" s="71"/>
    </row>
    <row r="76" spans="2:11" x14ac:dyDescent="0.25">
      <c r="H76" s="344"/>
      <c r="I76" s="345"/>
      <c r="J76" s="435">
        <f>+J73+J72+J74</f>
        <v>326</v>
      </c>
      <c r="K76" s="436">
        <f>+J76*1.5</f>
        <v>489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51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v>46090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33"/>
      <c r="C4" s="433"/>
      <c r="D4" s="165">
        <f>D26</f>
        <v>6991.9049999999997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3070</v>
      </c>
      <c r="D5" s="172">
        <v>130.88400000000001</v>
      </c>
      <c r="E5" s="80">
        <f t="shared" ref="E5:E23" si="0">+D5/$D$4</f>
        <v>1.8719361890643538E-2</v>
      </c>
      <c r="F5" s="58" t="s">
        <v>51</v>
      </c>
      <c r="G5" s="59">
        <v>46090</v>
      </c>
      <c r="H5" s="190">
        <v>7350.8000000000011</v>
      </c>
      <c r="I5" s="141">
        <v>6991.9049999999997</v>
      </c>
      <c r="J5" s="60">
        <f t="shared" ref="J5:J12" si="1">+I5/H5</f>
        <v>0.9511760624693909</v>
      </c>
    </row>
    <row r="6" spans="1:11" ht="15" customHeight="1" x14ac:dyDescent="0.25">
      <c r="A6" s="164"/>
      <c r="B6" s="169" t="s">
        <v>10</v>
      </c>
      <c r="C6" s="177">
        <v>9185</v>
      </c>
      <c r="D6" s="173">
        <v>392.02299999999997</v>
      </c>
      <c r="E6" s="80">
        <f t="shared" si="0"/>
        <v>5.6068124495398608E-2</v>
      </c>
      <c r="F6" s="58" t="s">
        <v>52</v>
      </c>
      <c r="G6" s="59">
        <v>46091</v>
      </c>
      <c r="H6" s="190">
        <v>8582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18780</v>
      </c>
      <c r="D7" s="173">
        <v>800.60199999999986</v>
      </c>
      <c r="E7" s="245">
        <f t="shared" si="0"/>
        <v>0.11450413013334705</v>
      </c>
      <c r="F7" s="58" t="s">
        <v>53</v>
      </c>
      <c r="G7" s="59">
        <v>46092</v>
      </c>
      <c r="H7" s="190">
        <v>8063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37</v>
      </c>
      <c r="C8" s="177">
        <v>30477</v>
      </c>
      <c r="D8" s="173">
        <v>1300.886</v>
      </c>
      <c r="E8" s="245">
        <f t="shared" si="0"/>
        <v>0.1860560176375394</v>
      </c>
      <c r="F8" s="58" t="s">
        <v>54</v>
      </c>
      <c r="G8" s="59">
        <v>46093</v>
      </c>
      <c r="H8" s="190">
        <v>7581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38</v>
      </c>
      <c r="C9" s="177">
        <v>46270</v>
      </c>
      <c r="D9" s="173">
        <v>1975.6540000000002</v>
      </c>
      <c r="E9" s="245">
        <f t="shared" si="0"/>
        <v>0.28256304969818674</v>
      </c>
      <c r="F9" s="58" t="s">
        <v>55</v>
      </c>
      <c r="G9" s="59">
        <v>46094</v>
      </c>
      <c r="H9" s="190">
        <v>7527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42</v>
      </c>
      <c r="C10" s="177">
        <v>8385</v>
      </c>
      <c r="D10" s="173">
        <v>358.50599999999997</v>
      </c>
      <c r="E10" s="80">
        <f t="shared" si="0"/>
        <v>5.1274438082325201E-2</v>
      </c>
      <c r="F10" s="58" t="s">
        <v>56</v>
      </c>
      <c r="G10" s="59">
        <v>46095</v>
      </c>
      <c r="H10" s="190">
        <v>7275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/>
      <c r="D11" s="173"/>
      <c r="E11" s="80">
        <f t="shared" si="0"/>
        <v>0</v>
      </c>
      <c r="F11" s="58" t="s">
        <v>57</v>
      </c>
      <c r="G11" s="59">
        <v>46096</v>
      </c>
      <c r="H11" s="190">
        <v>4068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196</v>
      </c>
      <c r="C12" s="177">
        <v>8136</v>
      </c>
      <c r="D12" s="173">
        <v>205.87</v>
      </c>
      <c r="E12" s="80">
        <f t="shared" si="0"/>
        <v>2.9444049940609892E-2</v>
      </c>
      <c r="H12" s="139">
        <f>+SUM(H5:H11)</f>
        <v>50446.8</v>
      </c>
      <c r="I12" s="142">
        <f>+SUM(I5:I11)</f>
        <v>6991.9049999999997</v>
      </c>
      <c r="J12" s="140">
        <f t="shared" si="1"/>
        <v>0.13859957420490496</v>
      </c>
    </row>
    <row r="13" spans="1:11" ht="15" customHeight="1" x14ac:dyDescent="0.25">
      <c r="A13" s="164"/>
      <c r="B13" s="169" t="s">
        <v>95</v>
      </c>
      <c r="C13" s="177">
        <v>1720</v>
      </c>
      <c r="D13" s="173">
        <v>43.480000000000004</v>
      </c>
      <c r="E13" s="80">
        <f t="shared" si="0"/>
        <v>6.2186199612265904E-3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43</v>
      </c>
      <c r="C14" s="177">
        <v>45</v>
      </c>
      <c r="D14" s="173">
        <v>68.02</v>
      </c>
      <c r="E14" s="80">
        <f t="shared" si="0"/>
        <v>9.7283930488185986E-3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194</v>
      </c>
      <c r="C15" s="177">
        <v>44</v>
      </c>
      <c r="D15" s="173">
        <v>66.42</v>
      </c>
      <c r="E15" s="80">
        <f t="shared" si="0"/>
        <v>9.4995569876879047E-3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44</v>
      </c>
      <c r="C16" s="177">
        <v>43</v>
      </c>
      <c r="D16" s="173">
        <v>64.73</v>
      </c>
      <c r="E16" s="80">
        <f t="shared" si="0"/>
        <v>9.2578488981186115E-3</v>
      </c>
      <c r="F16" s="112" t="s">
        <v>110</v>
      </c>
      <c r="G16" s="190">
        <v>199570.19199999989</v>
      </c>
      <c r="H16" s="190">
        <v>197224.22099999999</v>
      </c>
      <c r="I16" s="190">
        <f>+D27</f>
        <v>71343.241999999998</v>
      </c>
      <c r="J16" s="98">
        <f t="shared" si="2"/>
        <v>0.98824488278289624</v>
      </c>
      <c r="K16" s="98">
        <f t="shared" si="2"/>
        <v>0.36173671589758744</v>
      </c>
    </row>
    <row r="17" spans="1:11" ht="15" customHeight="1" x14ac:dyDescent="0.25">
      <c r="A17" s="164"/>
      <c r="B17" s="169" t="s">
        <v>49</v>
      </c>
      <c r="C17" s="177">
        <v>20</v>
      </c>
      <c r="D17" s="173">
        <v>30.31</v>
      </c>
      <c r="E17" s="80">
        <f t="shared" si="0"/>
        <v>4.3350131330445706E-3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45</v>
      </c>
      <c r="C18" s="177">
        <v>45</v>
      </c>
      <c r="D18" s="173">
        <v>67.710000000000008</v>
      </c>
      <c r="E18" s="80">
        <f t="shared" si="0"/>
        <v>9.6840560619745279E-3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88</v>
      </c>
      <c r="C19" s="177">
        <v>20</v>
      </c>
      <c r="D19" s="173">
        <v>29.78</v>
      </c>
      <c r="E19" s="80">
        <f t="shared" si="0"/>
        <v>4.2592111877950293E-3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41</v>
      </c>
      <c r="C20" s="177">
        <v>82</v>
      </c>
      <c r="D20" s="173">
        <v>124.03</v>
      </c>
      <c r="E20" s="80">
        <f t="shared" si="0"/>
        <v>1.7739085413774929E-2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39</v>
      </c>
      <c r="C21" s="177">
        <v>388</v>
      </c>
      <c r="D21" s="173">
        <v>585.55000000000007</v>
      </c>
      <c r="E21" s="80">
        <f t="shared" si="0"/>
        <v>8.3746847246923425E-2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85</v>
      </c>
      <c r="C22" s="177">
        <v>174</v>
      </c>
      <c r="D22" s="173">
        <v>262.11</v>
      </c>
      <c r="E22" s="80">
        <f t="shared" si="0"/>
        <v>3.7487637489353763E-2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62.629999999999995</v>
      </c>
      <c r="E23" s="80">
        <f t="shared" si="0"/>
        <v>8.9575015678845741E-3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A24" s="164"/>
      <c r="B24" s="169" t="s">
        <v>46</v>
      </c>
      <c r="C24" s="177"/>
      <c r="D24" s="173">
        <v>151.96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thickBot="1" x14ac:dyDescent="0.3">
      <c r="A25" s="164"/>
      <c r="B25" s="169" t="s">
        <v>40</v>
      </c>
      <c r="C25" s="177"/>
      <c r="D25" s="173">
        <v>270.74999999999994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B26" s="178" t="s">
        <v>0</v>
      </c>
      <c r="C26" s="170"/>
      <c r="D26" s="171">
        <f>SUM(D5:D25)</f>
        <v>6991.9049999999997</v>
      </c>
      <c r="E26" s="80"/>
      <c r="G26" s="68">
        <f>+SUM(G14:G25)</f>
        <v>2547596.0290000001</v>
      </c>
      <c r="H26" s="377">
        <f>+SUM(H14:H15)</f>
        <v>373503.413</v>
      </c>
      <c r="I26" s="377">
        <f>+SUM(I14:I25)</f>
        <v>502690.84799999988</v>
      </c>
      <c r="J26" s="378"/>
      <c r="K26" s="378">
        <f>+I26/H26</f>
        <v>1.345880199493652</v>
      </c>
    </row>
    <row r="27" spans="1:11" ht="15" customHeight="1" thickBot="1" x14ac:dyDescent="0.3">
      <c r="B27" s="166" t="s">
        <v>1</v>
      </c>
      <c r="C27" s="167"/>
      <c r="D27" s="233">
        <v>71343.241999999998</v>
      </c>
      <c r="E27" s="313">
        <f>+D27/J2</f>
        <v>0.34007953274752667</v>
      </c>
      <c r="G27" s="379" t="s">
        <v>229</v>
      </c>
      <c r="H27" s="380"/>
      <c r="I27" s="380">
        <v>2726927.1277059279</v>
      </c>
      <c r="J27" s="381">
        <f>+I26/H26</f>
        <v>1.345880199493652</v>
      </c>
      <c r="K27" s="179"/>
    </row>
    <row r="28" spans="1:11" ht="16.5" thickBot="1" x14ac:dyDescent="0.3">
      <c r="F28" s="179"/>
      <c r="G28" s="179"/>
      <c r="J28" s="179"/>
    </row>
    <row r="29" spans="1:11" ht="16.5" thickBot="1" x14ac:dyDescent="0.3">
      <c r="B29" s="397" t="s">
        <v>251</v>
      </c>
      <c r="C29" s="434">
        <v>9</v>
      </c>
      <c r="D29" s="108">
        <f>J3*C29</f>
        <v>60905.029954887505</v>
      </c>
      <c r="E29" s="314">
        <f>+D29/J2</f>
        <v>0.29032258064516131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x14ac:dyDescent="0.25">
      <c r="D30" s="183">
        <f>+D27-D29</f>
        <v>10438.212045112494</v>
      </c>
      <c r="E30" s="99">
        <f>E27-E29</f>
        <v>4.9756952102365359E-2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6032</v>
      </c>
      <c r="I32" s="88">
        <f>+H32*0.025</f>
        <v>150.80000000000001</v>
      </c>
      <c r="J32" s="224"/>
    </row>
    <row r="33" spans="1:11" x14ac:dyDescent="0.25">
      <c r="B33" s="162" t="s">
        <v>61</v>
      </c>
      <c r="C33" s="162">
        <v>820</v>
      </c>
      <c r="D33" s="108">
        <v>2142</v>
      </c>
      <c r="E33" s="57">
        <f>+C33/D33</f>
        <v>0.38281979458450049</v>
      </c>
      <c r="G33" s="86" t="s">
        <v>259</v>
      </c>
      <c r="H33" s="87">
        <v>4627</v>
      </c>
      <c r="I33" s="88">
        <f>+H33*0.025</f>
        <v>115.67500000000001</v>
      </c>
      <c r="J33" s="224"/>
      <c r="K33" s="68"/>
    </row>
    <row r="34" spans="1:11" x14ac:dyDescent="0.25">
      <c r="B34" s="162" t="s">
        <v>62</v>
      </c>
      <c r="C34" s="162">
        <v>1010</v>
      </c>
      <c r="D34" s="108">
        <v>1890</v>
      </c>
      <c r="E34" s="57">
        <f>+C34/D34</f>
        <v>0.53439153439153442</v>
      </c>
      <c r="G34" s="86" t="s">
        <v>171</v>
      </c>
      <c r="H34" s="87">
        <v>202</v>
      </c>
      <c r="I34" s="88">
        <f>+H34*0.025</f>
        <v>5.0500000000000007</v>
      </c>
      <c r="J34" s="297" t="s">
        <v>188</v>
      </c>
    </row>
    <row r="35" spans="1:11" x14ac:dyDescent="0.25">
      <c r="B35" s="162" t="s">
        <v>63</v>
      </c>
      <c r="C35" s="67">
        <v>451</v>
      </c>
      <c r="D35" s="108">
        <v>3006</v>
      </c>
      <c r="E35" s="57">
        <f>+C35/D35</f>
        <v>0.15003326679973386</v>
      </c>
      <c r="G35" s="89" t="s">
        <v>169</v>
      </c>
      <c r="H35" s="87">
        <v>222</v>
      </c>
      <c r="I35" s="88">
        <f>+H35*1.5</f>
        <v>333</v>
      </c>
      <c r="J35" s="298">
        <f>+I35+I32+I33</f>
        <v>599.47500000000002</v>
      </c>
    </row>
    <row r="36" spans="1:11" x14ac:dyDescent="0.25">
      <c r="C36" s="162">
        <f>+SUM(C33:C35)</f>
        <v>2281</v>
      </c>
      <c r="D36" s="110">
        <f>+SUM(D33:D35)</f>
        <v>7038</v>
      </c>
      <c r="E36" s="57">
        <f>+C36/D36</f>
        <v>0.32409775504404659</v>
      </c>
      <c r="G36" s="89" t="s">
        <v>168</v>
      </c>
      <c r="H36" s="87">
        <v>46</v>
      </c>
      <c r="I36" s="88">
        <f>+H36*1.5</f>
        <v>69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43</v>
      </c>
      <c r="C40" s="74">
        <v>4</v>
      </c>
      <c r="D40" s="74">
        <v>18</v>
      </c>
      <c r="E40" s="75">
        <f>+SUM(B40:D40)</f>
        <v>65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0.7</v>
      </c>
      <c r="C43" s="199">
        <v>1821</v>
      </c>
      <c r="D43" s="200">
        <v>2400</v>
      </c>
      <c r="E43" s="201">
        <f t="shared" ref="E43:E48" si="3">+C43/D43</f>
        <v>0.75875000000000004</v>
      </c>
      <c r="F43" s="201">
        <f t="shared" ref="F43:F48" si="4">+B43/24</f>
        <v>2.9166666666666664E-2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3.24</v>
      </c>
      <c r="C44" s="199">
        <v>2704</v>
      </c>
      <c r="D44" s="200">
        <v>3600</v>
      </c>
      <c r="E44" s="201">
        <f t="shared" si="3"/>
        <v>0.75111111111111106</v>
      </c>
      <c r="F44" s="201">
        <f t="shared" si="4"/>
        <v>0.13500000000000001</v>
      </c>
      <c r="G44" s="202">
        <v>12</v>
      </c>
      <c r="H44" s="71"/>
    </row>
    <row r="45" spans="1:11" x14ac:dyDescent="0.25">
      <c r="A45" s="207" t="s">
        <v>72</v>
      </c>
      <c r="B45" s="199">
        <v>11.79</v>
      </c>
      <c r="C45" s="199">
        <v>1862</v>
      </c>
      <c r="D45" s="200">
        <v>3900</v>
      </c>
      <c r="E45" s="201">
        <f t="shared" si="3"/>
        <v>0.47743589743589743</v>
      </c>
      <c r="F45" s="201">
        <f t="shared" si="4"/>
        <v>0.49124999999999996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10.26</v>
      </c>
      <c r="C46" s="199">
        <v>2691</v>
      </c>
      <c r="D46" s="200">
        <v>3900</v>
      </c>
      <c r="E46" s="201">
        <f t="shared" si="3"/>
        <v>0.69</v>
      </c>
      <c r="F46" s="201">
        <f t="shared" si="4"/>
        <v>0.42749999999999999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10.35</v>
      </c>
      <c r="C47" s="199">
        <v>2427</v>
      </c>
      <c r="D47" s="200">
        <v>3900</v>
      </c>
      <c r="E47" s="201">
        <f t="shared" si="3"/>
        <v>0.62230769230769234</v>
      </c>
      <c r="F47" s="201">
        <f t="shared" si="4"/>
        <v>0.43124999999999997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>+J47*1.5</f>
        <v>199.5</v>
      </c>
    </row>
    <row r="48" spans="1:11" x14ac:dyDescent="0.25">
      <c r="A48" s="259" t="s">
        <v>75</v>
      </c>
      <c r="B48" s="260">
        <v>6.54</v>
      </c>
      <c r="C48" s="261">
        <v>2840</v>
      </c>
      <c r="D48" s="262">
        <v>4300</v>
      </c>
      <c r="E48" s="263">
        <f t="shared" si="3"/>
        <v>0.66046511627906979</v>
      </c>
      <c r="F48" s="201">
        <f t="shared" si="4"/>
        <v>0.27250000000000002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>+J48*1.5</f>
        <v>63</v>
      </c>
    </row>
    <row r="49" spans="2:11" x14ac:dyDescent="0.25">
      <c r="B49" s="113">
        <f>+SUM(B43:B48)</f>
        <v>42.88</v>
      </c>
      <c r="C49" s="71"/>
      <c r="D49" s="72"/>
      <c r="H49" s="301">
        <v>46085</v>
      </c>
      <c r="I49" s="129" t="s">
        <v>175</v>
      </c>
      <c r="J49" s="162">
        <v>60</v>
      </c>
      <c r="K49" s="318">
        <f>+J49*1.5</f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>+J50*1.5</f>
        <v>156</v>
      </c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4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219</v>
      </c>
      <c r="I59" s="345"/>
      <c r="J59" s="199">
        <f>+SUM(J47:J58)</f>
        <v>339</v>
      </c>
      <c r="K59" s="346">
        <f>+J59*1.5</f>
        <v>508.5</v>
      </c>
    </row>
    <row r="60" spans="2:11" x14ac:dyDescent="0.25">
      <c r="B60" s="364" t="s">
        <v>231</v>
      </c>
      <c r="C60" s="199">
        <v>2143</v>
      </c>
      <c r="D60" s="384" t="s">
        <v>92</v>
      </c>
      <c r="F60" s="434" t="s">
        <v>271</v>
      </c>
      <c r="G60" s="434" t="s">
        <v>267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F61" s="434">
        <v>1230</v>
      </c>
      <c r="G61" s="434">
        <v>784.3</v>
      </c>
      <c r="H61" s="301"/>
      <c r="I61" s="129"/>
      <c r="K61" s="318"/>
    </row>
    <row r="62" spans="2:11" x14ac:dyDescent="0.25">
      <c r="F62" s="432">
        <f>+G61/F61</f>
        <v>0.63764227642276416</v>
      </c>
      <c r="G62" s="434" t="s">
        <v>269</v>
      </c>
      <c r="H62" s="301">
        <v>46082</v>
      </c>
      <c r="I62" s="129" t="s">
        <v>176</v>
      </c>
      <c r="J62" s="162">
        <v>11032</v>
      </c>
      <c r="K62" s="318">
        <f>+J62*0.025</f>
        <v>275.8</v>
      </c>
    </row>
    <row r="63" spans="2:11" x14ac:dyDescent="0.25">
      <c r="F63" s="434"/>
      <c r="G63" s="434">
        <v>140</v>
      </c>
      <c r="H63" s="301">
        <v>46090</v>
      </c>
      <c r="I63" s="129" t="s">
        <v>175</v>
      </c>
      <c r="J63" s="162">
        <v>1278</v>
      </c>
      <c r="K63" s="318">
        <f>+J63*0.025</f>
        <v>31.950000000000003</v>
      </c>
    </row>
    <row r="64" spans="2:11" x14ac:dyDescent="0.25">
      <c r="B64" s="162" t="s">
        <v>268</v>
      </c>
      <c r="F64" s="432">
        <f>(G63+G61)/F61</f>
        <v>0.75146341463414634</v>
      </c>
      <c r="G64" s="434" t="s">
        <v>270</v>
      </c>
      <c r="H64" s="301"/>
      <c r="I64" s="129"/>
      <c r="K64" s="318"/>
    </row>
    <row r="65" spans="2:11" x14ac:dyDescent="0.25">
      <c r="B65" s="66"/>
      <c r="C65" s="391"/>
      <c r="D65" s="391"/>
      <c r="H65" s="301"/>
      <c r="I65" s="129"/>
      <c r="K65" s="318"/>
    </row>
    <row r="66" spans="2:11" x14ac:dyDescent="0.25">
      <c r="C66" s="389"/>
    </row>
    <row r="67" spans="2:11" x14ac:dyDescent="0.25">
      <c r="C67" s="389"/>
      <c r="H67" s="431" t="s">
        <v>262</v>
      </c>
      <c r="I67" s="345"/>
      <c r="J67" s="200">
        <f>+J63</f>
        <v>1278</v>
      </c>
      <c r="K67" s="346">
        <f>+J67*0.025</f>
        <v>31.950000000000003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237" t="s">
        <v>157</v>
      </c>
      <c r="K71" s="437" t="s">
        <v>92</v>
      </c>
    </row>
    <row r="72" spans="2:11" x14ac:dyDescent="0.25">
      <c r="H72" s="301">
        <v>46089</v>
      </c>
      <c r="I72" s="129" t="s">
        <v>175</v>
      </c>
      <c r="J72" s="108">
        <v>55</v>
      </c>
      <c r="K72" s="297">
        <f>+J72*1.5</f>
        <v>82.5</v>
      </c>
    </row>
    <row r="73" spans="2:11" x14ac:dyDescent="0.25">
      <c r="B73" s="162" t="s">
        <v>254</v>
      </c>
      <c r="C73" s="389">
        <v>0.8</v>
      </c>
      <c r="H73" s="301">
        <v>46089</v>
      </c>
      <c r="I73" s="129" t="s">
        <v>176</v>
      </c>
      <c r="J73" s="71">
        <v>162</v>
      </c>
      <c r="K73" s="297">
        <f>+J73*1.5</f>
        <v>243</v>
      </c>
    </row>
    <row r="74" spans="2:11" x14ac:dyDescent="0.25">
      <c r="H74" s="301">
        <v>46090</v>
      </c>
      <c r="I74" s="129" t="s">
        <v>175</v>
      </c>
      <c r="J74" s="108">
        <f>36+36+37</f>
        <v>109</v>
      </c>
      <c r="K74" s="297">
        <f>+J74*1.5</f>
        <v>163.5</v>
      </c>
    </row>
    <row r="75" spans="2:11" x14ac:dyDescent="0.25">
      <c r="J75" s="71"/>
      <c r="K75" s="71"/>
    </row>
    <row r="76" spans="2:11" x14ac:dyDescent="0.25">
      <c r="H76" s="344"/>
      <c r="I76" s="345"/>
      <c r="J76" s="435">
        <f>+J73+J72+J74</f>
        <v>326</v>
      </c>
      <c r="K76" s="436">
        <f>+J76*1.5</f>
        <v>489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56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38"/>
      <c r="C4" s="438"/>
      <c r="D4" s="165">
        <f>D26</f>
        <v>8480.5420000000013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3900</v>
      </c>
      <c r="D5" s="172">
        <v>166.44400000000002</v>
      </c>
      <c r="E5" s="80">
        <f t="shared" ref="E5:E25" si="0">+D5/$D$4</f>
        <v>1.9626575754238349E-2</v>
      </c>
      <c r="F5" s="58" t="s">
        <v>51</v>
      </c>
      <c r="G5" s="59">
        <v>46090</v>
      </c>
      <c r="H5" s="190">
        <v>7350.8000000000011</v>
      </c>
      <c r="I5" s="141">
        <v>6991.9049999999997</v>
      </c>
      <c r="J5" s="60">
        <f t="shared" ref="J5:J12" si="1">+I5/H5</f>
        <v>0.9511760624693909</v>
      </c>
    </row>
    <row r="6" spans="1:11" ht="15" customHeight="1" x14ac:dyDescent="0.25">
      <c r="A6" s="164"/>
      <c r="B6" s="169" t="s">
        <v>10</v>
      </c>
      <c r="C6" s="177">
        <v>4798</v>
      </c>
      <c r="D6" s="173">
        <v>204.31199999999998</v>
      </c>
      <c r="E6" s="80">
        <f t="shared" si="0"/>
        <v>2.4091856393140904E-2</v>
      </c>
      <c r="F6" s="58" t="s">
        <v>52</v>
      </c>
      <c r="G6" s="59">
        <v>46091</v>
      </c>
      <c r="H6" s="190">
        <v>8582</v>
      </c>
      <c r="I6" s="141">
        <v>8480.5420000000013</v>
      </c>
      <c r="J6" s="60">
        <f t="shared" si="1"/>
        <v>0.98817781402936389</v>
      </c>
    </row>
    <row r="7" spans="1:11" ht="15" customHeight="1" x14ac:dyDescent="0.25">
      <c r="A7" s="164"/>
      <c r="B7" s="169" t="s">
        <v>35</v>
      </c>
      <c r="C7" s="177">
        <v>33500</v>
      </c>
      <c r="D7" s="173">
        <v>1427.6780000000001</v>
      </c>
      <c r="E7" s="245">
        <f t="shared" si="0"/>
        <v>0.168347494770971</v>
      </c>
      <c r="F7" s="58" t="s">
        <v>53</v>
      </c>
      <c r="G7" s="59">
        <v>46092</v>
      </c>
      <c r="H7" s="190">
        <v>8063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</v>
      </c>
      <c r="C8" s="177">
        <v>3940</v>
      </c>
      <c r="D8" s="173">
        <v>168.24999999999997</v>
      </c>
      <c r="E8" s="80">
        <f t="shared" si="0"/>
        <v>1.9839533841115337E-2</v>
      </c>
      <c r="F8" s="58" t="s">
        <v>54</v>
      </c>
      <c r="G8" s="59">
        <v>46093</v>
      </c>
      <c r="H8" s="190">
        <v>7581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32122</v>
      </c>
      <c r="D9" s="173">
        <v>1371.1480000000001</v>
      </c>
      <c r="E9" s="245">
        <f t="shared" si="0"/>
        <v>0.1616816472343395</v>
      </c>
      <c r="F9" s="58" t="s">
        <v>55</v>
      </c>
      <c r="G9" s="59">
        <v>46094</v>
      </c>
      <c r="H9" s="190">
        <v>7527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54731</v>
      </c>
      <c r="D10" s="173">
        <v>2335.9419999999996</v>
      </c>
      <c r="E10" s="245">
        <f t="shared" si="0"/>
        <v>0.27544725325338865</v>
      </c>
      <c r="F10" s="58" t="s">
        <v>56</v>
      </c>
      <c r="G10" s="59">
        <v>46095</v>
      </c>
      <c r="H10" s="190">
        <v>7275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6965</v>
      </c>
      <c r="D11" s="173">
        <v>297.79799999999994</v>
      </c>
      <c r="E11" s="80">
        <f t="shared" si="0"/>
        <v>3.5115444272311828E-2</v>
      </c>
      <c r="F11" s="58" t="s">
        <v>57</v>
      </c>
      <c r="G11" s="59">
        <v>46096</v>
      </c>
      <c r="H11" s="190">
        <v>4068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1200</v>
      </c>
      <c r="D12" s="173">
        <v>30.14</v>
      </c>
      <c r="E12" s="80">
        <f t="shared" si="0"/>
        <v>3.5540181276149563E-3</v>
      </c>
      <c r="H12" s="139">
        <f>+SUM(H5:H11)</f>
        <v>50446.8</v>
      </c>
      <c r="I12" s="142">
        <f>+SUM(I5:I11)</f>
        <v>15472.447</v>
      </c>
      <c r="J12" s="140">
        <f t="shared" si="1"/>
        <v>0.30670819556443618</v>
      </c>
    </row>
    <row r="13" spans="1:11" ht="15" customHeight="1" x14ac:dyDescent="0.25">
      <c r="A13" s="164"/>
      <c r="B13" s="169" t="s">
        <v>43</v>
      </c>
      <c r="C13" s="177">
        <v>159</v>
      </c>
      <c r="D13" s="173">
        <v>240.42000000000002</v>
      </c>
      <c r="E13" s="80">
        <f t="shared" si="0"/>
        <v>2.8349603126781281E-2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44</v>
      </c>
      <c r="C14" s="177">
        <v>46</v>
      </c>
      <c r="D14" s="173">
        <v>69.25</v>
      </c>
      <c r="E14" s="80">
        <f t="shared" si="0"/>
        <v>8.1657516701173095E-3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49</v>
      </c>
      <c r="C15" s="177">
        <v>107</v>
      </c>
      <c r="D15" s="173">
        <v>161.38</v>
      </c>
      <c r="E15" s="80">
        <f t="shared" si="0"/>
        <v>1.9029444108643052E-2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45</v>
      </c>
      <c r="C16" s="177">
        <v>45</v>
      </c>
      <c r="D16" s="173">
        <v>67.849999999999994</v>
      </c>
      <c r="E16" s="80">
        <f t="shared" si="0"/>
        <v>8.0006678818405688E-3</v>
      </c>
      <c r="F16" s="112" t="s">
        <v>110</v>
      </c>
      <c r="G16" s="190">
        <v>199570.19199999989</v>
      </c>
      <c r="H16" s="190">
        <v>197224.22099999999</v>
      </c>
      <c r="I16" s="190">
        <f>+D27</f>
        <v>79859.714000000007</v>
      </c>
      <c r="J16" s="98">
        <f t="shared" si="2"/>
        <v>0.98824488278289624</v>
      </c>
      <c r="K16" s="98">
        <f t="shared" si="2"/>
        <v>0.40491838981582295</v>
      </c>
    </row>
    <row r="17" spans="1:11" ht="15" customHeight="1" x14ac:dyDescent="0.25">
      <c r="A17" s="164"/>
      <c r="B17" s="169" t="s">
        <v>39</v>
      </c>
      <c r="C17" s="177">
        <v>592</v>
      </c>
      <c r="D17" s="173">
        <v>895.59999999999968</v>
      </c>
      <c r="E17" s="245">
        <f t="shared" si="0"/>
        <v>0.10560645770046297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88</v>
      </c>
      <c r="C18" s="177">
        <v>30.01</v>
      </c>
      <c r="D18" s="173">
        <v>30.01</v>
      </c>
      <c r="E18" s="80">
        <f t="shared" si="0"/>
        <v>3.5386889187035446E-3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41</v>
      </c>
      <c r="C19" s="177">
        <v>128</v>
      </c>
      <c r="D19" s="173">
        <v>193.14000000000001</v>
      </c>
      <c r="E19" s="80">
        <f t="shared" si="0"/>
        <v>2.2774487762692523E-2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85</v>
      </c>
      <c r="C20" s="177">
        <v>44</v>
      </c>
      <c r="D20" s="173">
        <v>66.13</v>
      </c>
      <c r="E20" s="80">
        <f t="shared" si="0"/>
        <v>7.7978506562434314E-3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39</v>
      </c>
      <c r="C21" s="177"/>
      <c r="D21" s="173"/>
      <c r="E21" s="80">
        <f t="shared" si="0"/>
        <v>0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32</v>
      </c>
      <c r="E22" s="80">
        <f t="shared" si="0"/>
        <v>3.7733437320397675E-3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214.27</v>
      </c>
      <c r="E23" s="80">
        <f t="shared" si="0"/>
        <v>2.5266073795755031E-2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A24" s="164"/>
      <c r="B24" s="169" t="s">
        <v>46</v>
      </c>
      <c r="C24" s="177"/>
      <c r="D24" s="173">
        <v>150.85</v>
      </c>
      <c r="E24" s="80">
        <f t="shared" si="0"/>
        <v>1.7787778186818717E-2</v>
      </c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thickBot="1" x14ac:dyDescent="0.3">
      <c r="A25" s="164"/>
      <c r="B25" s="169" t="s">
        <v>40</v>
      </c>
      <c r="C25" s="177"/>
      <c r="D25" s="173">
        <v>357.92999999999995</v>
      </c>
      <c r="E25" s="80">
        <f t="shared" si="0"/>
        <v>4.2206028812781057E-2</v>
      </c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B26" s="178" t="s">
        <v>0</v>
      </c>
      <c r="C26" s="170"/>
      <c r="D26" s="171">
        <f>SUM(D5:D25)</f>
        <v>8480.5420000000013</v>
      </c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511207.31999999995</v>
      </c>
      <c r="J26" s="378"/>
      <c r="K26" s="378">
        <f>+I26/H26</f>
        <v>0.19542752884222162</v>
      </c>
    </row>
    <row r="27" spans="1:11" ht="15" customHeight="1" thickBot="1" x14ac:dyDescent="0.3">
      <c r="B27" s="166" t="s">
        <v>1</v>
      </c>
      <c r="C27" s="167"/>
      <c r="D27" s="233">
        <v>79859.714000000007</v>
      </c>
      <c r="E27" s="313">
        <f>+D27/J2</f>
        <v>0.3806759191357062</v>
      </c>
      <c r="G27" s="379" t="s">
        <v>229</v>
      </c>
      <c r="H27" s="380"/>
      <c r="I27" s="380">
        <v>2726927.1277059279</v>
      </c>
      <c r="J27" s="381">
        <f>+I26/H26</f>
        <v>0.19542752884222162</v>
      </c>
      <c r="K27" s="179"/>
    </row>
    <row r="28" spans="1:11" ht="16.5" thickBot="1" x14ac:dyDescent="0.3">
      <c r="F28" s="179"/>
      <c r="G28" s="179"/>
      <c r="J28" s="179"/>
    </row>
    <row r="29" spans="1:11" ht="16.5" thickBot="1" x14ac:dyDescent="0.3">
      <c r="B29" s="397" t="s">
        <v>251</v>
      </c>
      <c r="C29" s="439">
        <v>10</v>
      </c>
      <c r="D29" s="108">
        <f>J3*C29</f>
        <v>67672.255505430556</v>
      </c>
      <c r="E29" s="314">
        <f>+D29/J2</f>
        <v>0.32258064516129031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x14ac:dyDescent="0.25">
      <c r="D30" s="183">
        <f>+D27-D29</f>
        <v>12187.458494569451</v>
      </c>
      <c r="E30" s="99">
        <f>E27-E29</f>
        <v>5.8095273974415884E-2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6032</v>
      </c>
      <c r="I32" s="88">
        <f>+H32*0.025</f>
        <v>150.80000000000001</v>
      </c>
      <c r="J32" s="224"/>
    </row>
    <row r="33" spans="1:11" x14ac:dyDescent="0.25">
      <c r="B33" s="162" t="s">
        <v>61</v>
      </c>
      <c r="C33" s="162">
        <v>432</v>
      </c>
      <c r="D33" s="108">
        <v>2142</v>
      </c>
      <c r="E33" s="57">
        <f>+C33/D33</f>
        <v>0.20168067226890757</v>
      </c>
      <c r="G33" s="86" t="s">
        <v>259</v>
      </c>
      <c r="H33" s="87">
        <v>4627</v>
      </c>
      <c r="I33" s="88">
        <f>+H33*0.025</f>
        <v>115.67500000000001</v>
      </c>
      <c r="J33" s="224"/>
      <c r="K33" s="68"/>
    </row>
    <row r="34" spans="1:11" x14ac:dyDescent="0.25">
      <c r="B34" s="162" t="s">
        <v>62</v>
      </c>
      <c r="C34" s="162">
        <v>1072</v>
      </c>
      <c r="D34" s="108">
        <v>1890</v>
      </c>
      <c r="E34" s="57">
        <f>+C34/D34</f>
        <v>0.56719576719576714</v>
      </c>
      <c r="G34" s="86" t="s">
        <v>171</v>
      </c>
      <c r="H34" s="87">
        <v>182</v>
      </c>
      <c r="I34" s="88">
        <f>+H34*0.025</f>
        <v>4.55</v>
      </c>
      <c r="J34" s="297" t="s">
        <v>188</v>
      </c>
    </row>
    <row r="35" spans="1:11" x14ac:dyDescent="0.25">
      <c r="B35" s="162" t="s">
        <v>63</v>
      </c>
      <c r="C35" s="67">
        <v>565</v>
      </c>
      <c r="D35" s="108">
        <v>3006</v>
      </c>
      <c r="E35" s="57">
        <f>+C35/D35</f>
        <v>0.18795741849634065</v>
      </c>
      <c r="G35" s="89" t="s">
        <v>169</v>
      </c>
      <c r="H35" s="87">
        <v>222</v>
      </c>
      <c r="I35" s="88">
        <f>+H35*1.5</f>
        <v>333</v>
      </c>
      <c r="J35" s="298">
        <f>+I35+I32+I33</f>
        <v>599.47500000000002</v>
      </c>
    </row>
    <row r="36" spans="1:11" x14ac:dyDescent="0.25">
      <c r="C36" s="162">
        <f>+SUM(C33:C35)</f>
        <v>2069</v>
      </c>
      <c r="D36" s="110">
        <f>+SUM(D33:D35)</f>
        <v>7038</v>
      </c>
      <c r="E36" s="57">
        <f>+C36/D36</f>
        <v>0.29397556123898833</v>
      </c>
      <c r="G36" s="89" t="s">
        <v>168</v>
      </c>
      <c r="H36" s="87">
        <v>2</v>
      </c>
      <c r="I36" s="88">
        <f>+H36*1.5</f>
        <v>3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47</v>
      </c>
      <c r="C40" s="74">
        <v>4</v>
      </c>
      <c r="D40" s="74">
        <v>19</v>
      </c>
      <c r="E40" s="75">
        <f>+SUM(B40:D40)</f>
        <v>70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1.2</v>
      </c>
      <c r="C43" s="199">
        <v>1787</v>
      </c>
      <c r="D43" s="200">
        <v>2400</v>
      </c>
      <c r="E43" s="201">
        <f t="shared" ref="E43:E48" si="3">+C43/D43</f>
        <v>0.74458333333333337</v>
      </c>
      <c r="F43" s="201">
        <f t="shared" ref="F43:F48" si="4">+B43/24</f>
        <v>4.9999999999999996E-2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7.74</v>
      </c>
      <c r="C44" s="199">
        <v>2225</v>
      </c>
      <c r="D44" s="200">
        <v>3600</v>
      </c>
      <c r="E44" s="201">
        <f t="shared" si="3"/>
        <v>0.61805555555555558</v>
      </c>
      <c r="F44" s="201">
        <f t="shared" si="4"/>
        <v>0.32250000000000001</v>
      </c>
      <c r="G44" s="202">
        <v>12</v>
      </c>
      <c r="H44" s="71"/>
    </row>
    <row r="45" spans="1:11" x14ac:dyDescent="0.25">
      <c r="A45" s="207" t="s">
        <v>72</v>
      </c>
      <c r="B45" s="199">
        <v>7.74</v>
      </c>
      <c r="C45" s="199">
        <v>1810</v>
      </c>
      <c r="D45" s="200">
        <v>3900</v>
      </c>
      <c r="E45" s="201">
        <f t="shared" si="3"/>
        <v>0.46410256410256412</v>
      </c>
      <c r="F45" s="201">
        <f t="shared" si="4"/>
        <v>0.32250000000000001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9.99</v>
      </c>
      <c r="C46" s="199">
        <v>2649</v>
      </c>
      <c r="D46" s="200">
        <v>3900</v>
      </c>
      <c r="E46" s="201">
        <f t="shared" si="3"/>
        <v>0.67923076923076919</v>
      </c>
      <c r="F46" s="201">
        <f t="shared" si="4"/>
        <v>0.41625000000000001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15.14</v>
      </c>
      <c r="C47" s="199">
        <v>2324</v>
      </c>
      <c r="D47" s="200">
        <v>3900</v>
      </c>
      <c r="E47" s="201">
        <f t="shared" si="3"/>
        <v>0.59589743589743593</v>
      </c>
      <c r="F47" s="201">
        <f t="shared" si="4"/>
        <v>0.63083333333333336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>+J47*1.5</f>
        <v>199.5</v>
      </c>
    </row>
    <row r="48" spans="1:11" x14ac:dyDescent="0.25">
      <c r="A48" s="259" t="s">
        <v>75</v>
      </c>
      <c r="B48" s="260">
        <v>11</v>
      </c>
      <c r="C48" s="261">
        <v>2478</v>
      </c>
      <c r="D48" s="262">
        <v>4300</v>
      </c>
      <c r="E48" s="263">
        <f t="shared" si="3"/>
        <v>0.57627906976744181</v>
      </c>
      <c r="F48" s="201">
        <f t="shared" si="4"/>
        <v>0.45833333333333331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>+J48*1.5</f>
        <v>63</v>
      </c>
    </row>
    <row r="49" spans="2:11" x14ac:dyDescent="0.25">
      <c r="B49" s="113">
        <f>+SUM(B43:B48)</f>
        <v>52.81</v>
      </c>
      <c r="C49" s="71"/>
      <c r="D49" s="72"/>
      <c r="H49" s="301">
        <v>46085</v>
      </c>
      <c r="I49" s="129" t="s">
        <v>175</v>
      </c>
      <c r="J49" s="162">
        <v>60</v>
      </c>
      <c r="K49" s="318">
        <f>+J49*1.5</f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>+J50*1.5</f>
        <v>156</v>
      </c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12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</row>
    <row r="58" spans="2:11" x14ac:dyDescent="0.25">
      <c r="C58" s="71">
        <v>8</v>
      </c>
      <c r="D58" s="108">
        <v>1</v>
      </c>
    </row>
    <row r="59" spans="2:11" x14ac:dyDescent="0.25">
      <c r="H59" s="359" t="s">
        <v>219</v>
      </c>
      <c r="I59" s="345"/>
      <c r="J59" s="199">
        <f>+SUM(J47:J58)</f>
        <v>339</v>
      </c>
      <c r="K59" s="346">
        <f>+J59*1.5</f>
        <v>508.5</v>
      </c>
    </row>
    <row r="60" spans="2:11" x14ac:dyDescent="0.25">
      <c r="B60" s="364" t="s">
        <v>231</v>
      </c>
      <c r="C60" s="199">
        <v>2027</v>
      </c>
      <c r="D60" s="384" t="s">
        <v>92</v>
      </c>
      <c r="F60" s="439" t="s">
        <v>271</v>
      </c>
      <c r="G60" s="439" t="s">
        <v>267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F61" s="439">
        <v>1230</v>
      </c>
      <c r="G61" s="439">
        <v>784.3</v>
      </c>
      <c r="H61" s="301"/>
      <c r="I61" s="129"/>
      <c r="K61" s="318"/>
    </row>
    <row r="62" spans="2:11" x14ac:dyDescent="0.25">
      <c r="F62" s="432">
        <f>+G61/F61</f>
        <v>0.63764227642276416</v>
      </c>
      <c r="G62" s="439" t="s">
        <v>269</v>
      </c>
      <c r="H62" s="301">
        <v>46082</v>
      </c>
      <c r="I62" s="129" t="s">
        <v>176</v>
      </c>
      <c r="J62" s="162">
        <v>11032</v>
      </c>
      <c r="K62" s="318">
        <f>+J62*0.025</f>
        <v>275.8</v>
      </c>
    </row>
    <row r="63" spans="2:11" x14ac:dyDescent="0.25">
      <c r="F63" s="439"/>
      <c r="G63" s="439">
        <v>140</v>
      </c>
      <c r="H63" s="301">
        <v>46090</v>
      </c>
      <c r="I63" s="129" t="s">
        <v>175</v>
      </c>
      <c r="J63" s="162">
        <v>1278</v>
      </c>
      <c r="K63" s="318">
        <f>+J63*0.025</f>
        <v>31.950000000000003</v>
      </c>
    </row>
    <row r="64" spans="2:11" x14ac:dyDescent="0.25">
      <c r="F64" s="432">
        <f>(G63+G61)/F61</f>
        <v>0.75146341463414634</v>
      </c>
      <c r="G64" s="439" t="s">
        <v>270</v>
      </c>
      <c r="H64" s="301"/>
      <c r="I64" s="129"/>
      <c r="K64" s="318"/>
    </row>
    <row r="65" spans="2:11" x14ac:dyDescent="0.25">
      <c r="B65" s="66"/>
      <c r="C65" s="391"/>
      <c r="D65" s="391"/>
      <c r="H65" s="301"/>
      <c r="I65" s="129"/>
      <c r="K65" s="318"/>
    </row>
    <row r="66" spans="2:11" x14ac:dyDescent="0.25">
      <c r="C66" s="389"/>
    </row>
    <row r="67" spans="2:11" x14ac:dyDescent="0.25">
      <c r="C67" s="389"/>
      <c r="H67" s="431" t="s">
        <v>262</v>
      </c>
      <c r="I67" s="345"/>
      <c r="J67" s="200">
        <f>+J63</f>
        <v>1278</v>
      </c>
      <c r="K67" s="346">
        <f>+J67*0.025</f>
        <v>31.950000000000003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237" t="s">
        <v>157</v>
      </c>
      <c r="K71" s="437" t="s">
        <v>92</v>
      </c>
    </row>
    <row r="72" spans="2:11" x14ac:dyDescent="0.25">
      <c r="H72" s="301">
        <v>46089</v>
      </c>
      <c r="I72" s="129" t="s">
        <v>175</v>
      </c>
      <c r="J72" s="108">
        <v>55</v>
      </c>
      <c r="K72" s="297">
        <f>+J72*1.5</f>
        <v>82.5</v>
      </c>
    </row>
    <row r="73" spans="2:11" x14ac:dyDescent="0.25">
      <c r="B73" s="162" t="s">
        <v>254</v>
      </c>
      <c r="C73" s="389">
        <v>0.8</v>
      </c>
      <c r="H73" s="301">
        <v>46089</v>
      </c>
      <c r="I73" s="129" t="s">
        <v>176</v>
      </c>
      <c r="J73" s="71">
        <v>162</v>
      </c>
      <c r="K73" s="297">
        <f>+J73*1.5</f>
        <v>243</v>
      </c>
    </row>
    <row r="74" spans="2:11" x14ac:dyDescent="0.25">
      <c r="H74" s="301">
        <v>46090</v>
      </c>
      <c r="I74" s="129" t="s">
        <v>175</v>
      </c>
      <c r="J74" s="108">
        <f>36+36+37</f>
        <v>109</v>
      </c>
      <c r="K74" s="297">
        <f>+J74*1.5</f>
        <v>163.5</v>
      </c>
    </row>
    <row r="75" spans="2:11" x14ac:dyDescent="0.25">
      <c r="J75" s="71"/>
      <c r="K75" s="71"/>
    </row>
    <row r="76" spans="2:11" x14ac:dyDescent="0.25">
      <c r="H76" s="344"/>
      <c r="I76" s="345"/>
      <c r="J76" s="435">
        <f>+J73+J72+J74</f>
        <v>326</v>
      </c>
      <c r="K76" s="436">
        <f>+J76*1.5</f>
        <v>489</v>
      </c>
    </row>
  </sheetData>
  <protectedRanges>
    <protectedRange password="D554" sqref="I41:I43" name="Rango1_1_2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59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v>46093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40"/>
      <c r="C4" s="440"/>
      <c r="D4" s="165">
        <f>D26</f>
        <v>9346.0449999999983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2643</v>
      </c>
      <c r="D5" s="172">
        <v>112.872</v>
      </c>
      <c r="E5" s="80">
        <f t="shared" ref="E5:E25" si="0">+D5/$D$4</f>
        <v>1.2076980155777125E-2</v>
      </c>
      <c r="F5" s="58" t="s">
        <v>51</v>
      </c>
      <c r="G5" s="59">
        <v>46090</v>
      </c>
      <c r="H5" s="190">
        <v>7350.8000000000011</v>
      </c>
      <c r="I5" s="141">
        <v>6991.9049999999997</v>
      </c>
      <c r="J5" s="60">
        <f t="shared" ref="J5:J12" si="1">+I5/H5</f>
        <v>0.9511760624693909</v>
      </c>
    </row>
    <row r="6" spans="1:11" ht="15" customHeight="1" x14ac:dyDescent="0.25">
      <c r="A6" s="164"/>
      <c r="B6" s="169" t="s">
        <v>10</v>
      </c>
      <c r="C6" s="177">
        <v>6848</v>
      </c>
      <c r="D6" s="173">
        <v>292.41399999999999</v>
      </c>
      <c r="E6" s="80">
        <f t="shared" si="0"/>
        <v>3.1287459026786202E-2</v>
      </c>
      <c r="F6" s="58" t="s">
        <v>52</v>
      </c>
      <c r="G6" s="59">
        <v>46091</v>
      </c>
      <c r="H6" s="190">
        <v>8582</v>
      </c>
      <c r="I6" s="141">
        <v>8480.5420000000013</v>
      </c>
      <c r="J6" s="60">
        <f t="shared" si="1"/>
        <v>0.98817781402936389</v>
      </c>
    </row>
    <row r="7" spans="1:11" ht="15" customHeight="1" x14ac:dyDescent="0.25">
      <c r="A7" s="164"/>
      <c r="B7" s="169" t="s">
        <v>35</v>
      </c>
      <c r="C7" s="177">
        <v>42730</v>
      </c>
      <c r="D7" s="173">
        <v>1823.2019999999993</v>
      </c>
      <c r="E7" s="245">
        <f t="shared" si="0"/>
        <v>0.19507738299997482</v>
      </c>
      <c r="F7" s="58" t="s">
        <v>53</v>
      </c>
      <c r="G7" s="59">
        <v>46092</v>
      </c>
      <c r="H7" s="190">
        <v>8063</v>
      </c>
      <c r="I7" s="141">
        <v>7624.62</v>
      </c>
      <c r="J7" s="60">
        <f t="shared" si="1"/>
        <v>0.94563065856381001</v>
      </c>
    </row>
    <row r="8" spans="1:11" ht="15" customHeight="1" x14ac:dyDescent="0.25">
      <c r="A8" s="164"/>
      <c r="B8" s="169" t="s">
        <v>37</v>
      </c>
      <c r="C8" s="177">
        <v>40299</v>
      </c>
      <c r="D8" s="173">
        <v>1720.7299999999998</v>
      </c>
      <c r="E8" s="245">
        <f t="shared" si="0"/>
        <v>0.18411317300526586</v>
      </c>
      <c r="F8" s="58" t="s">
        <v>54</v>
      </c>
      <c r="G8" s="59">
        <v>46093</v>
      </c>
      <c r="H8" s="190">
        <v>7581</v>
      </c>
      <c r="I8" s="141">
        <v>9346.0449999999983</v>
      </c>
      <c r="J8" s="60">
        <f t="shared" si="1"/>
        <v>1.2328248252209468</v>
      </c>
    </row>
    <row r="9" spans="1:11" ht="15" customHeight="1" x14ac:dyDescent="0.25">
      <c r="A9" s="164"/>
      <c r="B9" s="169" t="s">
        <v>38</v>
      </c>
      <c r="C9" s="177">
        <v>59783</v>
      </c>
      <c r="D9" s="173">
        <v>2553.2350000000001</v>
      </c>
      <c r="E9" s="245">
        <f t="shared" si="0"/>
        <v>0.27318881944180673</v>
      </c>
      <c r="F9" s="58" t="s">
        <v>55</v>
      </c>
      <c r="G9" s="59">
        <v>46094</v>
      </c>
      <c r="H9" s="190">
        <v>7527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42</v>
      </c>
      <c r="C10" s="177">
        <v>3995</v>
      </c>
      <c r="D10" s="173">
        <v>170.61199999999999</v>
      </c>
      <c r="E10" s="80">
        <f t="shared" si="0"/>
        <v>1.825499449232269E-2</v>
      </c>
      <c r="F10" s="58" t="s">
        <v>56</v>
      </c>
      <c r="G10" s="59">
        <v>46095</v>
      </c>
      <c r="H10" s="190">
        <v>7275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218</v>
      </c>
      <c r="C11" s="177">
        <v>800</v>
      </c>
      <c r="D11" s="173">
        <v>34.24</v>
      </c>
      <c r="E11" s="80">
        <f t="shared" si="0"/>
        <v>3.6635817610550783E-3</v>
      </c>
      <c r="F11" s="58" t="s">
        <v>57</v>
      </c>
      <c r="G11" s="59">
        <v>46096</v>
      </c>
      <c r="H11" s="190">
        <v>4068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196</v>
      </c>
      <c r="C12" s="177"/>
      <c r="D12" s="173"/>
      <c r="E12" s="80">
        <f t="shared" si="0"/>
        <v>0</v>
      </c>
      <c r="H12" s="139">
        <f>+SUM(H5:H11)</f>
        <v>50446.8</v>
      </c>
      <c r="I12" s="142">
        <f>+SUM(I5:I11)</f>
        <v>32443.111999999997</v>
      </c>
      <c r="J12" s="140">
        <f t="shared" si="1"/>
        <v>0.64311536113291612</v>
      </c>
    </row>
    <row r="13" spans="1:11" ht="15" customHeight="1" x14ac:dyDescent="0.25">
      <c r="A13" s="164"/>
      <c r="B13" s="169" t="s">
        <v>43</v>
      </c>
      <c r="C13" s="177">
        <v>278</v>
      </c>
      <c r="D13" s="173">
        <v>420.52</v>
      </c>
      <c r="E13" s="80">
        <f t="shared" si="0"/>
        <v>4.4994433474266397E-2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194</v>
      </c>
      <c r="C14" s="177">
        <v>22</v>
      </c>
      <c r="D14" s="173">
        <v>33.22</v>
      </c>
      <c r="E14" s="80">
        <f t="shared" si="0"/>
        <v>3.5544446875657035E-3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44</v>
      </c>
      <c r="C15" s="177">
        <v>21</v>
      </c>
      <c r="D15" s="173">
        <v>31.6</v>
      </c>
      <c r="E15" s="80">
        <f t="shared" si="0"/>
        <v>3.3811093355531679E-3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49</v>
      </c>
      <c r="C16" s="177">
        <v>42</v>
      </c>
      <c r="D16" s="173">
        <v>63.28</v>
      </c>
      <c r="E16" s="80">
        <f t="shared" si="0"/>
        <v>6.7707784415760907E-3</v>
      </c>
      <c r="F16" s="112" t="s">
        <v>110</v>
      </c>
      <c r="G16" s="190">
        <v>199570.19199999989</v>
      </c>
      <c r="H16" s="190">
        <v>197224.22099999999</v>
      </c>
      <c r="I16" s="190">
        <f>+D27</f>
        <v>96830.383000000002</v>
      </c>
      <c r="J16" s="98">
        <f t="shared" si="2"/>
        <v>0.98824488278289624</v>
      </c>
      <c r="K16" s="98">
        <f t="shared" si="2"/>
        <v>0.49096598028900318</v>
      </c>
    </row>
    <row r="17" spans="1:11" ht="15" customHeight="1" x14ac:dyDescent="0.25">
      <c r="A17" s="164"/>
      <c r="B17" s="169" t="s">
        <v>45</v>
      </c>
      <c r="C17" s="177">
        <v>23</v>
      </c>
      <c r="D17" s="173">
        <v>34.630000000000003</v>
      </c>
      <c r="E17" s="80">
        <f t="shared" si="0"/>
        <v>3.705310642095133E-3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88</v>
      </c>
      <c r="C18" s="177">
        <v>60</v>
      </c>
      <c r="D18" s="173">
        <v>90.19</v>
      </c>
      <c r="E18" s="80">
        <f t="shared" si="0"/>
        <v>9.6500712333398801E-3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41</v>
      </c>
      <c r="C19" s="177">
        <v>191</v>
      </c>
      <c r="D19" s="173">
        <v>287.85000000000002</v>
      </c>
      <c r="E19" s="80">
        <f t="shared" si="0"/>
        <v>3.0799124121486689E-2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39</v>
      </c>
      <c r="C20" s="177">
        <v>473</v>
      </c>
      <c r="D20" s="173">
        <v>716.56000000000006</v>
      </c>
      <c r="E20" s="80">
        <f t="shared" si="0"/>
        <v>7.6669864097594242E-2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39</v>
      </c>
      <c r="C21" s="177"/>
      <c r="D21" s="173"/>
      <c r="E21" s="80">
        <f t="shared" si="0"/>
        <v>0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32.68</v>
      </c>
      <c r="E22" s="80">
        <f t="shared" si="0"/>
        <v>3.4966662368948582E-3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211.57000000000002</v>
      </c>
      <c r="E23" s="80">
        <f t="shared" si="0"/>
        <v>2.2637382978575437E-2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A24" s="164"/>
      <c r="B24" s="169" t="s">
        <v>46</v>
      </c>
      <c r="C24" s="177"/>
      <c r="D24" s="173">
        <v>121.93</v>
      </c>
      <c r="E24" s="80">
        <f t="shared" si="0"/>
        <v>1.304616016721512E-2</v>
      </c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thickBot="1" x14ac:dyDescent="0.3">
      <c r="A25" s="164"/>
      <c r="B25" s="169" t="s">
        <v>40</v>
      </c>
      <c r="C25" s="177"/>
      <c r="D25" s="173">
        <v>594.71</v>
      </c>
      <c r="E25" s="80">
        <f t="shared" si="0"/>
        <v>6.3632263700848873E-2</v>
      </c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B26" s="178" t="s">
        <v>0</v>
      </c>
      <c r="C26" s="170"/>
      <c r="D26" s="171">
        <f>SUM(D5:D25)</f>
        <v>9346.0449999999983</v>
      </c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528177.98899999994</v>
      </c>
      <c r="J26" s="378"/>
      <c r="K26" s="378">
        <f>+I26/H26</f>
        <v>0.20191518223785235</v>
      </c>
    </row>
    <row r="27" spans="1:11" ht="15" customHeight="1" thickBot="1" x14ac:dyDescent="0.3">
      <c r="B27" s="166" t="s">
        <v>1</v>
      </c>
      <c r="C27" s="167"/>
      <c r="D27" s="233">
        <v>96830.383000000002</v>
      </c>
      <c r="E27" s="313">
        <f>+D27/J2</f>
        <v>0.46157183894732529</v>
      </c>
      <c r="G27" s="379" t="s">
        <v>229</v>
      </c>
      <c r="H27" s="380"/>
      <c r="I27" s="380">
        <v>2726927.1277059279</v>
      </c>
      <c r="J27" s="381">
        <f>+I26/H26</f>
        <v>0.20191518223785235</v>
      </c>
      <c r="K27" s="179"/>
    </row>
    <row r="28" spans="1:11" ht="16.5" thickBot="1" x14ac:dyDescent="0.3">
      <c r="F28" s="179"/>
      <c r="G28" s="179"/>
      <c r="J28" s="179"/>
    </row>
    <row r="29" spans="1:11" ht="16.5" thickBot="1" x14ac:dyDescent="0.3">
      <c r="B29" s="397" t="s">
        <v>251</v>
      </c>
      <c r="C29" s="441">
        <v>12</v>
      </c>
      <c r="D29" s="108">
        <f>J3*C29</f>
        <v>81206.706606516673</v>
      </c>
      <c r="E29" s="314">
        <f>+D29/J2</f>
        <v>0.38709677419354838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x14ac:dyDescent="0.25">
      <c r="D30" s="183">
        <f>+D27-D29</f>
        <v>15623.676393483329</v>
      </c>
      <c r="E30" s="99">
        <f>E27-E29</f>
        <v>7.4475064753776909E-2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8756</v>
      </c>
      <c r="I32" s="88">
        <f>+H32*0.025</f>
        <v>218.9</v>
      </c>
      <c r="J32" s="224"/>
    </row>
    <row r="33" spans="1:11" x14ac:dyDescent="0.25">
      <c r="B33" s="162" t="s">
        <v>61</v>
      </c>
      <c r="C33" s="162">
        <v>381</v>
      </c>
      <c r="D33" s="108">
        <v>2142</v>
      </c>
      <c r="E33" s="57">
        <f>+C33/D33</f>
        <v>0.17787114845938376</v>
      </c>
      <c r="G33" s="86" t="s">
        <v>259</v>
      </c>
      <c r="H33" s="87">
        <v>4627</v>
      </c>
      <c r="I33" s="88">
        <f>+H33*0.025</f>
        <v>115.67500000000001</v>
      </c>
      <c r="J33" s="224"/>
      <c r="K33" s="68"/>
    </row>
    <row r="34" spans="1:11" x14ac:dyDescent="0.25">
      <c r="B34" s="162" t="s">
        <v>62</v>
      </c>
      <c r="C34" s="162">
        <v>1341</v>
      </c>
      <c r="D34" s="108">
        <v>1890</v>
      </c>
      <c r="E34" s="57">
        <f>+C34/D34</f>
        <v>0.70952380952380956</v>
      </c>
      <c r="G34" s="86" t="s">
        <v>171</v>
      </c>
      <c r="H34" s="87">
        <v>182</v>
      </c>
      <c r="I34" s="88">
        <f>+H34*0.025</f>
        <v>4.55</v>
      </c>
      <c r="J34" s="297" t="s">
        <v>188</v>
      </c>
    </row>
    <row r="35" spans="1:11" x14ac:dyDescent="0.25">
      <c r="B35" s="162" t="s">
        <v>63</v>
      </c>
      <c r="C35" s="67">
        <v>624</v>
      </c>
      <c r="D35" s="108">
        <v>3006</v>
      </c>
      <c r="E35" s="57">
        <f>+C35/D35</f>
        <v>0.20758483033932135</v>
      </c>
      <c r="G35" s="89" t="s">
        <v>169</v>
      </c>
      <c r="H35" s="87">
        <v>48</v>
      </c>
      <c r="I35" s="88">
        <f>+H35*1.5</f>
        <v>72</v>
      </c>
      <c r="J35" s="298">
        <f>+I35+I32+I33</f>
        <v>406.57499999999999</v>
      </c>
    </row>
    <row r="36" spans="1:11" x14ac:dyDescent="0.25">
      <c r="C36" s="162">
        <f>+SUM(C33:C35)</f>
        <v>2346</v>
      </c>
      <c r="D36" s="110">
        <f>+SUM(D33:D35)</f>
        <v>7038</v>
      </c>
      <c r="E36" s="57">
        <f>+C36/D36</f>
        <v>0.33333333333333331</v>
      </c>
      <c r="G36" s="89" t="s">
        <v>168</v>
      </c>
      <c r="H36" s="87">
        <v>2</v>
      </c>
      <c r="I36" s="88">
        <f>+H36*1.5</f>
        <v>3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59</v>
      </c>
      <c r="C40" s="74">
        <v>1</v>
      </c>
      <c r="D40" s="74">
        <v>20</v>
      </c>
      <c r="E40" s="75">
        <f>+SUM(B40:D40)</f>
        <v>80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4.4000000000000004</v>
      </c>
      <c r="C43" s="199">
        <v>1843</v>
      </c>
      <c r="D43" s="200">
        <v>2400</v>
      </c>
      <c r="E43" s="201">
        <f t="shared" ref="E43:E48" si="3">+C43/D43</f>
        <v>0.76791666666666669</v>
      </c>
      <c r="F43" s="201">
        <f t="shared" ref="F43:F48" si="4">+B43/24</f>
        <v>0.18333333333333335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6.43</v>
      </c>
      <c r="C44" s="199">
        <v>2515</v>
      </c>
      <c r="D44" s="200">
        <v>3600</v>
      </c>
      <c r="E44" s="201">
        <f t="shared" si="3"/>
        <v>0.69861111111111107</v>
      </c>
      <c r="F44" s="201">
        <f t="shared" si="4"/>
        <v>0.26791666666666664</v>
      </c>
      <c r="G44" s="202">
        <v>12</v>
      </c>
      <c r="H44" s="71"/>
    </row>
    <row r="45" spans="1:11" x14ac:dyDescent="0.25">
      <c r="A45" s="207" t="s">
        <v>72</v>
      </c>
      <c r="B45" s="199">
        <v>6.95</v>
      </c>
      <c r="C45" s="199">
        <v>2094</v>
      </c>
      <c r="D45" s="200">
        <v>3900</v>
      </c>
      <c r="E45" s="201">
        <f t="shared" si="3"/>
        <v>0.53692307692307695</v>
      </c>
      <c r="F45" s="201">
        <f t="shared" si="4"/>
        <v>0.28958333333333336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14</v>
      </c>
      <c r="C46" s="199">
        <v>2920</v>
      </c>
      <c r="D46" s="200">
        <v>3900</v>
      </c>
      <c r="E46" s="201">
        <f t="shared" si="3"/>
        <v>0.74871794871794872</v>
      </c>
      <c r="F46" s="201">
        <f t="shared" si="4"/>
        <v>0.58333333333333337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15.56</v>
      </c>
      <c r="C47" s="199">
        <v>2397</v>
      </c>
      <c r="D47" s="200">
        <v>3900</v>
      </c>
      <c r="E47" s="201">
        <f t="shared" si="3"/>
        <v>0.61461538461538456</v>
      </c>
      <c r="F47" s="201">
        <f t="shared" si="4"/>
        <v>0.64833333333333332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>+J47*1.5</f>
        <v>199.5</v>
      </c>
    </row>
    <row r="48" spans="1:11" x14ac:dyDescent="0.25">
      <c r="A48" s="259" t="s">
        <v>75</v>
      </c>
      <c r="B48" s="260">
        <v>14.42</v>
      </c>
      <c r="C48" s="261">
        <v>2491</v>
      </c>
      <c r="D48" s="262">
        <v>4300</v>
      </c>
      <c r="E48" s="263">
        <f t="shared" si="3"/>
        <v>0.57930232558139538</v>
      </c>
      <c r="F48" s="201">
        <f t="shared" si="4"/>
        <v>0.60083333333333333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>+J48*1.5</f>
        <v>63</v>
      </c>
    </row>
    <row r="49" spans="2:11" x14ac:dyDescent="0.25">
      <c r="B49" s="113">
        <f>+SUM(B43:B48)</f>
        <v>61.760000000000005</v>
      </c>
      <c r="C49" s="71"/>
      <c r="D49" s="72"/>
      <c r="H49" s="301">
        <v>46085</v>
      </c>
      <c r="I49" s="129" t="s">
        <v>175</v>
      </c>
      <c r="J49" s="162">
        <v>60</v>
      </c>
      <c r="K49" s="318">
        <f>+J49*1.5</f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>+J50*1.5</f>
        <v>156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46093</v>
      </c>
      <c r="I51" s="129" t="s">
        <v>176</v>
      </c>
      <c r="J51" s="162">
        <v>46</v>
      </c>
      <c r="K51" s="318">
        <f>+J51*1.5</f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7</v>
      </c>
      <c r="H54" s="301"/>
      <c r="I54" s="129"/>
      <c r="K54" s="318"/>
    </row>
    <row r="55" spans="2:11" x14ac:dyDescent="0.25">
      <c r="C55" s="71">
        <v>5</v>
      </c>
      <c r="D55" s="108">
        <v>3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</row>
    <row r="58" spans="2:11" x14ac:dyDescent="0.25">
      <c r="C58" s="71">
        <v>8</v>
      </c>
      <c r="D58" s="108">
        <v>3</v>
      </c>
    </row>
    <row r="59" spans="2:11" x14ac:dyDescent="0.25">
      <c r="H59" s="359" t="s">
        <v>273</v>
      </c>
      <c r="I59" s="345"/>
      <c r="J59" s="199">
        <f>+SUM(J47:J58)</f>
        <v>385</v>
      </c>
      <c r="K59" s="346">
        <f>+J59*1.5</f>
        <v>577.5</v>
      </c>
    </row>
    <row r="60" spans="2:11" x14ac:dyDescent="0.25">
      <c r="B60" s="364" t="s">
        <v>231</v>
      </c>
      <c r="C60" s="199">
        <v>1620</v>
      </c>
      <c r="D60" s="384" t="s">
        <v>92</v>
      </c>
      <c r="F60" s="441" t="s">
        <v>271</v>
      </c>
      <c r="G60" s="441" t="s">
        <v>267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F61" s="441">
        <v>1230</v>
      </c>
      <c r="G61" s="441">
        <v>784.3</v>
      </c>
      <c r="H61" s="301"/>
      <c r="I61" s="129"/>
      <c r="K61" s="318"/>
    </row>
    <row r="62" spans="2:11" x14ac:dyDescent="0.25">
      <c r="F62" s="432">
        <f>+G61/F61</f>
        <v>0.63764227642276416</v>
      </c>
      <c r="G62" s="441" t="s">
        <v>269</v>
      </c>
      <c r="H62" s="301">
        <v>46082</v>
      </c>
      <c r="I62" s="129" t="s">
        <v>176</v>
      </c>
      <c r="J62" s="162">
        <v>11032</v>
      </c>
      <c r="K62" s="318">
        <f>+J62*0.025</f>
        <v>275.8</v>
      </c>
    </row>
    <row r="63" spans="2:11" x14ac:dyDescent="0.25">
      <c r="F63" s="441"/>
      <c r="G63" s="441">
        <v>140</v>
      </c>
      <c r="H63" s="301">
        <v>46090</v>
      </c>
      <c r="I63" s="129" t="s">
        <v>175</v>
      </c>
      <c r="J63" s="162">
        <v>1278</v>
      </c>
      <c r="K63" s="318">
        <f>+J63*0.025</f>
        <v>31.950000000000003</v>
      </c>
    </row>
    <row r="64" spans="2:11" x14ac:dyDescent="0.25">
      <c r="F64" s="432">
        <f>(G63+G61)/F61</f>
        <v>0.75146341463414634</v>
      </c>
      <c r="G64" s="441" t="s">
        <v>270</v>
      </c>
      <c r="H64" s="301">
        <v>46094</v>
      </c>
      <c r="I64" s="129" t="s">
        <v>175</v>
      </c>
      <c r="J64" s="162">
        <v>8756</v>
      </c>
      <c r="K64" s="318">
        <f>+J64*0.025</f>
        <v>218.9</v>
      </c>
    </row>
    <row r="65" spans="2:11" x14ac:dyDescent="0.25">
      <c r="B65" s="66"/>
      <c r="C65" s="391"/>
      <c r="D65" s="391"/>
      <c r="H65" s="301"/>
      <c r="I65" s="129"/>
      <c r="K65" s="318"/>
    </row>
    <row r="66" spans="2:11" x14ac:dyDescent="0.25">
      <c r="C66" s="389"/>
    </row>
    <row r="67" spans="2:11" x14ac:dyDescent="0.25">
      <c r="C67" s="389"/>
      <c r="H67" s="431" t="s">
        <v>272</v>
      </c>
      <c r="I67" s="345"/>
      <c r="J67" s="200">
        <f>+J64</f>
        <v>8756</v>
      </c>
      <c r="K67" s="346">
        <f>+J67*0.025</f>
        <v>218.9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237" t="s">
        <v>157</v>
      </c>
      <c r="K71" s="437" t="s">
        <v>92</v>
      </c>
    </row>
    <row r="72" spans="2:11" x14ac:dyDescent="0.25">
      <c r="H72" s="301">
        <v>46089</v>
      </c>
      <c r="I72" s="129" t="s">
        <v>175</v>
      </c>
      <c r="J72" s="108">
        <v>55</v>
      </c>
      <c r="K72" s="297">
        <f>+J72*1.5</f>
        <v>82.5</v>
      </c>
    </row>
    <row r="73" spans="2:11" x14ac:dyDescent="0.25">
      <c r="B73" s="162" t="s">
        <v>254</v>
      </c>
      <c r="C73" s="389">
        <v>0.8</v>
      </c>
      <c r="H73" s="301">
        <v>46089</v>
      </c>
      <c r="I73" s="129" t="s">
        <v>176</v>
      </c>
      <c r="J73" s="71">
        <v>162</v>
      </c>
      <c r="K73" s="297">
        <f>+J73*1.5</f>
        <v>243</v>
      </c>
    </row>
    <row r="74" spans="2:11" x14ac:dyDescent="0.25">
      <c r="H74" s="301">
        <v>46090</v>
      </c>
      <c r="I74" s="129" t="s">
        <v>175</v>
      </c>
      <c r="J74" s="108">
        <f>36+36+37</f>
        <v>109</v>
      </c>
      <c r="K74" s="297">
        <f>+J74*1.5</f>
        <v>163.5</v>
      </c>
    </row>
    <row r="75" spans="2:11" x14ac:dyDescent="0.25">
      <c r="J75" s="71"/>
      <c r="K75" s="71"/>
    </row>
    <row r="76" spans="2:11" x14ac:dyDescent="0.25">
      <c r="H76" s="344"/>
      <c r="I76" s="345"/>
      <c r="J76" s="435">
        <f>+J73+J72+J74</f>
        <v>326</v>
      </c>
      <c r="K76" s="436">
        <f>+J76*1.5</f>
        <v>489</v>
      </c>
    </row>
  </sheetData>
  <protectedRanges>
    <protectedRange password="D554" sqref="I41:I43" name="Rango1_1_2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25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1.85546875" style="162" bestFit="1" customWidth="1"/>
    <col min="6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44"/>
      <c r="C4" s="444"/>
      <c r="D4" s="165">
        <f>D23</f>
        <v>6983.0380000000005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7345</v>
      </c>
      <c r="D5" s="172">
        <v>313.25699999999995</v>
      </c>
      <c r="E5" s="80">
        <f t="shared" ref="E5:E23" si="0">+D5/$D$4</f>
        <v>4.4859701465178897E-2</v>
      </c>
      <c r="F5" s="58" t="s">
        <v>51</v>
      </c>
      <c r="G5" s="59">
        <v>46097</v>
      </c>
      <c r="H5" s="190">
        <v>6499.9999999999991</v>
      </c>
      <c r="I5" s="141">
        <v>6983.0380000000005</v>
      </c>
      <c r="J5" s="60">
        <f t="shared" ref="J5:J12" si="1">+I5/H5</f>
        <v>1.0743135384615388</v>
      </c>
    </row>
    <row r="6" spans="1:11" ht="15" customHeight="1" x14ac:dyDescent="0.25">
      <c r="A6" s="164"/>
      <c r="B6" s="169" t="s">
        <v>10</v>
      </c>
      <c r="C6" s="177">
        <v>7018</v>
      </c>
      <c r="D6" s="173">
        <v>299.67399999999998</v>
      </c>
      <c r="E6" s="80">
        <f t="shared" si="0"/>
        <v>4.2914559536980888E-2</v>
      </c>
      <c r="F6" s="58" t="s">
        <v>52</v>
      </c>
      <c r="G6" s="59">
        <v>46098</v>
      </c>
      <c r="H6" s="190">
        <v>8418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19255</v>
      </c>
      <c r="D7" s="173">
        <v>821.45999999999992</v>
      </c>
      <c r="E7" s="245">
        <f t="shared" si="0"/>
        <v>0.11763647856420084</v>
      </c>
      <c r="F7" s="58" t="s">
        <v>53</v>
      </c>
      <c r="G7" s="59">
        <v>46099</v>
      </c>
      <c r="H7" s="190">
        <v>7943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</v>
      </c>
      <c r="C8" s="177">
        <v>728</v>
      </c>
      <c r="D8" s="173">
        <v>31.1</v>
      </c>
      <c r="E8" s="80">
        <f t="shared" si="0"/>
        <v>4.4536489705483484E-3</v>
      </c>
      <c r="F8" s="58" t="s">
        <v>54</v>
      </c>
      <c r="G8" s="59">
        <v>46100</v>
      </c>
      <c r="H8" s="190">
        <v>7402.9999999999991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31385</v>
      </c>
      <c r="D9" s="173">
        <v>1339.8520000000001</v>
      </c>
      <c r="E9" s="245">
        <f t="shared" si="0"/>
        <v>0.1918723627166285</v>
      </c>
      <c r="F9" s="58" t="s">
        <v>55</v>
      </c>
      <c r="G9" s="59">
        <v>46101</v>
      </c>
      <c r="H9" s="190">
        <v>7332.9999999999991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44700</v>
      </c>
      <c r="D10" s="173">
        <v>1908.1870000000004</v>
      </c>
      <c r="E10" s="80">
        <f t="shared" si="0"/>
        <v>0.27326029158082776</v>
      </c>
      <c r="F10" s="58" t="s">
        <v>56</v>
      </c>
      <c r="G10" s="59">
        <v>46102</v>
      </c>
      <c r="H10" s="190">
        <v>7415.9999999999991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11744</v>
      </c>
      <c r="D11" s="173">
        <v>501.80799999999999</v>
      </c>
      <c r="E11" s="80">
        <f t="shared" si="0"/>
        <v>7.186098657919375E-2</v>
      </c>
      <c r="F11" s="58" t="s">
        <v>57</v>
      </c>
      <c r="G11" s="59">
        <v>46103</v>
      </c>
      <c r="H11" s="190">
        <v>4643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218</v>
      </c>
      <c r="C12" s="177">
        <v>800</v>
      </c>
      <c r="D12" s="173">
        <v>34.159999999999997</v>
      </c>
      <c r="E12" s="80">
        <f t="shared" si="0"/>
        <v>4.8918536602550345E-3</v>
      </c>
      <c r="H12" s="139">
        <f>+SUM(H5:H11)</f>
        <v>49656</v>
      </c>
      <c r="I12" s="142">
        <f>+SUM(I5:I11)</f>
        <v>6983.0380000000005</v>
      </c>
      <c r="J12" s="140">
        <f t="shared" si="1"/>
        <v>0.14062828258417917</v>
      </c>
    </row>
    <row r="13" spans="1:11" ht="15" customHeight="1" x14ac:dyDescent="0.25">
      <c r="A13" s="164"/>
      <c r="B13" s="169" t="s">
        <v>196</v>
      </c>
      <c r="C13" s="177">
        <v>2880</v>
      </c>
      <c r="D13" s="173">
        <v>72.73</v>
      </c>
      <c r="E13" s="80">
        <f t="shared" si="0"/>
        <v>1.0415237608616765E-2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49</v>
      </c>
      <c r="C14" s="177">
        <v>24</v>
      </c>
      <c r="D14" s="173">
        <v>36.21</v>
      </c>
      <c r="E14" s="80">
        <f t="shared" si="0"/>
        <v>5.185422161529122E-3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458</v>
      </c>
      <c r="D15" s="173">
        <v>691.83</v>
      </c>
      <c r="E15" s="80">
        <f t="shared" si="0"/>
        <v>9.9072924993391126E-2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69</v>
      </c>
      <c r="D16" s="173">
        <v>104.41</v>
      </c>
      <c r="E16" s="80">
        <f t="shared" si="0"/>
        <v>1.4951944984403635E-2</v>
      </c>
      <c r="F16" s="112" t="s">
        <v>110</v>
      </c>
      <c r="G16" s="190">
        <v>199570.19199999989</v>
      </c>
      <c r="H16" s="190">
        <v>197224.22099999999</v>
      </c>
      <c r="I16" s="190">
        <f>+D24</f>
        <v>125850.91900000001</v>
      </c>
      <c r="J16" s="98">
        <f t="shared" si="2"/>
        <v>0.98824488278289624</v>
      </c>
      <c r="K16" s="98">
        <f t="shared" si="2"/>
        <v>0.63811086874568013</v>
      </c>
    </row>
    <row r="17" spans="1:11" ht="15" customHeight="1" x14ac:dyDescent="0.25">
      <c r="A17" s="164"/>
      <c r="B17" s="169" t="s">
        <v>45</v>
      </c>
      <c r="C17" s="177">
        <v>70</v>
      </c>
      <c r="D17" s="173">
        <v>105.44999999999999</v>
      </c>
      <c r="E17" s="80">
        <f t="shared" si="0"/>
        <v>1.5100877297245121E-2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41</v>
      </c>
      <c r="C18" s="177">
        <v>80</v>
      </c>
      <c r="D18" s="173">
        <v>120.6</v>
      </c>
      <c r="E18" s="80">
        <f t="shared" si="0"/>
        <v>1.7270420123734108E-2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40</v>
      </c>
      <c r="C19" s="177"/>
      <c r="D19" s="173">
        <v>417.75000000000006</v>
      </c>
      <c r="E19" s="80">
        <f t="shared" si="0"/>
        <v>5.9823532393780479E-2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265</v>
      </c>
      <c r="C20" s="177"/>
      <c r="D20" s="173">
        <v>32.64</v>
      </c>
      <c r="E20" s="80">
        <f t="shared" si="0"/>
        <v>4.6741833568713217E-3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9</v>
      </c>
      <c r="C21" s="177"/>
      <c r="D21" s="173">
        <v>59.97</v>
      </c>
      <c r="E21" s="80">
        <f t="shared" si="0"/>
        <v>8.5879526933692746E-3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thickBot="1" x14ac:dyDescent="0.3">
      <c r="A22" s="164"/>
      <c r="B22" s="169" t="s">
        <v>46</v>
      </c>
      <c r="C22" s="177"/>
      <c r="D22" s="173">
        <v>91.949999999999989</v>
      </c>
      <c r="E22" s="80">
        <f t="shared" si="0"/>
        <v>1.3167621313245035E-2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thickBot="1" x14ac:dyDescent="0.3">
      <c r="B23" s="178" t="s">
        <v>0</v>
      </c>
      <c r="C23" s="170"/>
      <c r="D23" s="171">
        <f>SUM(D5:D22)</f>
        <v>6983.0380000000005</v>
      </c>
      <c r="E23" s="80">
        <f t="shared" si="0"/>
        <v>1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B24" s="166" t="s">
        <v>1</v>
      </c>
      <c r="C24" s="167"/>
      <c r="D24" s="233">
        <v>125850.91900000001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557198.52499999991</v>
      </c>
      <c r="J26" s="378"/>
      <c r="K26" s="378">
        <f>+I26/H26</f>
        <v>0.21300933409028813</v>
      </c>
    </row>
    <row r="27" spans="1:11" ht="19.5" thickBot="1" x14ac:dyDescent="0.3">
      <c r="E27" s="313">
        <f>+D24/J2</f>
        <v>0.59990716050395954</v>
      </c>
      <c r="G27" s="379" t="s">
        <v>229</v>
      </c>
      <c r="H27" s="380"/>
      <c r="I27" s="380">
        <v>2726927.1277059279</v>
      </c>
      <c r="J27" s="381">
        <f>+I26/H26</f>
        <v>0.21300933409028813</v>
      </c>
      <c r="K27" s="179"/>
    </row>
    <row r="28" spans="1:11" ht="16.5" thickBot="1" x14ac:dyDescent="0.3">
      <c r="F28" s="179"/>
      <c r="G28" s="179"/>
      <c r="J28" s="179"/>
    </row>
    <row r="29" spans="1:11" ht="16.5" thickBot="1" x14ac:dyDescent="0.3">
      <c r="B29" s="397" t="s">
        <v>251</v>
      </c>
      <c r="C29" s="445">
        <v>16</v>
      </c>
      <c r="D29" s="108">
        <f>J3*C29</f>
        <v>108275.60880868889</v>
      </c>
      <c r="E29" s="314">
        <f>+D29/J2</f>
        <v>0.5161290322580645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ht="15" customHeight="1" x14ac:dyDescent="0.25">
      <c r="D30" s="183">
        <f>+D24-D29</f>
        <v>17575.310191311117</v>
      </c>
      <c r="E30" s="99">
        <f>E27-E29</f>
        <v>8.3778128245895034E-2</v>
      </c>
    </row>
    <row r="31" spans="1:11" ht="15" customHeight="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11086</v>
      </c>
      <c r="I32" s="88">
        <f>+H32*0.025</f>
        <v>277.15000000000003</v>
      </c>
      <c r="J32" s="224"/>
    </row>
    <row r="33" spans="1:11" x14ac:dyDescent="0.25">
      <c r="B33" s="162" t="s">
        <v>61</v>
      </c>
      <c r="C33" s="162">
        <v>1101</v>
      </c>
      <c r="D33" s="108">
        <v>2142</v>
      </c>
      <c r="E33" s="57">
        <f>+C33/D33</f>
        <v>0.51400560224089631</v>
      </c>
      <c r="G33" s="86" t="s">
        <v>259</v>
      </c>
      <c r="H33" s="87">
        <v>4627</v>
      </c>
      <c r="I33" s="88">
        <f>+H33*0.025</f>
        <v>115.67500000000001</v>
      </c>
      <c r="J33" s="224"/>
      <c r="K33" s="68"/>
    </row>
    <row r="34" spans="1:11" x14ac:dyDescent="0.25">
      <c r="B34" s="162" t="s">
        <v>62</v>
      </c>
      <c r="C34" s="162">
        <v>964</v>
      </c>
      <c r="D34" s="108">
        <v>1890</v>
      </c>
      <c r="E34" s="57">
        <f>+C34/D34</f>
        <v>0.51005291005291009</v>
      </c>
      <c r="G34" s="86" t="s">
        <v>171</v>
      </c>
      <c r="H34" s="87">
        <v>182</v>
      </c>
      <c r="I34" s="88">
        <f>+H34*0.025</f>
        <v>4.55</v>
      </c>
      <c r="J34" s="297" t="s">
        <v>188</v>
      </c>
    </row>
    <row r="35" spans="1:11" x14ac:dyDescent="0.25">
      <c r="B35" s="162" t="s">
        <v>63</v>
      </c>
      <c r="C35" s="67">
        <v>1708</v>
      </c>
      <c r="D35" s="108">
        <v>3006</v>
      </c>
      <c r="E35" s="57">
        <f>+C35/D35</f>
        <v>0.56819693945442451</v>
      </c>
      <c r="G35" s="89" t="s">
        <v>169</v>
      </c>
      <c r="H35" s="87">
        <v>105</v>
      </c>
      <c r="I35" s="88">
        <f>+H35*1.5</f>
        <v>157.5</v>
      </c>
      <c r="J35" s="298">
        <f>+I35+I32+I33</f>
        <v>550.32500000000005</v>
      </c>
    </row>
    <row r="36" spans="1:11" x14ac:dyDescent="0.25">
      <c r="C36" s="162">
        <f>+SUM(C33:C35)</f>
        <v>3773</v>
      </c>
      <c r="D36" s="110">
        <f>+SUM(D33:D35)</f>
        <v>7038</v>
      </c>
      <c r="E36" s="57">
        <f>+C36/D36</f>
        <v>0.53608979823813585</v>
      </c>
      <c r="G36" s="89" t="s">
        <v>168</v>
      </c>
      <c r="H36" s="87">
        <v>2</v>
      </c>
      <c r="I36" s="88">
        <f>+H36*1.5</f>
        <v>3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65</v>
      </c>
      <c r="C40" s="74">
        <v>5</v>
      </c>
      <c r="D40" s="74">
        <v>21</v>
      </c>
      <c r="E40" s="75">
        <f>+SUM(B40:D40)</f>
        <v>91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4.4000000000000004</v>
      </c>
      <c r="C43" s="199">
        <v>1843</v>
      </c>
      <c r="D43" s="200">
        <v>2400</v>
      </c>
      <c r="E43" s="201">
        <f t="shared" ref="E43:E48" si="3">+C43/D43</f>
        <v>0.76791666666666669</v>
      </c>
      <c r="F43" s="201">
        <f t="shared" ref="F43:F48" si="4">+B43/24</f>
        <v>0.18333333333333335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6.43</v>
      </c>
      <c r="C44" s="199">
        <v>2515</v>
      </c>
      <c r="D44" s="200">
        <v>3600</v>
      </c>
      <c r="E44" s="201">
        <f t="shared" si="3"/>
        <v>0.69861111111111107</v>
      </c>
      <c r="F44" s="201">
        <f t="shared" si="4"/>
        <v>0.26791666666666664</v>
      </c>
      <c r="G44" s="202">
        <v>12</v>
      </c>
      <c r="H44" s="71"/>
    </row>
    <row r="45" spans="1:11" x14ac:dyDescent="0.25">
      <c r="A45" s="207" t="s">
        <v>72</v>
      </c>
      <c r="B45" s="199">
        <v>6.95</v>
      </c>
      <c r="C45" s="199">
        <v>2094</v>
      </c>
      <c r="D45" s="200">
        <v>3900</v>
      </c>
      <c r="E45" s="201">
        <f t="shared" si="3"/>
        <v>0.53692307692307695</v>
      </c>
      <c r="F45" s="201">
        <f t="shared" si="4"/>
        <v>0.28958333333333336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14</v>
      </c>
      <c r="C46" s="199">
        <v>2920</v>
      </c>
      <c r="D46" s="200">
        <v>3900</v>
      </c>
      <c r="E46" s="201">
        <f t="shared" si="3"/>
        <v>0.74871794871794872</v>
      </c>
      <c r="F46" s="201">
        <f t="shared" si="4"/>
        <v>0.58333333333333337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15.56</v>
      </c>
      <c r="C47" s="199">
        <v>2397</v>
      </c>
      <c r="D47" s="200">
        <v>3900</v>
      </c>
      <c r="E47" s="201">
        <f t="shared" si="3"/>
        <v>0.61461538461538456</v>
      </c>
      <c r="F47" s="201">
        <f t="shared" si="4"/>
        <v>0.64833333333333332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>+J47*1.5</f>
        <v>199.5</v>
      </c>
    </row>
    <row r="48" spans="1:11" x14ac:dyDescent="0.25">
      <c r="A48" s="259" t="s">
        <v>75</v>
      </c>
      <c r="B48" s="260">
        <v>14.42</v>
      </c>
      <c r="C48" s="261">
        <v>2491</v>
      </c>
      <c r="D48" s="262">
        <v>4300</v>
      </c>
      <c r="E48" s="263">
        <f t="shared" si="3"/>
        <v>0.57930232558139538</v>
      </c>
      <c r="F48" s="201">
        <f t="shared" si="4"/>
        <v>0.60083333333333333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>+J48*1.5</f>
        <v>63</v>
      </c>
    </row>
    <row r="49" spans="2:11" x14ac:dyDescent="0.25">
      <c r="B49" s="113">
        <f>+SUM(B43:B48)</f>
        <v>61.760000000000005</v>
      </c>
      <c r="C49" s="71"/>
      <c r="D49" s="72"/>
      <c r="H49" s="301">
        <v>46085</v>
      </c>
      <c r="I49" s="129" t="s">
        <v>175</v>
      </c>
      <c r="J49" s="162">
        <v>60</v>
      </c>
      <c r="K49" s="318">
        <f>+J49*1.5</f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>+J50*1.5</f>
        <v>156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46093</v>
      </c>
      <c r="I51" s="129" t="s">
        <v>176</v>
      </c>
      <c r="J51" s="162">
        <v>46</v>
      </c>
      <c r="K51" s="318">
        <f>+J51*1.5</f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7</v>
      </c>
      <c r="H54" s="301"/>
      <c r="I54" s="129"/>
      <c r="K54" s="318"/>
    </row>
    <row r="55" spans="2:11" x14ac:dyDescent="0.25">
      <c r="C55" s="71">
        <v>5</v>
      </c>
      <c r="D55" s="108">
        <v>3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</row>
    <row r="58" spans="2:11" x14ac:dyDescent="0.25">
      <c r="C58" s="71">
        <v>8</v>
      </c>
      <c r="D58" s="108">
        <v>3</v>
      </c>
    </row>
    <row r="59" spans="2:11" x14ac:dyDescent="0.25">
      <c r="H59" s="359" t="s">
        <v>273</v>
      </c>
      <c r="I59" s="345"/>
      <c r="J59" s="199">
        <f>+SUM(J47:J58)</f>
        <v>385</v>
      </c>
      <c r="K59" s="346">
        <f>+J59*1.5</f>
        <v>577.5</v>
      </c>
    </row>
    <row r="60" spans="2:11" x14ac:dyDescent="0.25">
      <c r="B60" s="364" t="s">
        <v>231</v>
      </c>
      <c r="C60" s="199">
        <v>1620</v>
      </c>
      <c r="D60" s="384" t="s">
        <v>92</v>
      </c>
      <c r="F60" s="445" t="s">
        <v>271</v>
      </c>
      <c r="G60" s="445" t="s">
        <v>267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F61" s="445">
        <v>1230</v>
      </c>
      <c r="G61" s="445">
        <v>784.3</v>
      </c>
      <c r="H61" s="301"/>
      <c r="I61" s="129"/>
      <c r="K61" s="318"/>
    </row>
    <row r="62" spans="2:11" x14ac:dyDescent="0.25">
      <c r="F62" s="432">
        <f>+G61/F61</f>
        <v>0.63764227642276416</v>
      </c>
      <c r="G62" s="445" t="s">
        <v>269</v>
      </c>
      <c r="H62" s="301">
        <v>46082</v>
      </c>
      <c r="I62" s="129" t="s">
        <v>176</v>
      </c>
      <c r="J62" s="162">
        <v>11032</v>
      </c>
      <c r="K62" s="318">
        <f>+J62*0.025</f>
        <v>275.8</v>
      </c>
    </row>
    <row r="63" spans="2:11" x14ac:dyDescent="0.25">
      <c r="F63" s="445"/>
      <c r="G63" s="445">
        <v>140</v>
      </c>
      <c r="H63" s="301">
        <v>46090</v>
      </c>
      <c r="I63" s="129" t="s">
        <v>175</v>
      </c>
      <c r="J63" s="162">
        <v>1278</v>
      </c>
      <c r="K63" s="318">
        <f>+J63*0.025</f>
        <v>31.950000000000003</v>
      </c>
    </row>
    <row r="64" spans="2:11" x14ac:dyDescent="0.25">
      <c r="F64" s="432">
        <f>(G63+G61)/F61</f>
        <v>0.75146341463414634</v>
      </c>
      <c r="G64" s="445" t="s">
        <v>270</v>
      </c>
      <c r="H64" s="301">
        <v>46094</v>
      </c>
      <c r="I64" s="129" t="s">
        <v>175</v>
      </c>
      <c r="J64" s="162">
        <v>8756</v>
      </c>
      <c r="K64" s="318">
        <f>+J64*0.025</f>
        <v>218.9</v>
      </c>
    </row>
    <row r="65" spans="2:11" x14ac:dyDescent="0.25">
      <c r="B65" s="66"/>
      <c r="C65" s="391"/>
      <c r="D65" s="391"/>
      <c r="H65" s="301"/>
      <c r="I65" s="129"/>
      <c r="K65" s="318"/>
    </row>
    <row r="66" spans="2:11" x14ac:dyDescent="0.25">
      <c r="C66" s="389"/>
    </row>
    <row r="67" spans="2:11" x14ac:dyDescent="0.25">
      <c r="C67" s="389"/>
      <c r="H67" s="431" t="s">
        <v>272</v>
      </c>
      <c r="I67" s="345"/>
      <c r="J67" s="200">
        <f>+J64</f>
        <v>8756</v>
      </c>
      <c r="K67" s="346">
        <f>+J67*0.025</f>
        <v>218.9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237" t="s">
        <v>157</v>
      </c>
      <c r="K71" s="437" t="s">
        <v>92</v>
      </c>
    </row>
    <row r="72" spans="2:11" x14ac:dyDescent="0.25">
      <c r="H72" s="301">
        <v>46089</v>
      </c>
      <c r="I72" s="129" t="s">
        <v>175</v>
      </c>
      <c r="J72" s="108">
        <v>55</v>
      </c>
      <c r="K72" s="297">
        <f>+J72*1.5</f>
        <v>82.5</v>
      </c>
    </row>
    <row r="73" spans="2:11" x14ac:dyDescent="0.25">
      <c r="B73" s="162" t="s">
        <v>254</v>
      </c>
      <c r="C73" s="389">
        <v>0.8</v>
      </c>
      <c r="H73" s="301">
        <v>46089</v>
      </c>
      <c r="I73" s="129" t="s">
        <v>176</v>
      </c>
      <c r="J73" s="71">
        <v>162</v>
      </c>
      <c r="K73" s="297">
        <f>+J73*1.5</f>
        <v>243</v>
      </c>
    </row>
    <row r="74" spans="2:11" x14ac:dyDescent="0.25">
      <c r="H74" s="301">
        <v>46090</v>
      </c>
      <c r="I74" s="129" t="s">
        <v>175</v>
      </c>
      <c r="J74" s="108">
        <f>36+36+37</f>
        <v>109</v>
      </c>
      <c r="K74" s="297">
        <f>+J74*1.5</f>
        <v>163.5</v>
      </c>
    </row>
    <row r="75" spans="2:11" x14ac:dyDescent="0.25">
      <c r="J75" s="71"/>
      <c r="K75" s="71"/>
    </row>
    <row r="76" spans="2:11" x14ac:dyDescent="0.25">
      <c r="H76" s="344"/>
      <c r="I76" s="345"/>
      <c r="J76" s="435">
        <f>+J73+J72+J74</f>
        <v>326</v>
      </c>
      <c r="K76" s="436">
        <f>+J76*1.5</f>
        <v>489</v>
      </c>
    </row>
  </sheetData>
  <protectedRanges>
    <protectedRange password="D554" sqref="I41:I43" name="Rango1_1_2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53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43.5703125" style="162" customWidth="1"/>
    <col min="3" max="3" width="13.28515625" style="162" customWidth="1"/>
    <col min="4" max="4" width="14.5703125" style="163" customWidth="1"/>
    <col min="5" max="5" width="17.85546875" style="162" customWidth="1"/>
    <col min="6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46"/>
      <c r="C4" s="446"/>
      <c r="D4" s="165">
        <f>D25</f>
        <v>9539.6830000000009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3900</v>
      </c>
      <c r="D5" s="172">
        <v>166.71199999999999</v>
      </c>
      <c r="E5" s="80">
        <f t="shared" ref="E5:E23" si="0">+D5/$D$4</f>
        <v>1.7475633100177437E-2</v>
      </c>
      <c r="F5" s="58" t="s">
        <v>51</v>
      </c>
      <c r="G5" s="59">
        <v>46097</v>
      </c>
      <c r="H5" s="190">
        <v>6499.9999999999991</v>
      </c>
      <c r="I5" s="141">
        <v>6983.0380000000005</v>
      </c>
      <c r="J5" s="60">
        <f t="shared" ref="J5:J12" si="1">+I5/H5</f>
        <v>1.0743135384615388</v>
      </c>
    </row>
    <row r="6" spans="1:11" ht="15" customHeight="1" x14ac:dyDescent="0.25">
      <c r="A6" s="164"/>
      <c r="B6" s="169" t="s">
        <v>10</v>
      </c>
      <c r="C6" s="177">
        <v>9599</v>
      </c>
      <c r="D6" s="173">
        <v>409.39</v>
      </c>
      <c r="E6" s="80">
        <f t="shared" si="0"/>
        <v>4.2914423885992849E-2</v>
      </c>
      <c r="F6" s="58" t="s">
        <v>52</v>
      </c>
      <c r="G6" s="59">
        <v>46098</v>
      </c>
      <c r="H6" s="190">
        <v>8418</v>
      </c>
      <c r="I6" s="141">
        <v>9539.6830000000009</v>
      </c>
      <c r="J6" s="60">
        <f t="shared" si="1"/>
        <v>1.1332481587075316</v>
      </c>
    </row>
    <row r="7" spans="1:11" ht="15" customHeight="1" x14ac:dyDescent="0.25">
      <c r="A7" s="164"/>
      <c r="B7" s="169" t="s">
        <v>35</v>
      </c>
      <c r="C7" s="177">
        <v>31215</v>
      </c>
      <c r="D7" s="173">
        <v>1330.194</v>
      </c>
      <c r="E7" s="245">
        <f t="shared" si="0"/>
        <v>0.13943796664941591</v>
      </c>
      <c r="F7" s="58" t="s">
        <v>53</v>
      </c>
      <c r="G7" s="59">
        <v>46099</v>
      </c>
      <c r="H7" s="190">
        <v>7943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</v>
      </c>
      <c r="C8" s="177">
        <v>2305</v>
      </c>
      <c r="D8" s="173">
        <v>98.35</v>
      </c>
      <c r="E8" s="80">
        <f t="shared" si="0"/>
        <v>1.0309566890220565E-2</v>
      </c>
      <c r="F8" s="58" t="s">
        <v>54</v>
      </c>
      <c r="G8" s="59">
        <v>46100</v>
      </c>
      <c r="H8" s="190">
        <v>7402.9999999999991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46059</v>
      </c>
      <c r="D9" s="173">
        <v>1966.16</v>
      </c>
      <c r="E9" s="245">
        <f t="shared" si="0"/>
        <v>0.20610328456406779</v>
      </c>
      <c r="F9" s="58" t="s">
        <v>55</v>
      </c>
      <c r="G9" s="59">
        <v>46101</v>
      </c>
      <c r="H9" s="190">
        <v>7332.9999999999991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49607</v>
      </c>
      <c r="D10" s="173">
        <v>2119.0790000000002</v>
      </c>
      <c r="E10" s="245">
        <f t="shared" si="0"/>
        <v>0.22213306249274739</v>
      </c>
      <c r="F10" s="58" t="s">
        <v>56</v>
      </c>
      <c r="G10" s="59">
        <v>46102</v>
      </c>
      <c r="H10" s="190">
        <v>7415.9999999999991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14805</v>
      </c>
      <c r="D11" s="173">
        <v>631.46199999999999</v>
      </c>
      <c r="E11" s="80">
        <f t="shared" si="0"/>
        <v>6.6193184825952808E-2</v>
      </c>
      <c r="F11" s="58" t="s">
        <v>57</v>
      </c>
      <c r="G11" s="59">
        <v>46103</v>
      </c>
      <c r="H11" s="190">
        <v>4643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3833</v>
      </c>
      <c r="D12" s="173">
        <v>96.626000000000005</v>
      </c>
      <c r="E12" s="80">
        <f t="shared" si="0"/>
        <v>1.0128848096944101E-2</v>
      </c>
      <c r="H12" s="139">
        <f>+SUM(H5:H11)</f>
        <v>49656</v>
      </c>
      <c r="I12" s="142">
        <f>+SUM(I5:I11)</f>
        <v>16522.721000000001</v>
      </c>
      <c r="J12" s="140">
        <f t="shared" si="1"/>
        <v>0.33274369663283393</v>
      </c>
    </row>
    <row r="13" spans="1:11" ht="15" customHeight="1" x14ac:dyDescent="0.25">
      <c r="A13" s="164"/>
      <c r="B13" s="169" t="s">
        <v>196</v>
      </c>
      <c r="C13" s="177">
        <v>1440</v>
      </c>
      <c r="D13" s="173">
        <v>36.380000000000003</v>
      </c>
      <c r="E13" s="80">
        <f t="shared" si="0"/>
        <v>3.8135439091634385E-3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44</v>
      </c>
      <c r="C14" s="177">
        <v>87</v>
      </c>
      <c r="D14" s="173">
        <v>131.66</v>
      </c>
      <c r="E14" s="80">
        <f t="shared" si="0"/>
        <v>1.3801297170985658E-2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49</v>
      </c>
      <c r="C15" s="177">
        <v>86</v>
      </c>
      <c r="D15" s="173">
        <v>129.49</v>
      </c>
      <c r="E15" s="80">
        <f t="shared" si="0"/>
        <v>1.3573826300098232E-2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39</v>
      </c>
      <c r="C16" s="177">
        <v>599</v>
      </c>
      <c r="D16" s="173">
        <v>905.71</v>
      </c>
      <c r="E16" s="80">
        <f t="shared" si="0"/>
        <v>9.4941309894678888E-2</v>
      </c>
      <c r="F16" s="112" t="s">
        <v>110</v>
      </c>
      <c r="G16" s="190">
        <v>199570.19199999989</v>
      </c>
      <c r="H16" s="190">
        <v>197224.22099999999</v>
      </c>
      <c r="I16" s="190">
        <f>+D26</f>
        <v>135390.6</v>
      </c>
      <c r="J16" s="98">
        <f t="shared" si="2"/>
        <v>0.98824488278289624</v>
      </c>
      <c r="K16" s="98">
        <f t="shared" si="2"/>
        <v>0.68648059205669276</v>
      </c>
    </row>
    <row r="17" spans="1:11" ht="15" customHeight="1" x14ac:dyDescent="0.25">
      <c r="A17" s="164"/>
      <c r="B17" s="169" t="s">
        <v>43</v>
      </c>
      <c r="C17" s="177">
        <v>246</v>
      </c>
      <c r="D17" s="173">
        <v>372.36</v>
      </c>
      <c r="E17" s="80">
        <f t="shared" si="0"/>
        <v>3.9032743540849311E-2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45</v>
      </c>
      <c r="C18" s="177">
        <v>23</v>
      </c>
      <c r="D18" s="173">
        <v>34.64</v>
      </c>
      <c r="E18" s="80">
        <f t="shared" si="0"/>
        <v>3.6311479113090022E-3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41</v>
      </c>
      <c r="C19" s="177">
        <v>257</v>
      </c>
      <c r="D19" s="173">
        <v>387.08</v>
      </c>
      <c r="E19" s="80">
        <f t="shared" si="0"/>
        <v>4.0575771752583388E-2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106</v>
      </c>
      <c r="C20" s="177"/>
      <c r="D20" s="173">
        <v>60.06</v>
      </c>
      <c r="E20" s="80">
        <f t="shared" si="0"/>
        <v>6.2958066845617399E-3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543.78</v>
      </c>
      <c r="E21" s="80">
        <f t="shared" si="0"/>
        <v>5.7001894088094952E-2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32.28</v>
      </c>
      <c r="E22" s="80">
        <f t="shared" si="0"/>
        <v>3.3837602360581582E-3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58.16</v>
      </c>
      <c r="E23" s="80">
        <f t="shared" si="0"/>
        <v>6.096638640927585E-3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30.11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thickBot="1" x14ac:dyDescent="0.3">
      <c r="B25" s="178" t="s">
        <v>0</v>
      </c>
      <c r="C25" s="170"/>
      <c r="D25" s="171">
        <f>SUM(D5:D24)</f>
        <v>9539.6830000000009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B26" s="166" t="s">
        <v>1</v>
      </c>
      <c r="C26" s="167"/>
      <c r="D26" s="233">
        <v>135390.6</v>
      </c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566738.20599999989</v>
      </c>
      <c r="J26" s="378"/>
      <c r="K26" s="378">
        <f>+I26/H26</f>
        <v>0.21665622295677206</v>
      </c>
    </row>
    <row r="27" spans="1:11" ht="19.5" thickBot="1" x14ac:dyDescent="0.3">
      <c r="E27" s="313">
        <f>+D26/J2</f>
        <v>0.64538098768215901</v>
      </c>
      <c r="G27" s="379" t="s">
        <v>229</v>
      </c>
      <c r="H27" s="380"/>
      <c r="I27" s="380">
        <v>2726927.1277059279</v>
      </c>
      <c r="J27" s="381">
        <f>+I26/H26</f>
        <v>0.21665622295677206</v>
      </c>
      <c r="K27" s="179"/>
    </row>
    <row r="28" spans="1:11" ht="16.5" thickBot="1" x14ac:dyDescent="0.3">
      <c r="F28" s="179"/>
      <c r="G28" s="179"/>
      <c r="J28" s="179"/>
    </row>
    <row r="29" spans="1:11" ht="16.5" thickBot="1" x14ac:dyDescent="0.3">
      <c r="B29" s="397" t="s">
        <v>251</v>
      </c>
      <c r="C29" s="447">
        <v>17</v>
      </c>
      <c r="D29" s="108">
        <f>J3*C29</f>
        <v>115042.83435923194</v>
      </c>
      <c r="E29" s="314">
        <f>+D29/J2</f>
        <v>0.54838709677419351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x14ac:dyDescent="0.25">
      <c r="D30" s="183">
        <f>+D26-D29</f>
        <v>20347.765640768062</v>
      </c>
      <c r="E30" s="99">
        <f>E27-E29</f>
        <v>9.6993890907965508E-2</v>
      </c>
    </row>
    <row r="31" spans="1:11" ht="15" customHeight="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8070</v>
      </c>
      <c r="I32" s="88">
        <f>+H32*0.025</f>
        <v>201.75</v>
      </c>
      <c r="J32" s="224"/>
    </row>
    <row r="33" spans="1:11" x14ac:dyDescent="0.25">
      <c r="B33" s="162" t="s">
        <v>61</v>
      </c>
      <c r="C33" s="162">
        <v>679</v>
      </c>
      <c r="D33" s="108">
        <v>2142</v>
      </c>
      <c r="E33" s="57">
        <f>+C33/D33</f>
        <v>0.31699346405228757</v>
      </c>
      <c r="G33" s="86" t="s">
        <v>259</v>
      </c>
      <c r="H33" s="87">
        <v>4627</v>
      </c>
      <c r="I33" s="88">
        <f>+H33*0.025</f>
        <v>115.67500000000001</v>
      </c>
      <c r="J33" s="224"/>
      <c r="K33" s="68"/>
    </row>
    <row r="34" spans="1:11" x14ac:dyDescent="0.25">
      <c r="B34" s="162" t="s">
        <v>62</v>
      </c>
      <c r="C34" s="162">
        <v>909</v>
      </c>
      <c r="D34" s="108">
        <v>1890</v>
      </c>
      <c r="E34" s="57">
        <f>+C34/D34</f>
        <v>0.48095238095238096</v>
      </c>
      <c r="G34" s="86" t="s">
        <v>171</v>
      </c>
      <c r="H34" s="87">
        <v>182</v>
      </c>
      <c r="I34" s="88">
        <f>+H34*0.025</f>
        <v>4.55</v>
      </c>
      <c r="J34" s="297" t="s">
        <v>188</v>
      </c>
    </row>
    <row r="35" spans="1:11" x14ac:dyDescent="0.25">
      <c r="B35" s="162" t="s">
        <v>63</v>
      </c>
      <c r="C35" s="67">
        <v>1834</v>
      </c>
      <c r="D35" s="108">
        <v>3006</v>
      </c>
      <c r="E35" s="57">
        <f>+C35/D35</f>
        <v>0.61011310711909517</v>
      </c>
      <c r="G35" s="89" t="s">
        <v>169</v>
      </c>
      <c r="H35" s="87">
        <v>85</v>
      </c>
      <c r="I35" s="88">
        <f>+H35*1.5</f>
        <v>127.5</v>
      </c>
      <c r="J35" s="298">
        <f>+I35+I32+I33</f>
        <v>444.92500000000001</v>
      </c>
    </row>
    <row r="36" spans="1:11" ht="15" customHeight="1" x14ac:dyDescent="0.25">
      <c r="C36" s="162">
        <f>+SUM(C33:C35)</f>
        <v>3422</v>
      </c>
      <c r="D36" s="110">
        <f>+SUM(D33:D35)</f>
        <v>7038</v>
      </c>
      <c r="E36" s="57">
        <f>+C36/D36</f>
        <v>0.48621767547598749</v>
      </c>
      <c r="G36" s="89" t="s">
        <v>168</v>
      </c>
      <c r="H36" s="87">
        <v>2</v>
      </c>
      <c r="I36" s="88">
        <f>+H36*1.5</f>
        <v>3</v>
      </c>
      <c r="J36" s="228" t="s">
        <v>193</v>
      </c>
    </row>
    <row r="37" spans="1:11" ht="15" customHeight="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33</v>
      </c>
      <c r="C40" s="74">
        <v>5</v>
      </c>
      <c r="D40" s="74">
        <v>17</v>
      </c>
      <c r="E40" s="75">
        <f>+SUM(B40:D40)</f>
        <v>55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1843</v>
      </c>
      <c r="D43" s="200">
        <v>2400</v>
      </c>
      <c r="E43" s="201">
        <f t="shared" ref="E43:E48" si="3">+C43/D43</f>
        <v>0.76791666666666669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7.56</v>
      </c>
      <c r="C44" s="199">
        <v>2029</v>
      </c>
      <c r="D44" s="200">
        <v>3600</v>
      </c>
      <c r="E44" s="201">
        <f t="shared" si="3"/>
        <v>0.56361111111111106</v>
      </c>
      <c r="F44" s="201">
        <f t="shared" si="4"/>
        <v>0.315</v>
      </c>
      <c r="G44" s="202">
        <v>12</v>
      </c>
      <c r="H44" s="71"/>
    </row>
    <row r="45" spans="1:11" x14ac:dyDescent="0.25">
      <c r="A45" s="207" t="s">
        <v>72</v>
      </c>
      <c r="B45" s="199">
        <v>10.23</v>
      </c>
      <c r="C45" s="199">
        <v>1581</v>
      </c>
      <c r="D45" s="200">
        <v>3900</v>
      </c>
      <c r="E45" s="201">
        <f t="shared" si="3"/>
        <v>0.4053846153846154</v>
      </c>
      <c r="F45" s="201">
        <f t="shared" si="4"/>
        <v>0.42625000000000002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9.25</v>
      </c>
      <c r="C46" s="199">
        <v>2810</v>
      </c>
      <c r="D46" s="200">
        <v>3900</v>
      </c>
      <c r="E46" s="201">
        <f t="shared" si="3"/>
        <v>0.72051282051282051</v>
      </c>
      <c r="F46" s="201">
        <f t="shared" si="4"/>
        <v>0.38541666666666669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16.22</v>
      </c>
      <c r="C47" s="199">
        <v>2360</v>
      </c>
      <c r="D47" s="200">
        <v>3900</v>
      </c>
      <c r="E47" s="201">
        <f t="shared" si="3"/>
        <v>0.60512820512820509</v>
      </c>
      <c r="F47" s="201">
        <f t="shared" si="4"/>
        <v>0.67583333333333329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 t="shared" ref="K47:K52" si="5">+J47*1.5</f>
        <v>199.5</v>
      </c>
    </row>
    <row r="48" spans="1:11" x14ac:dyDescent="0.25">
      <c r="A48" s="259" t="s">
        <v>75</v>
      </c>
      <c r="B48" s="260">
        <v>15.47</v>
      </c>
      <c r="C48" s="261">
        <v>3204</v>
      </c>
      <c r="D48" s="262">
        <v>4300</v>
      </c>
      <c r="E48" s="263">
        <f t="shared" si="3"/>
        <v>0.74511627906976741</v>
      </c>
      <c r="F48" s="201">
        <f t="shared" si="4"/>
        <v>0.6445833333333334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 t="shared" si="5"/>
        <v>63</v>
      </c>
    </row>
    <row r="49" spans="2:11" x14ac:dyDescent="0.25">
      <c r="B49" s="113">
        <f>+SUM(B43:B48)</f>
        <v>58.73</v>
      </c>
      <c r="C49" s="71"/>
      <c r="D49" s="72"/>
      <c r="H49" s="301">
        <v>46085</v>
      </c>
      <c r="I49" s="129" t="s">
        <v>175</v>
      </c>
      <c r="J49" s="162">
        <v>60</v>
      </c>
      <c r="K49" s="318">
        <f t="shared" si="5"/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 t="shared" si="5"/>
        <v>156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46093</v>
      </c>
      <c r="I51" s="129" t="s">
        <v>176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46098</v>
      </c>
      <c r="I52" s="129" t="s">
        <v>176</v>
      </c>
      <c r="J52" s="162">
        <v>40</v>
      </c>
      <c r="K52" s="318">
        <f t="shared" si="5"/>
        <v>60</v>
      </c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7</v>
      </c>
      <c r="H54" s="301"/>
      <c r="I54" s="129"/>
      <c r="K54" s="318"/>
    </row>
    <row r="55" spans="2:11" x14ac:dyDescent="0.25">
      <c r="C55" s="71">
        <v>5</v>
      </c>
      <c r="D55" s="108">
        <v>9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</row>
    <row r="58" spans="2:11" x14ac:dyDescent="0.25">
      <c r="C58" s="71">
        <v>8</v>
      </c>
      <c r="D58" s="108">
        <v>0</v>
      </c>
    </row>
    <row r="59" spans="2:11" x14ac:dyDescent="0.25">
      <c r="H59" s="359" t="s">
        <v>273</v>
      </c>
      <c r="I59" s="345"/>
      <c r="J59" s="199">
        <f>+J52</f>
        <v>40</v>
      </c>
      <c r="K59" s="346">
        <f>+J59*1.5</f>
        <v>60</v>
      </c>
    </row>
    <row r="60" spans="2:11" x14ac:dyDescent="0.25">
      <c r="B60" s="364" t="s">
        <v>231</v>
      </c>
      <c r="C60" s="199">
        <v>2758</v>
      </c>
      <c r="D60" s="384" t="s">
        <v>92</v>
      </c>
      <c r="F60" s="447" t="s">
        <v>271</v>
      </c>
      <c r="G60" s="447" t="s">
        <v>267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F61" s="447">
        <v>1230</v>
      </c>
      <c r="G61" s="447">
        <v>784.3</v>
      </c>
      <c r="H61" s="301"/>
      <c r="I61" s="129"/>
      <c r="K61" s="318"/>
    </row>
    <row r="62" spans="2:11" x14ac:dyDescent="0.25">
      <c r="F62" s="432">
        <f>+G61/F61</f>
        <v>0.63764227642276416</v>
      </c>
      <c r="G62" s="447" t="s">
        <v>269</v>
      </c>
      <c r="H62" s="301">
        <v>46082</v>
      </c>
      <c r="I62" s="129" t="s">
        <v>176</v>
      </c>
      <c r="J62" s="162">
        <v>11032</v>
      </c>
      <c r="K62" s="318">
        <f>+J62*0.025</f>
        <v>275.8</v>
      </c>
    </row>
    <row r="63" spans="2:11" x14ac:dyDescent="0.25">
      <c r="F63" s="447"/>
      <c r="G63" s="447">
        <v>140</v>
      </c>
      <c r="H63" s="301">
        <v>46090</v>
      </c>
      <c r="I63" s="129" t="s">
        <v>175</v>
      </c>
      <c r="J63" s="162">
        <v>1278</v>
      </c>
      <c r="K63" s="318">
        <f>+J63*0.025</f>
        <v>31.950000000000003</v>
      </c>
    </row>
    <row r="64" spans="2:11" x14ac:dyDescent="0.25">
      <c r="F64" s="432">
        <f>(G63+G61)/F61</f>
        <v>0.75146341463414634</v>
      </c>
      <c r="G64" s="447" t="s">
        <v>270</v>
      </c>
      <c r="H64" s="301">
        <v>46094</v>
      </c>
      <c r="I64" s="129" t="s">
        <v>175</v>
      </c>
      <c r="J64" s="162">
        <v>8756</v>
      </c>
      <c r="K64" s="318">
        <f>+J64*0.025</f>
        <v>218.9</v>
      </c>
    </row>
    <row r="65" spans="2:11" x14ac:dyDescent="0.25">
      <c r="B65" s="66"/>
      <c r="C65" s="391"/>
      <c r="D65" s="391"/>
      <c r="H65" s="301"/>
      <c r="I65" s="129"/>
      <c r="K65" s="318"/>
    </row>
    <row r="66" spans="2:11" x14ac:dyDescent="0.25">
      <c r="C66" s="389"/>
    </row>
    <row r="67" spans="2:11" x14ac:dyDescent="0.25">
      <c r="C67" s="389"/>
      <c r="H67" s="431" t="s">
        <v>272</v>
      </c>
      <c r="I67" s="345"/>
      <c r="J67" s="200">
        <f>+J64</f>
        <v>8756</v>
      </c>
      <c r="K67" s="346">
        <f>+J67*0.025</f>
        <v>218.9</v>
      </c>
    </row>
    <row r="68" spans="2:11" x14ac:dyDescent="0.25"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/>
      <c r="I70" s="129"/>
      <c r="J70"/>
      <c r="K70" s="215"/>
    </row>
    <row r="71" spans="2:11" x14ac:dyDescent="0.25">
      <c r="H71" s="237" t="s">
        <v>167</v>
      </c>
      <c r="I71"/>
      <c r="J71" s="237" t="s">
        <v>157</v>
      </c>
      <c r="K71" s="437" t="s">
        <v>92</v>
      </c>
    </row>
    <row r="72" spans="2:11" x14ac:dyDescent="0.25">
      <c r="H72" s="301">
        <v>46089</v>
      </c>
      <c r="I72" s="129" t="s">
        <v>175</v>
      </c>
      <c r="J72" s="108">
        <v>55</v>
      </c>
      <c r="K72" s="297">
        <f>+J72*1.5</f>
        <v>82.5</v>
      </c>
    </row>
    <row r="73" spans="2:11" x14ac:dyDescent="0.25">
      <c r="B73" s="162" t="s">
        <v>254</v>
      </c>
      <c r="C73" s="389">
        <v>0.8</v>
      </c>
      <c r="H73" s="301">
        <v>46089</v>
      </c>
      <c r="I73" s="129" t="s">
        <v>176</v>
      </c>
      <c r="J73" s="71">
        <v>162</v>
      </c>
      <c r="K73" s="297">
        <f>+J73*1.5</f>
        <v>243</v>
      </c>
    </row>
    <row r="74" spans="2:11" x14ac:dyDescent="0.25">
      <c r="H74" s="301">
        <v>46090</v>
      </c>
      <c r="I74" s="129" t="s">
        <v>175</v>
      </c>
      <c r="J74" s="108">
        <f>36+36+37</f>
        <v>109</v>
      </c>
      <c r="K74" s="297">
        <f>+J74*1.5</f>
        <v>163.5</v>
      </c>
    </row>
    <row r="75" spans="2:11" x14ac:dyDescent="0.25">
      <c r="J75" s="71"/>
      <c r="K75" s="71"/>
    </row>
    <row r="76" spans="2:11" x14ac:dyDescent="0.25">
      <c r="H76" s="344"/>
      <c r="I76" s="345"/>
      <c r="J76" s="435">
        <f>+J73+J72+J74</f>
        <v>326</v>
      </c>
      <c r="K76" s="436">
        <f>+J76*1.5</f>
        <v>489</v>
      </c>
    </row>
  </sheetData>
  <protectedRanges>
    <protectedRange password="D554" sqref="I41:I43" name="Rango1_1_2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topLeftCell="B6" workbookViewId="0">
      <selection activeCell="B78" sqref="A28:XFD78"/>
    </sheetView>
  </sheetViews>
  <sheetFormatPr baseColWidth="10" defaultColWidth="11.42578125" defaultRowHeight="15.75" x14ac:dyDescent="0.25"/>
  <cols>
    <col min="1" max="1" width="2.42578125" style="162" customWidth="1"/>
    <col min="2" max="2" width="47.140625" style="162" customWidth="1"/>
    <col min="3" max="3" width="13.28515625" style="162" customWidth="1"/>
    <col min="4" max="4" width="14.5703125" style="163" customWidth="1"/>
    <col min="5" max="5" width="17.85546875" style="162" customWidth="1"/>
    <col min="6" max="16384" width="11.42578125" style="162"/>
  </cols>
  <sheetData>
    <row r="1" spans="1:11" ht="15" customHeight="1" x14ac:dyDescent="0.25">
      <c r="A1" s="161"/>
      <c r="B1" s="518">
        <v>46099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46"/>
      <c r="C4" s="446"/>
      <c r="D4" s="165">
        <f>D25</f>
        <v>9624.5160000000014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4510</v>
      </c>
      <c r="D5" s="172">
        <v>192.63399999999999</v>
      </c>
      <c r="E5" s="80">
        <f t="shared" ref="E5:E23" si="0">+D5/$D$4</f>
        <v>2.001492854290023E-2</v>
      </c>
      <c r="F5" s="58" t="s">
        <v>51</v>
      </c>
      <c r="G5" s="59">
        <v>46097</v>
      </c>
      <c r="H5" s="190">
        <v>6499.9999999999991</v>
      </c>
      <c r="I5" s="141">
        <v>6983.0380000000005</v>
      </c>
      <c r="J5" s="60">
        <f t="shared" ref="J5:J12" si="1">+I5/H5</f>
        <v>1.0743135384615388</v>
      </c>
    </row>
    <row r="6" spans="1:11" ht="15" customHeight="1" x14ac:dyDescent="0.25">
      <c r="A6" s="164"/>
      <c r="B6" s="169" t="s">
        <v>10</v>
      </c>
      <c r="C6" s="177">
        <v>14898</v>
      </c>
      <c r="D6" s="173">
        <v>635.23</v>
      </c>
      <c r="E6" s="80">
        <f t="shared" si="0"/>
        <v>6.6001240997469374E-2</v>
      </c>
      <c r="F6" s="58" t="s">
        <v>52</v>
      </c>
      <c r="G6" s="59">
        <v>46098</v>
      </c>
      <c r="H6" s="190">
        <v>8418</v>
      </c>
      <c r="I6" s="141">
        <v>9539.6830000000009</v>
      </c>
      <c r="J6" s="60">
        <f t="shared" si="1"/>
        <v>1.1332481587075316</v>
      </c>
    </row>
    <row r="7" spans="1:11" ht="15" customHeight="1" x14ac:dyDescent="0.25">
      <c r="A7" s="164"/>
      <c r="B7" s="169" t="s">
        <v>35</v>
      </c>
      <c r="C7" s="177">
        <v>32704</v>
      </c>
      <c r="D7" s="173">
        <v>1393.7</v>
      </c>
      <c r="E7" s="245">
        <f t="shared" si="0"/>
        <v>0.14480728173759594</v>
      </c>
      <c r="F7" s="58" t="s">
        <v>53</v>
      </c>
      <c r="G7" s="59">
        <v>46099</v>
      </c>
      <c r="H7" s="190">
        <v>7943</v>
      </c>
      <c r="I7" s="141">
        <v>9624.5160000000014</v>
      </c>
      <c r="J7" s="60">
        <f t="shared" si="1"/>
        <v>1.2116978471610225</v>
      </c>
    </row>
    <row r="8" spans="1:11" ht="15" customHeight="1" x14ac:dyDescent="0.25">
      <c r="A8" s="164"/>
      <c r="B8" s="169" t="s">
        <v>4</v>
      </c>
      <c r="C8" s="177">
        <v>1524</v>
      </c>
      <c r="D8" s="173">
        <v>64.86</v>
      </c>
      <c r="E8" s="80">
        <f t="shared" si="0"/>
        <v>6.7390401761501552E-3</v>
      </c>
      <c r="F8" s="58" t="s">
        <v>54</v>
      </c>
      <c r="G8" s="59">
        <v>46100</v>
      </c>
      <c r="H8" s="190">
        <v>7402.9999999999991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45934</v>
      </c>
      <c r="D9" s="173">
        <v>1961.454</v>
      </c>
      <c r="E9" s="245">
        <f t="shared" si="0"/>
        <v>0.20379767668317031</v>
      </c>
      <c r="F9" s="58" t="s">
        <v>55</v>
      </c>
      <c r="G9" s="59">
        <v>46101</v>
      </c>
      <c r="H9" s="190">
        <v>7332.9999999999991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61179</v>
      </c>
      <c r="D10" s="173">
        <v>2611.9560000000001</v>
      </c>
      <c r="E10" s="245">
        <f t="shared" si="0"/>
        <v>0.27138569877176161</v>
      </c>
      <c r="F10" s="58" t="s">
        <v>56</v>
      </c>
      <c r="G10" s="59">
        <v>46102</v>
      </c>
      <c r="H10" s="190">
        <v>7415.9999999999991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3678</v>
      </c>
      <c r="D11" s="173">
        <v>157.00800000000001</v>
      </c>
      <c r="E11" s="80">
        <f t="shared" si="0"/>
        <v>1.6313339808464132E-2</v>
      </c>
      <c r="F11" s="58" t="s">
        <v>57</v>
      </c>
      <c r="G11" s="59">
        <v>46103</v>
      </c>
      <c r="H11" s="190">
        <v>4643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5255</v>
      </c>
      <c r="D12" s="173">
        <v>132.386</v>
      </c>
      <c r="E12" s="80">
        <f t="shared" si="0"/>
        <v>1.3755081294477559E-2</v>
      </c>
      <c r="H12" s="139">
        <f>+SUM(H5:H11)</f>
        <v>49656</v>
      </c>
      <c r="I12" s="142">
        <f>+SUM(I5:I11)</f>
        <v>26147.237000000001</v>
      </c>
      <c r="J12" s="140">
        <f t="shared" si="1"/>
        <v>0.52656752456903499</v>
      </c>
    </row>
    <row r="13" spans="1:11" ht="15" customHeight="1" x14ac:dyDescent="0.25">
      <c r="A13" s="164"/>
      <c r="B13" s="169" t="s">
        <v>44</v>
      </c>
      <c r="C13" s="177">
        <v>87</v>
      </c>
      <c r="D13" s="173">
        <v>131.38</v>
      </c>
      <c r="E13" s="80">
        <f t="shared" si="0"/>
        <v>1.3650556557857036E-2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49</v>
      </c>
      <c r="C14" s="177">
        <v>89</v>
      </c>
      <c r="D14" s="173">
        <v>133.93</v>
      </c>
      <c r="E14" s="80">
        <f t="shared" si="0"/>
        <v>1.3915504945911044E-2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459</v>
      </c>
      <c r="D15" s="173">
        <v>694.26</v>
      </c>
      <c r="E15" s="80">
        <f t="shared" si="0"/>
        <v>7.2134536427598012E-2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229</v>
      </c>
      <c r="D16" s="173">
        <v>346.738</v>
      </c>
      <c r="E16" s="80">
        <f t="shared" si="0"/>
        <v>3.6026538892968744E-2</v>
      </c>
      <c r="F16" s="112" t="s">
        <v>110</v>
      </c>
      <c r="G16" s="190">
        <v>199570.19199999989</v>
      </c>
      <c r="H16" s="190">
        <v>197224.22099999999</v>
      </c>
      <c r="I16" s="190">
        <f>+D26</f>
        <v>145047.06599999999</v>
      </c>
      <c r="J16" s="98">
        <f t="shared" si="2"/>
        <v>0.98824488278289624</v>
      </c>
      <c r="K16" s="98">
        <f t="shared" si="2"/>
        <v>0.73544245866231617</v>
      </c>
    </row>
    <row r="17" spans="1:11" ht="15" customHeight="1" x14ac:dyDescent="0.25">
      <c r="A17" s="164"/>
      <c r="B17" s="169" t="s">
        <v>45</v>
      </c>
      <c r="C17" s="177">
        <v>111</v>
      </c>
      <c r="D17" s="173">
        <v>167.5</v>
      </c>
      <c r="E17" s="80">
        <f t="shared" si="0"/>
        <v>1.7403472548645559E-2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41</v>
      </c>
      <c r="C18" s="177">
        <v>103</v>
      </c>
      <c r="D18" s="173">
        <v>155.22</v>
      </c>
      <c r="E18" s="80">
        <f t="shared" si="0"/>
        <v>1.6127564232840383E-2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230</v>
      </c>
      <c r="C19" s="177">
        <v>22</v>
      </c>
      <c r="D19" s="173">
        <v>33.28</v>
      </c>
      <c r="E19" s="80">
        <f t="shared" si="0"/>
        <v>3.4578362174264134E-3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106</v>
      </c>
      <c r="C20" s="177"/>
      <c r="D20" s="173">
        <v>90.17</v>
      </c>
      <c r="E20" s="80">
        <f t="shared" si="0"/>
        <v>9.3687828042469858E-3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599.38</v>
      </c>
      <c r="E21" s="80">
        <f t="shared" si="0"/>
        <v>6.2276378365415976E-2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/>
      <c r="E22" s="80">
        <f t="shared" si="0"/>
        <v>0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123.43</v>
      </c>
      <c r="E23" s="80">
        <f t="shared" si="0"/>
        <v>1.2824540995100428E-2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/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thickBot="1" x14ac:dyDescent="0.3">
      <c r="B25" s="178" t="s">
        <v>0</v>
      </c>
      <c r="C25" s="170"/>
      <c r="D25" s="171">
        <f>SUM(D5:D24)</f>
        <v>9624.5160000000014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B26" s="166" t="s">
        <v>1</v>
      </c>
      <c r="C26" s="167"/>
      <c r="D26" s="233">
        <v>145047.06599999999</v>
      </c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576394.6719999999</v>
      </c>
      <c r="J26" s="378"/>
      <c r="K26" s="378">
        <f>+I26/H26</f>
        <v>0.2203477571228496</v>
      </c>
    </row>
    <row r="27" spans="1:11" ht="19.5" thickBot="1" x14ac:dyDescent="0.3">
      <c r="E27" s="313">
        <f>+D26/J2</f>
        <v>0.69141150652614947</v>
      </c>
      <c r="G27" s="379" t="s">
        <v>229</v>
      </c>
      <c r="H27" s="380"/>
      <c r="I27" s="380">
        <v>2726927.1277059279</v>
      </c>
      <c r="J27" s="381">
        <f>+I26/H26</f>
        <v>0.2203477571228496</v>
      </c>
      <c r="K27" s="179"/>
    </row>
    <row r="28" spans="1:11" ht="16.5" thickBot="1" x14ac:dyDescent="0.3">
      <c r="F28" s="179"/>
      <c r="G28" s="179"/>
      <c r="J28" s="179"/>
    </row>
    <row r="29" spans="1:11" ht="16.5" thickBot="1" x14ac:dyDescent="0.3">
      <c r="B29" s="397" t="s">
        <v>251</v>
      </c>
      <c r="C29" s="447">
        <v>18</v>
      </c>
      <c r="D29" s="108">
        <f>J3*C29</f>
        <v>121810.05990977501</v>
      </c>
      <c r="E29" s="314">
        <f>+D29/J2</f>
        <v>0.58064516129032262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x14ac:dyDescent="0.25">
      <c r="D30" s="183">
        <f>+D26-D29</f>
        <v>23237.006090224982</v>
      </c>
      <c r="E30" s="99">
        <f>E27-E29</f>
        <v>0.11076634523582685</v>
      </c>
    </row>
    <row r="31" spans="1:11" ht="15" customHeight="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15192</v>
      </c>
      <c r="I32" s="88">
        <f>+H32*0.025</f>
        <v>379.8</v>
      </c>
      <c r="J32" s="224"/>
    </row>
    <row r="33" spans="1:11" x14ac:dyDescent="0.25">
      <c r="B33" s="162" t="s">
        <v>61</v>
      </c>
      <c r="C33" s="162">
        <v>590</v>
      </c>
      <c r="D33" s="108">
        <v>2142</v>
      </c>
      <c r="E33" s="57">
        <f>+C33/D33</f>
        <v>0.27544351073762841</v>
      </c>
      <c r="G33" s="86" t="s">
        <v>259</v>
      </c>
      <c r="H33" s="87">
        <v>4627</v>
      </c>
      <c r="I33" s="88">
        <f>+H33*0.025</f>
        <v>115.67500000000001</v>
      </c>
      <c r="J33" s="224"/>
      <c r="K33" s="68"/>
    </row>
    <row r="34" spans="1:11" x14ac:dyDescent="0.25">
      <c r="B34" s="162" t="s">
        <v>62</v>
      </c>
      <c r="C34" s="162">
        <v>1109</v>
      </c>
      <c r="D34" s="108">
        <v>1890</v>
      </c>
      <c r="E34" s="57">
        <f>+C34/D34</f>
        <v>0.58677248677248672</v>
      </c>
      <c r="G34" s="86" t="s">
        <v>171</v>
      </c>
      <c r="H34" s="87">
        <v>182</v>
      </c>
      <c r="I34" s="88">
        <f>+H34*0.025</f>
        <v>4.55</v>
      </c>
      <c r="J34" s="297" t="s">
        <v>188</v>
      </c>
    </row>
    <row r="35" spans="1:11" x14ac:dyDescent="0.25">
      <c r="B35" s="162" t="s">
        <v>63</v>
      </c>
      <c r="C35" s="67">
        <v>905</v>
      </c>
      <c r="D35" s="108">
        <v>3006</v>
      </c>
      <c r="E35" s="57">
        <f>+C35/D35</f>
        <v>0.30106453759148372</v>
      </c>
      <c r="G35" s="89" t="s">
        <v>169</v>
      </c>
      <c r="H35" s="87">
        <v>45</v>
      </c>
      <c r="I35" s="88">
        <f>+H35*1.5</f>
        <v>67.5</v>
      </c>
      <c r="J35" s="298">
        <f>+I35+I32+I33</f>
        <v>562.97500000000002</v>
      </c>
    </row>
    <row r="36" spans="1:11" ht="15" customHeight="1" x14ac:dyDescent="0.25">
      <c r="C36" s="162">
        <f>+SUM(C33:C35)</f>
        <v>2604</v>
      </c>
      <c r="D36" s="110">
        <f>+SUM(D33:D35)</f>
        <v>7038</v>
      </c>
      <c r="E36" s="57">
        <f>+C36/D36</f>
        <v>0.36999147485080991</v>
      </c>
      <c r="G36" s="89" t="s">
        <v>168</v>
      </c>
      <c r="H36" s="87">
        <v>2</v>
      </c>
      <c r="I36" s="88">
        <f>+H36*1.5</f>
        <v>3</v>
      </c>
      <c r="J36" s="228" t="s">
        <v>193</v>
      </c>
    </row>
    <row r="37" spans="1:11" ht="15" customHeight="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27</v>
      </c>
      <c r="C40" s="74">
        <v>5</v>
      </c>
      <c r="D40" s="74">
        <v>27</v>
      </c>
      <c r="E40" s="75">
        <f>+SUM(B40:D40)</f>
        <v>59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2.4</v>
      </c>
      <c r="C43" s="199">
        <v>2101</v>
      </c>
      <c r="D43" s="200">
        <v>2400</v>
      </c>
      <c r="E43" s="201">
        <f t="shared" ref="E43:E48" si="3">+C43/D43</f>
        <v>0.87541666666666662</v>
      </c>
      <c r="F43" s="201">
        <f t="shared" ref="F43:F48" si="4">+B43/24</f>
        <v>9.9999999999999992E-2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2.13</v>
      </c>
      <c r="C44" s="199">
        <v>2203</v>
      </c>
      <c r="D44" s="200">
        <v>3600</v>
      </c>
      <c r="E44" s="201">
        <f t="shared" si="3"/>
        <v>0.6119444444444444</v>
      </c>
      <c r="F44" s="201">
        <f t="shared" si="4"/>
        <v>8.8749999999999996E-2</v>
      </c>
      <c r="G44" s="202">
        <v>12</v>
      </c>
      <c r="H44" s="71"/>
    </row>
    <row r="45" spans="1:11" x14ac:dyDescent="0.25">
      <c r="A45" s="207" t="s">
        <v>72</v>
      </c>
      <c r="B45" s="199">
        <v>10.55</v>
      </c>
      <c r="C45" s="199">
        <v>1675</v>
      </c>
      <c r="D45" s="200">
        <v>3900</v>
      </c>
      <c r="E45" s="201">
        <f t="shared" si="3"/>
        <v>0.42948717948717946</v>
      </c>
      <c r="F45" s="201">
        <f t="shared" si="4"/>
        <v>0.43958333333333338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12.73</v>
      </c>
      <c r="C46" s="199">
        <v>2864</v>
      </c>
      <c r="D46" s="200">
        <v>3900</v>
      </c>
      <c r="E46" s="201">
        <f t="shared" si="3"/>
        <v>0.73435897435897435</v>
      </c>
      <c r="F46" s="201">
        <f t="shared" si="4"/>
        <v>0.53041666666666665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17.02</v>
      </c>
      <c r="C47" s="199">
        <v>2725</v>
      </c>
      <c r="D47" s="200">
        <v>3900</v>
      </c>
      <c r="E47" s="201">
        <f t="shared" si="3"/>
        <v>0.69871794871794868</v>
      </c>
      <c r="F47" s="201">
        <f t="shared" si="4"/>
        <v>0.70916666666666661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 t="shared" ref="K47:K52" si="5">+J47*1.5</f>
        <v>199.5</v>
      </c>
    </row>
    <row r="48" spans="1:11" x14ac:dyDescent="0.25">
      <c r="A48" s="259" t="s">
        <v>75</v>
      </c>
      <c r="B48" s="260">
        <v>8.27</v>
      </c>
      <c r="C48" s="261">
        <v>3141</v>
      </c>
      <c r="D48" s="262">
        <v>4300</v>
      </c>
      <c r="E48" s="263">
        <f t="shared" si="3"/>
        <v>0.73046511627906974</v>
      </c>
      <c r="F48" s="201">
        <f t="shared" si="4"/>
        <v>0.3445833333333333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 t="shared" si="5"/>
        <v>63</v>
      </c>
    </row>
    <row r="49" spans="2:11" x14ac:dyDescent="0.25">
      <c r="B49" s="113">
        <f>+SUM(B43:B48)</f>
        <v>53.099999999999994</v>
      </c>
      <c r="C49" s="71"/>
      <c r="D49" s="72"/>
      <c r="H49" s="301">
        <v>46085</v>
      </c>
      <c r="I49" s="129" t="s">
        <v>175</v>
      </c>
      <c r="J49" s="162">
        <v>60</v>
      </c>
      <c r="K49" s="318">
        <f t="shared" si="5"/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 t="shared" si="5"/>
        <v>156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46093</v>
      </c>
      <c r="I51" s="129" t="s">
        <v>176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46098</v>
      </c>
      <c r="I52" s="129" t="s">
        <v>176</v>
      </c>
      <c r="J52" s="162">
        <v>40</v>
      </c>
      <c r="K52" s="318">
        <f t="shared" si="5"/>
        <v>60</v>
      </c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5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</row>
    <row r="58" spans="2:11" x14ac:dyDescent="0.25">
      <c r="C58" s="71">
        <v>8</v>
      </c>
      <c r="D58" s="108">
        <v>5</v>
      </c>
    </row>
    <row r="59" spans="2:11" x14ac:dyDescent="0.25">
      <c r="H59" s="359" t="s">
        <v>219</v>
      </c>
      <c r="I59" s="345"/>
      <c r="J59" s="199">
        <f>+J52</f>
        <v>40</v>
      </c>
      <c r="K59" s="346">
        <f>+J59*1.5</f>
        <v>60</v>
      </c>
    </row>
    <row r="60" spans="2:11" x14ac:dyDescent="0.25">
      <c r="B60" s="364" t="s">
        <v>231</v>
      </c>
      <c r="C60" s="199">
        <v>2267</v>
      </c>
      <c r="D60" s="384" t="s">
        <v>92</v>
      </c>
      <c r="F60" s="447" t="s">
        <v>271</v>
      </c>
      <c r="G60" s="447" t="s">
        <v>267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F61" s="447">
        <v>1230</v>
      </c>
      <c r="G61" s="447">
        <v>784.3</v>
      </c>
      <c r="H61" s="301"/>
      <c r="I61" s="129"/>
      <c r="K61" s="318"/>
    </row>
    <row r="62" spans="2:11" x14ac:dyDescent="0.25">
      <c r="F62" s="432">
        <f>+G61/F61</f>
        <v>0.63764227642276416</v>
      </c>
      <c r="G62" s="447" t="s">
        <v>269</v>
      </c>
      <c r="H62" s="301">
        <v>46082</v>
      </c>
      <c r="I62" s="129" t="s">
        <v>176</v>
      </c>
      <c r="J62" s="162">
        <v>11032</v>
      </c>
      <c r="K62" s="318">
        <f t="shared" ref="K62:K69" si="6">+J62*0.025</f>
        <v>275.8</v>
      </c>
    </row>
    <row r="63" spans="2:11" x14ac:dyDescent="0.25">
      <c r="F63" s="447"/>
      <c r="G63" s="447">
        <v>140</v>
      </c>
      <c r="H63" s="301">
        <v>46090</v>
      </c>
      <c r="I63" s="129" t="s">
        <v>175</v>
      </c>
      <c r="J63" s="162">
        <v>1278</v>
      </c>
      <c r="K63" s="318">
        <f t="shared" si="6"/>
        <v>31.950000000000003</v>
      </c>
    </row>
    <row r="64" spans="2:11" x14ac:dyDescent="0.25">
      <c r="F64" s="432">
        <f>(G63+G61)/F61</f>
        <v>0.75146341463414634</v>
      </c>
      <c r="G64" s="447" t="s">
        <v>270</v>
      </c>
      <c r="H64" s="301">
        <v>46094</v>
      </c>
      <c r="I64" s="129" t="s">
        <v>175</v>
      </c>
      <c r="J64" s="162">
        <v>8756</v>
      </c>
      <c r="K64" s="318">
        <f t="shared" si="6"/>
        <v>218.9</v>
      </c>
    </row>
    <row r="65" spans="2:11" x14ac:dyDescent="0.25">
      <c r="B65" s="66"/>
      <c r="C65" s="391"/>
      <c r="D65" s="391"/>
      <c r="H65" s="301">
        <v>46099</v>
      </c>
      <c r="I65" s="129" t="s">
        <v>175</v>
      </c>
      <c r="J65" s="162">
        <v>3456</v>
      </c>
      <c r="K65" s="318">
        <f t="shared" si="6"/>
        <v>86.4</v>
      </c>
    </row>
    <row r="66" spans="2:11" x14ac:dyDescent="0.25">
      <c r="C66" s="389"/>
      <c r="H66" s="301">
        <v>46099</v>
      </c>
      <c r="I66" s="129" t="s">
        <v>176</v>
      </c>
      <c r="J66" s="162">
        <v>7192</v>
      </c>
      <c r="K66" s="318">
        <f t="shared" si="6"/>
        <v>179.8</v>
      </c>
    </row>
    <row r="67" spans="2:11" x14ac:dyDescent="0.25">
      <c r="C67" s="389"/>
      <c r="H67" s="301">
        <v>46100</v>
      </c>
      <c r="I67" s="129" t="s">
        <v>175</v>
      </c>
      <c r="J67" s="162">
        <v>4721</v>
      </c>
      <c r="K67" s="318">
        <f t="shared" si="6"/>
        <v>118.02500000000001</v>
      </c>
    </row>
    <row r="68" spans="2:11" x14ac:dyDescent="0.25">
      <c r="C68" s="389"/>
      <c r="H68" s="301">
        <v>46100</v>
      </c>
      <c r="I68" s="129" t="s">
        <v>176</v>
      </c>
      <c r="K68" s="318">
        <f t="shared" si="6"/>
        <v>0</v>
      </c>
    </row>
    <row r="69" spans="2:11" x14ac:dyDescent="0.25">
      <c r="C69" s="389"/>
      <c r="H69" s="431" t="s">
        <v>274</v>
      </c>
      <c r="I69" s="345"/>
      <c r="J69" s="200">
        <f>+J66+J65+J67</f>
        <v>15369</v>
      </c>
      <c r="K69" s="346">
        <f t="shared" si="6"/>
        <v>384.22500000000002</v>
      </c>
    </row>
    <row r="70" spans="2:11" x14ac:dyDescent="0.25">
      <c r="H70" s="237" t="s">
        <v>205</v>
      </c>
      <c r="I70"/>
      <c r="J70" s="162" t="s">
        <v>177</v>
      </c>
      <c r="K70" s="215" t="s">
        <v>92</v>
      </c>
    </row>
    <row r="71" spans="2:11" x14ac:dyDescent="0.25">
      <c r="H71" s="301">
        <v>45942</v>
      </c>
      <c r="I71" s="129" t="s">
        <v>176</v>
      </c>
      <c r="J71" s="162">
        <v>47</v>
      </c>
      <c r="K71" s="318">
        <v>70.5</v>
      </c>
    </row>
    <row r="72" spans="2:11" x14ac:dyDescent="0.25">
      <c r="H72"/>
      <c r="I72" s="129"/>
      <c r="J72"/>
      <c r="K72" s="215"/>
    </row>
    <row r="73" spans="2:11" x14ac:dyDescent="0.25">
      <c r="H73" s="237" t="s">
        <v>167</v>
      </c>
      <c r="I73"/>
      <c r="J73" s="237" t="s">
        <v>157</v>
      </c>
      <c r="K73" s="437" t="s">
        <v>92</v>
      </c>
    </row>
    <row r="74" spans="2:11" x14ac:dyDescent="0.25">
      <c r="H74" s="301">
        <v>46089</v>
      </c>
      <c r="I74" s="129" t="s">
        <v>175</v>
      </c>
      <c r="J74" s="108">
        <v>55</v>
      </c>
      <c r="K74" s="297">
        <f>+J74*1.5</f>
        <v>82.5</v>
      </c>
    </row>
    <row r="75" spans="2:11" x14ac:dyDescent="0.25">
      <c r="B75" s="162" t="s">
        <v>254</v>
      </c>
      <c r="C75" s="389">
        <v>0.8</v>
      </c>
      <c r="H75" s="301">
        <v>46089</v>
      </c>
      <c r="I75" s="129" t="s">
        <v>176</v>
      </c>
      <c r="J75" s="71">
        <v>162</v>
      </c>
      <c r="K75" s="297">
        <f>+J75*1.5</f>
        <v>243</v>
      </c>
    </row>
    <row r="76" spans="2:11" x14ac:dyDescent="0.25">
      <c r="H76" s="301">
        <v>46090</v>
      </c>
      <c r="I76" s="129" t="s">
        <v>175</v>
      </c>
      <c r="J76" s="108">
        <f>36+36+37</f>
        <v>109</v>
      </c>
      <c r="K76" s="297">
        <f>+J76*1.5</f>
        <v>163.5</v>
      </c>
    </row>
    <row r="77" spans="2:11" x14ac:dyDescent="0.25">
      <c r="J77" s="71"/>
      <c r="K77" s="71"/>
    </row>
    <row r="78" spans="2:11" x14ac:dyDescent="0.25">
      <c r="H78" s="344"/>
      <c r="I78" s="345"/>
      <c r="J78" s="435">
        <f>+J75+J74+J76</f>
        <v>326</v>
      </c>
      <c r="K78" s="436">
        <f>+J78*1.5</f>
        <v>489</v>
      </c>
    </row>
  </sheetData>
  <protectedRanges>
    <protectedRange password="D554" sqref="I41:I43" name="Rango1_1_2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topLeftCell="A61" workbookViewId="0">
      <selection activeCell="A28" sqref="A28:K78"/>
    </sheetView>
  </sheetViews>
  <sheetFormatPr baseColWidth="10" defaultColWidth="11.42578125" defaultRowHeight="15.75" x14ac:dyDescent="0.25"/>
  <cols>
    <col min="1" max="1" width="2.42578125" style="162" customWidth="1"/>
    <col min="2" max="2" width="46.140625" style="162" customWidth="1"/>
    <col min="3" max="3" width="13.28515625" style="162" customWidth="1"/>
    <col min="4" max="4" width="14.5703125" style="163" customWidth="1"/>
    <col min="5" max="5" width="17.85546875" style="162" customWidth="1"/>
    <col min="6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46"/>
      <c r="C4" s="446"/>
      <c r="D4" s="165">
        <f>D25</f>
        <v>9417.4959999999992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4475</v>
      </c>
      <c r="D5" s="172">
        <v>191.01400000000001</v>
      </c>
      <c r="E5" s="80">
        <f t="shared" ref="E5:E23" si="0">+D5/$D$4</f>
        <v>2.028288623642633E-2</v>
      </c>
      <c r="F5" s="58" t="s">
        <v>51</v>
      </c>
      <c r="G5" s="59">
        <v>46097</v>
      </c>
      <c r="H5" s="190">
        <v>6499.9999999999991</v>
      </c>
      <c r="I5" s="141">
        <v>6983.0380000000005</v>
      </c>
      <c r="J5" s="60">
        <f t="shared" ref="J5:J12" si="1">+I5/H5</f>
        <v>1.0743135384615388</v>
      </c>
    </row>
    <row r="6" spans="1:11" ht="15" customHeight="1" x14ac:dyDescent="0.25">
      <c r="A6" s="164"/>
      <c r="B6" s="169" t="s">
        <v>10</v>
      </c>
      <c r="C6" s="177">
        <v>11418</v>
      </c>
      <c r="D6" s="173">
        <v>486.96800000000002</v>
      </c>
      <c r="E6" s="80">
        <f t="shared" si="0"/>
        <v>5.1708861888552969E-2</v>
      </c>
      <c r="F6" s="58" t="s">
        <v>52</v>
      </c>
      <c r="G6" s="59">
        <v>46098</v>
      </c>
      <c r="H6" s="190">
        <v>8418</v>
      </c>
      <c r="I6" s="141">
        <v>9539.6830000000009</v>
      </c>
      <c r="J6" s="60">
        <f t="shared" si="1"/>
        <v>1.1332481587075316</v>
      </c>
    </row>
    <row r="7" spans="1:11" ht="15" customHeight="1" x14ac:dyDescent="0.25">
      <c r="A7" s="164"/>
      <c r="B7" s="169" t="s">
        <v>35</v>
      </c>
      <c r="C7" s="177">
        <v>38027</v>
      </c>
      <c r="D7" s="173">
        <v>1621.242</v>
      </c>
      <c r="E7" s="245">
        <f t="shared" si="0"/>
        <v>0.17215213046015629</v>
      </c>
      <c r="F7" s="58" t="s">
        <v>53</v>
      </c>
      <c r="G7" s="59">
        <v>46099</v>
      </c>
      <c r="H7" s="190">
        <v>7943</v>
      </c>
      <c r="I7" s="141">
        <v>9624.5160000000014</v>
      </c>
      <c r="J7" s="60">
        <f t="shared" si="1"/>
        <v>1.2116978471610225</v>
      </c>
    </row>
    <row r="8" spans="1:11" ht="15" customHeight="1" x14ac:dyDescent="0.25">
      <c r="A8" s="164"/>
      <c r="B8" s="169" t="s">
        <v>4</v>
      </c>
      <c r="C8" s="177"/>
      <c r="D8" s="173"/>
      <c r="E8" s="80">
        <f t="shared" si="0"/>
        <v>0</v>
      </c>
      <c r="F8" s="58" t="s">
        <v>54</v>
      </c>
      <c r="G8" s="59">
        <v>46100</v>
      </c>
      <c r="H8" s="190">
        <v>7402.9999999999991</v>
      </c>
      <c r="I8" s="141">
        <v>9417.4959999999992</v>
      </c>
      <c r="J8" s="60">
        <f t="shared" si="1"/>
        <v>1.2721188707280833</v>
      </c>
    </row>
    <row r="9" spans="1:11" ht="15" customHeight="1" x14ac:dyDescent="0.25">
      <c r="A9" s="164"/>
      <c r="B9" s="169" t="s">
        <v>37</v>
      </c>
      <c r="C9" s="177">
        <v>33587</v>
      </c>
      <c r="D9" s="173">
        <v>1434.4259999999999</v>
      </c>
      <c r="E9" s="245">
        <f t="shared" si="0"/>
        <v>0.15231501027449335</v>
      </c>
      <c r="F9" s="58" t="s">
        <v>55</v>
      </c>
      <c r="G9" s="59">
        <v>46101</v>
      </c>
      <c r="H9" s="190">
        <v>7332.9999999999991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46188</v>
      </c>
      <c r="D10" s="173">
        <v>1972</v>
      </c>
      <c r="E10" s="245">
        <f t="shared" si="0"/>
        <v>0.20939748740004777</v>
      </c>
      <c r="F10" s="58" t="s">
        <v>56</v>
      </c>
      <c r="G10" s="59">
        <v>46102</v>
      </c>
      <c r="H10" s="190">
        <v>7415.9999999999991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14056</v>
      </c>
      <c r="D11" s="173">
        <v>599.89400000000001</v>
      </c>
      <c r="E11" s="80">
        <f t="shared" si="0"/>
        <v>6.3699947417020411E-2</v>
      </c>
      <c r="F11" s="58" t="s">
        <v>57</v>
      </c>
      <c r="G11" s="59">
        <v>46103</v>
      </c>
      <c r="H11" s="190">
        <v>4643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6608</v>
      </c>
      <c r="D12" s="173">
        <v>166.542</v>
      </c>
      <c r="E12" s="80">
        <f t="shared" si="0"/>
        <v>1.7684318634167726E-2</v>
      </c>
      <c r="H12" s="139">
        <f>+SUM(H5:H11)</f>
        <v>49656</v>
      </c>
      <c r="I12" s="142">
        <f>+SUM(I5:I11)</f>
        <v>35564.733</v>
      </c>
      <c r="J12" s="140">
        <f t="shared" si="1"/>
        <v>0.7162222692121798</v>
      </c>
    </row>
    <row r="13" spans="1:11" ht="15" customHeight="1" x14ac:dyDescent="0.25">
      <c r="A13" s="164"/>
      <c r="B13" s="169" t="s">
        <v>44</v>
      </c>
      <c r="C13" s="177"/>
      <c r="D13" s="173"/>
      <c r="E13" s="80">
        <f t="shared" si="0"/>
        <v>0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49</v>
      </c>
      <c r="C14" s="177">
        <v>127</v>
      </c>
      <c r="D14" s="173">
        <v>191.58</v>
      </c>
      <c r="E14" s="80">
        <f t="shared" si="0"/>
        <v>2.034298713798233E-2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765</v>
      </c>
      <c r="D15" s="173">
        <v>1157.83</v>
      </c>
      <c r="E15" s="245">
        <f t="shared" si="0"/>
        <v>0.12294457040385258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159</v>
      </c>
      <c r="D16" s="173">
        <v>240.55</v>
      </c>
      <c r="E16" s="80">
        <f t="shared" si="0"/>
        <v>2.5542883161298931E-2</v>
      </c>
      <c r="F16" s="112" t="s">
        <v>110</v>
      </c>
      <c r="G16" s="190">
        <v>199570.19199999989</v>
      </c>
      <c r="H16" s="190">
        <v>197224.22099999999</v>
      </c>
      <c r="I16" s="190">
        <f>+D26</f>
        <v>154432.092</v>
      </c>
      <c r="J16" s="98">
        <f t="shared" si="2"/>
        <v>0.98824488278289624</v>
      </c>
      <c r="K16" s="98">
        <f t="shared" si="2"/>
        <v>0.78302802372331348</v>
      </c>
    </row>
    <row r="17" spans="1:11" ht="15" customHeight="1" x14ac:dyDescent="0.25">
      <c r="A17" s="164"/>
      <c r="B17" s="169" t="s">
        <v>45</v>
      </c>
      <c r="C17" s="177">
        <v>68</v>
      </c>
      <c r="D17" s="173">
        <v>102.61</v>
      </c>
      <c r="E17" s="80">
        <f t="shared" si="0"/>
        <v>1.0895677577139402E-2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41</v>
      </c>
      <c r="C18" s="177">
        <v>190</v>
      </c>
      <c r="D18" s="173">
        <v>286.37</v>
      </c>
      <c r="E18" s="80">
        <f t="shared" si="0"/>
        <v>3.0408295368535333E-2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230</v>
      </c>
      <c r="C19" s="177">
        <v>24</v>
      </c>
      <c r="D19" s="173">
        <v>36.32</v>
      </c>
      <c r="E19" s="80">
        <f t="shared" si="0"/>
        <v>3.856651492073902E-3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106</v>
      </c>
      <c r="C20" s="177"/>
      <c r="D20" s="173">
        <v>61.46</v>
      </c>
      <c r="E20" s="80">
        <f t="shared" si="0"/>
        <v>6.5261509004091965E-3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687.53</v>
      </c>
      <c r="E21" s="80">
        <f t="shared" si="0"/>
        <v>7.3005605736386828E-2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31.47</v>
      </c>
      <c r="E22" s="80">
        <f t="shared" si="0"/>
        <v>3.341652600648835E-3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59.12</v>
      </c>
      <c r="E23" s="80">
        <f t="shared" si="0"/>
        <v>6.2776772084639065E-3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90.57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thickBot="1" x14ac:dyDescent="0.3">
      <c r="B25" s="178" t="s">
        <v>0</v>
      </c>
      <c r="C25" s="170"/>
      <c r="D25" s="171">
        <f>SUM(D5:D24)</f>
        <v>9417.4959999999992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B26" s="166" t="s">
        <v>1</v>
      </c>
      <c r="C26" s="167"/>
      <c r="D26" s="233">
        <v>154432.092</v>
      </c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585779.69799999986</v>
      </c>
      <c r="J26" s="378"/>
      <c r="K26" s="378">
        <f>+I26/H26</f>
        <v>0.22393552350948895</v>
      </c>
    </row>
    <row r="27" spans="1:11" ht="19.5" thickBot="1" x14ac:dyDescent="0.3">
      <c r="E27" s="313">
        <f>+D26/J2</f>
        <v>0.73614812302170196</v>
      </c>
      <c r="G27" s="379" t="s">
        <v>229</v>
      </c>
      <c r="H27" s="380"/>
      <c r="I27" s="380">
        <v>2726927.1277059279</v>
      </c>
      <c r="J27" s="381">
        <f>+I26/H26</f>
        <v>0.22393552350948895</v>
      </c>
      <c r="K27" s="179"/>
    </row>
    <row r="28" spans="1:11" ht="16.5" thickBot="1" x14ac:dyDescent="0.3">
      <c r="F28" s="179"/>
      <c r="G28" s="179"/>
      <c r="J28" s="179"/>
    </row>
    <row r="29" spans="1:11" ht="16.5" thickBot="1" x14ac:dyDescent="0.3">
      <c r="B29" s="397" t="s">
        <v>251</v>
      </c>
      <c r="C29" s="447">
        <v>19</v>
      </c>
      <c r="D29" s="108">
        <f>J3*C29</f>
        <v>128577.28546031806</v>
      </c>
      <c r="E29" s="314">
        <f>+D29/J2</f>
        <v>0.61290322580645162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x14ac:dyDescent="0.25">
      <c r="D30" s="183">
        <f>+D26-D29</f>
        <v>25854.806539681944</v>
      </c>
      <c r="E30" s="99">
        <f>E27-E29</f>
        <v>0.12324489721525034</v>
      </c>
    </row>
    <row r="31" spans="1:11" ht="15" customHeight="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15387</v>
      </c>
      <c r="I32" s="88">
        <f>+H32*0.025</f>
        <v>384.67500000000001</v>
      </c>
      <c r="J32" s="224"/>
    </row>
    <row r="33" spans="1:11" x14ac:dyDescent="0.25">
      <c r="B33" s="162" t="s">
        <v>61</v>
      </c>
      <c r="C33" s="162">
        <v>1003</v>
      </c>
      <c r="D33" s="108">
        <v>2142</v>
      </c>
      <c r="E33" s="57">
        <f>+C33/D33</f>
        <v>0.46825396825396826</v>
      </c>
      <c r="G33" s="86" t="s">
        <v>259</v>
      </c>
      <c r="H33" s="87">
        <v>4627</v>
      </c>
      <c r="I33" s="88">
        <f>+H33*0.025</f>
        <v>115.67500000000001</v>
      </c>
      <c r="J33" s="224"/>
      <c r="K33" s="68"/>
    </row>
    <row r="34" spans="1:11" x14ac:dyDescent="0.25">
      <c r="B34" s="162" t="s">
        <v>62</v>
      </c>
      <c r="C34" s="162">
        <v>1123</v>
      </c>
      <c r="D34" s="108">
        <v>1890</v>
      </c>
      <c r="E34" s="57">
        <f>+C34/D34</f>
        <v>0.59417989417989414</v>
      </c>
      <c r="G34" s="86" t="s">
        <v>171</v>
      </c>
      <c r="H34" s="87">
        <v>182</v>
      </c>
      <c r="I34" s="88">
        <f>+H34*0.025</f>
        <v>4.55</v>
      </c>
      <c r="J34" s="297" t="s">
        <v>188</v>
      </c>
    </row>
    <row r="35" spans="1:11" x14ac:dyDescent="0.25">
      <c r="B35" s="162" t="s">
        <v>63</v>
      </c>
      <c r="C35" s="67">
        <v>703</v>
      </c>
      <c r="D35" s="108">
        <v>3006</v>
      </c>
      <c r="E35" s="57">
        <f>+C35/D35</f>
        <v>0.23386560212907517</v>
      </c>
      <c r="G35" s="89" t="s">
        <v>169</v>
      </c>
      <c r="H35" s="87">
        <v>25</v>
      </c>
      <c r="I35" s="88">
        <f>+H35*1.5</f>
        <v>37.5</v>
      </c>
      <c r="J35" s="298">
        <f>+I35+I32+I33</f>
        <v>537.85</v>
      </c>
    </row>
    <row r="36" spans="1:11" ht="15" customHeight="1" x14ac:dyDescent="0.25">
      <c r="C36" s="162">
        <f>+SUM(C33:C35)</f>
        <v>2829</v>
      </c>
      <c r="D36" s="110">
        <f>+SUM(D33:D35)</f>
        <v>7038</v>
      </c>
      <c r="E36" s="57">
        <f>+C36/D36</f>
        <v>0.40196078431372551</v>
      </c>
      <c r="G36" s="89" t="s">
        <v>168</v>
      </c>
      <c r="H36" s="87">
        <v>2</v>
      </c>
      <c r="I36" s="88">
        <f>+H36*1.5</f>
        <v>3</v>
      </c>
      <c r="J36" s="228" t="s">
        <v>193</v>
      </c>
    </row>
    <row r="37" spans="1:11" ht="15" customHeight="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18</v>
      </c>
      <c r="C40" s="74">
        <v>5</v>
      </c>
      <c r="D40" s="74">
        <v>7</v>
      </c>
      <c r="E40" s="75">
        <f>+SUM(B40:D40)</f>
        <v>30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4.5</v>
      </c>
      <c r="C43" s="199">
        <v>1970</v>
      </c>
      <c r="D43" s="200">
        <v>2400</v>
      </c>
      <c r="E43" s="201">
        <f t="shared" ref="E43:E48" si="3">+C43/D43</f>
        <v>0.8208333333333333</v>
      </c>
      <c r="F43" s="201">
        <f t="shared" ref="F43:F48" si="4">+B43/24</f>
        <v>0.1875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7.54</v>
      </c>
      <c r="C44" s="199">
        <v>1964</v>
      </c>
      <c r="D44" s="200">
        <v>3600</v>
      </c>
      <c r="E44" s="201">
        <f t="shared" si="3"/>
        <v>0.54555555555555557</v>
      </c>
      <c r="F44" s="201">
        <f t="shared" si="4"/>
        <v>0.31416666666666665</v>
      </c>
      <c r="G44" s="202">
        <v>12</v>
      </c>
      <c r="H44" s="71"/>
    </row>
    <row r="45" spans="1:11" x14ac:dyDescent="0.25">
      <c r="A45" s="207" t="s">
        <v>72</v>
      </c>
      <c r="B45" s="199">
        <v>9.6</v>
      </c>
      <c r="C45" s="199">
        <v>1534</v>
      </c>
      <c r="D45" s="200">
        <v>3900</v>
      </c>
      <c r="E45" s="201">
        <f t="shared" si="3"/>
        <v>0.39333333333333331</v>
      </c>
      <c r="F45" s="201">
        <f t="shared" si="4"/>
        <v>0.39999999999999997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14.94</v>
      </c>
      <c r="C46" s="199">
        <v>3070</v>
      </c>
      <c r="D46" s="200">
        <v>3900</v>
      </c>
      <c r="E46" s="201">
        <f t="shared" si="3"/>
        <v>0.78717948717948716</v>
      </c>
      <c r="F46" s="201">
        <f t="shared" si="4"/>
        <v>0.62249999999999994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16.63</v>
      </c>
      <c r="C47" s="199">
        <v>2177</v>
      </c>
      <c r="D47" s="200">
        <v>3900</v>
      </c>
      <c r="E47" s="201">
        <f t="shared" si="3"/>
        <v>0.55820512820512824</v>
      </c>
      <c r="F47" s="201">
        <f t="shared" si="4"/>
        <v>0.69291666666666663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 t="shared" ref="K47:K52" si="5">+J47*1.5</f>
        <v>199.5</v>
      </c>
    </row>
    <row r="48" spans="1:11" x14ac:dyDescent="0.25">
      <c r="A48" s="259" t="s">
        <v>75</v>
      </c>
      <c r="B48" s="260">
        <v>6.34</v>
      </c>
      <c r="C48" s="261">
        <v>2917</v>
      </c>
      <c r="D48" s="262">
        <v>4300</v>
      </c>
      <c r="E48" s="263">
        <f t="shared" si="3"/>
        <v>0.67837209302325585</v>
      </c>
      <c r="F48" s="201">
        <f t="shared" si="4"/>
        <v>0.26416666666666666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 t="shared" si="5"/>
        <v>63</v>
      </c>
    </row>
    <row r="49" spans="2:11" x14ac:dyDescent="0.25">
      <c r="B49" s="113">
        <f>+SUM(B43:B48)</f>
        <v>59.55</v>
      </c>
      <c r="C49" s="71"/>
      <c r="D49" s="72"/>
      <c r="H49" s="301">
        <v>46085</v>
      </c>
      <c r="I49" s="129" t="s">
        <v>175</v>
      </c>
      <c r="J49" s="162">
        <v>60</v>
      </c>
      <c r="K49" s="318">
        <f t="shared" si="5"/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 t="shared" si="5"/>
        <v>156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46093</v>
      </c>
      <c r="I51" s="129" t="s">
        <v>176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46098</v>
      </c>
      <c r="I52" s="129" t="s">
        <v>176</v>
      </c>
      <c r="J52" s="162">
        <v>40</v>
      </c>
      <c r="K52" s="318">
        <f t="shared" si="5"/>
        <v>60</v>
      </c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5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</row>
    <row r="58" spans="2:11" x14ac:dyDescent="0.25">
      <c r="C58" s="71">
        <v>8</v>
      </c>
      <c r="D58" s="108">
        <v>5</v>
      </c>
    </row>
    <row r="59" spans="2:11" x14ac:dyDescent="0.25">
      <c r="H59" s="359" t="s">
        <v>219</v>
      </c>
      <c r="I59" s="345"/>
      <c r="J59" s="199">
        <f>+J52</f>
        <v>40</v>
      </c>
      <c r="K59" s="346">
        <f>+J59*1.5</f>
        <v>60</v>
      </c>
    </row>
    <row r="60" spans="2:11" x14ac:dyDescent="0.25">
      <c r="B60" s="364" t="s">
        <v>231</v>
      </c>
      <c r="C60" s="199">
        <v>2439</v>
      </c>
      <c r="D60" s="384" t="s">
        <v>92</v>
      </c>
      <c r="F60" s="447" t="s">
        <v>271</v>
      </c>
      <c r="G60" s="447" t="s">
        <v>267</v>
      </c>
      <c r="H60" s="237" t="s">
        <v>197</v>
      </c>
      <c r="I60"/>
      <c r="J60" s="162" t="s">
        <v>157</v>
      </c>
      <c r="K60" s="215" t="s">
        <v>92</v>
      </c>
    </row>
    <row r="61" spans="2:11" x14ac:dyDescent="0.25">
      <c r="F61" s="447">
        <v>1230</v>
      </c>
      <c r="G61" s="447">
        <v>784.3</v>
      </c>
      <c r="H61" s="301"/>
      <c r="I61" s="129"/>
      <c r="K61" s="318"/>
    </row>
    <row r="62" spans="2:11" x14ac:dyDescent="0.25">
      <c r="F62" s="432">
        <f>+G61/F61</f>
        <v>0.63764227642276416</v>
      </c>
      <c r="G62" s="447" t="s">
        <v>269</v>
      </c>
      <c r="H62" s="301">
        <v>46082</v>
      </c>
      <c r="I62" s="129" t="s">
        <v>176</v>
      </c>
      <c r="J62" s="162">
        <v>11032</v>
      </c>
      <c r="K62" s="318">
        <f t="shared" ref="K62:K69" si="6">+J62*0.025</f>
        <v>275.8</v>
      </c>
    </row>
    <row r="63" spans="2:11" x14ac:dyDescent="0.25">
      <c r="F63" s="447"/>
      <c r="G63" s="447">
        <v>140</v>
      </c>
      <c r="H63" s="301">
        <v>46090</v>
      </c>
      <c r="I63" s="129" t="s">
        <v>175</v>
      </c>
      <c r="J63" s="162">
        <v>1278</v>
      </c>
      <c r="K63" s="318">
        <f t="shared" si="6"/>
        <v>31.950000000000003</v>
      </c>
    </row>
    <row r="64" spans="2:11" x14ac:dyDescent="0.25">
      <c r="F64" s="432">
        <f>(G63+G61)/F61</f>
        <v>0.75146341463414634</v>
      </c>
      <c r="G64" s="447" t="s">
        <v>270</v>
      </c>
      <c r="H64" s="301">
        <v>46094</v>
      </c>
      <c r="I64" s="129" t="s">
        <v>175</v>
      </c>
      <c r="J64" s="162">
        <v>8756</v>
      </c>
      <c r="K64" s="318">
        <f t="shared" si="6"/>
        <v>218.9</v>
      </c>
    </row>
    <row r="65" spans="2:11" x14ac:dyDescent="0.25">
      <c r="B65" s="66"/>
      <c r="C65" s="391"/>
      <c r="D65" s="391"/>
      <c r="H65" s="301">
        <v>46099</v>
      </c>
      <c r="I65" s="129" t="s">
        <v>175</v>
      </c>
      <c r="J65" s="162">
        <v>3456</v>
      </c>
      <c r="K65" s="318">
        <f t="shared" si="6"/>
        <v>86.4</v>
      </c>
    </row>
    <row r="66" spans="2:11" x14ac:dyDescent="0.25">
      <c r="C66" s="389"/>
      <c r="H66" s="301">
        <v>46099</v>
      </c>
      <c r="I66" s="129" t="s">
        <v>176</v>
      </c>
      <c r="J66" s="162">
        <v>7192</v>
      </c>
      <c r="K66" s="318">
        <f t="shared" si="6"/>
        <v>179.8</v>
      </c>
    </row>
    <row r="67" spans="2:11" x14ac:dyDescent="0.25">
      <c r="C67" s="389"/>
      <c r="H67" s="301">
        <v>46100</v>
      </c>
      <c r="I67" s="129" t="s">
        <v>175</v>
      </c>
      <c r="J67" s="162">
        <v>4721</v>
      </c>
      <c r="K67" s="318">
        <f t="shared" si="6"/>
        <v>118.02500000000001</v>
      </c>
    </row>
    <row r="68" spans="2:11" x14ac:dyDescent="0.25">
      <c r="C68" s="389"/>
      <c r="H68" s="301">
        <v>46100</v>
      </c>
      <c r="I68" s="129" t="s">
        <v>176</v>
      </c>
      <c r="K68" s="318">
        <f t="shared" si="6"/>
        <v>0</v>
      </c>
    </row>
    <row r="69" spans="2:11" x14ac:dyDescent="0.25">
      <c r="C69" s="389"/>
      <c r="H69" s="431" t="s">
        <v>274</v>
      </c>
      <c r="I69" s="345"/>
      <c r="J69" s="200">
        <f>+J66+J65+J67</f>
        <v>15369</v>
      </c>
      <c r="K69" s="346">
        <f t="shared" si="6"/>
        <v>384.22500000000002</v>
      </c>
    </row>
    <row r="70" spans="2:11" x14ac:dyDescent="0.25">
      <c r="H70" s="237" t="s">
        <v>205</v>
      </c>
      <c r="I70"/>
      <c r="J70" s="162" t="s">
        <v>177</v>
      </c>
      <c r="K70" s="215" t="s">
        <v>92</v>
      </c>
    </row>
    <row r="71" spans="2:11" x14ac:dyDescent="0.25">
      <c r="H71" s="301">
        <v>45942</v>
      </c>
      <c r="I71" s="129" t="s">
        <v>176</v>
      </c>
      <c r="J71" s="162">
        <v>47</v>
      </c>
      <c r="K71" s="318">
        <v>70.5</v>
      </c>
    </row>
    <row r="72" spans="2:11" x14ac:dyDescent="0.25">
      <c r="H72"/>
      <c r="I72" s="129"/>
      <c r="J72"/>
      <c r="K72" s="215"/>
    </row>
    <row r="73" spans="2:11" x14ac:dyDescent="0.25">
      <c r="H73" s="237" t="s">
        <v>167</v>
      </c>
      <c r="I73"/>
      <c r="J73" s="237" t="s">
        <v>157</v>
      </c>
      <c r="K73" s="437" t="s">
        <v>92</v>
      </c>
    </row>
    <row r="74" spans="2:11" x14ac:dyDescent="0.25">
      <c r="H74" s="301">
        <v>46089</v>
      </c>
      <c r="I74" s="129" t="s">
        <v>175</v>
      </c>
      <c r="J74" s="108">
        <v>55</v>
      </c>
      <c r="K74" s="297">
        <f>+J74*1.5</f>
        <v>82.5</v>
      </c>
    </row>
    <row r="75" spans="2:11" x14ac:dyDescent="0.25">
      <c r="B75" s="162" t="s">
        <v>254</v>
      </c>
      <c r="C75" s="389">
        <v>0.8</v>
      </c>
      <c r="H75" s="301">
        <v>46089</v>
      </c>
      <c r="I75" s="129" t="s">
        <v>176</v>
      </c>
      <c r="J75" s="71">
        <v>162</v>
      </c>
      <c r="K75" s="297">
        <f>+J75*1.5</f>
        <v>243</v>
      </c>
    </row>
    <row r="76" spans="2:11" x14ac:dyDescent="0.25">
      <c r="H76" s="301">
        <v>46090</v>
      </c>
      <c r="I76" s="129" t="s">
        <v>175</v>
      </c>
      <c r="J76" s="108">
        <f>36+36+37</f>
        <v>109</v>
      </c>
      <c r="K76" s="297">
        <f>+J76*1.5</f>
        <v>163.5</v>
      </c>
    </row>
    <row r="77" spans="2:11" x14ac:dyDescent="0.25">
      <c r="J77" s="71"/>
      <c r="K77" s="71"/>
    </row>
    <row r="78" spans="2:11" x14ac:dyDescent="0.25">
      <c r="H78" s="344"/>
      <c r="I78" s="345"/>
      <c r="J78" s="435">
        <f>+J75+J74+J76</f>
        <v>326</v>
      </c>
      <c r="K78" s="436">
        <f>+J78*1.5</f>
        <v>489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57" workbookViewId="0">
      <selection activeCell="A28" sqref="A28:K79"/>
    </sheetView>
  </sheetViews>
  <sheetFormatPr baseColWidth="10" defaultColWidth="11.42578125" defaultRowHeight="15.75" x14ac:dyDescent="0.25"/>
  <cols>
    <col min="1" max="1" width="2.42578125" style="162" customWidth="1"/>
    <col min="2" max="2" width="39.85546875" style="162" customWidth="1"/>
    <col min="3" max="3" width="13.28515625" style="162" customWidth="1"/>
    <col min="4" max="4" width="14.5703125" style="163" customWidth="1"/>
    <col min="5" max="5" width="14.42578125" style="162" customWidth="1"/>
    <col min="6" max="6" width="16" style="162" customWidth="1"/>
    <col min="7" max="7" width="17.42578125" style="162" customWidth="1"/>
    <col min="8" max="8" width="11.42578125" style="162"/>
    <col min="9" max="9" width="14.140625" style="162" customWidth="1"/>
    <col min="10" max="10" width="11.42578125" style="162"/>
    <col min="11" max="11" width="6.140625" style="162" customWidth="1"/>
    <col min="12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48"/>
      <c r="C4" s="448"/>
      <c r="D4" s="165">
        <f>D25</f>
        <v>4747.6260000000002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/>
      <c r="D5" s="172"/>
      <c r="E5" s="80">
        <f t="shared" ref="E5:E23" si="0">+D5/$D$4</f>
        <v>0</v>
      </c>
      <c r="F5" s="58" t="s">
        <v>51</v>
      </c>
      <c r="G5" s="59">
        <v>46097</v>
      </c>
      <c r="H5" s="190">
        <v>6499.9999999999991</v>
      </c>
      <c r="I5" s="141">
        <v>6983.0380000000005</v>
      </c>
      <c r="J5" s="60">
        <f t="shared" ref="J5:J12" si="1">+I5/H5</f>
        <v>1.0743135384615388</v>
      </c>
    </row>
    <row r="6" spans="1:11" ht="15" customHeight="1" x14ac:dyDescent="0.25">
      <c r="A6" s="164"/>
      <c r="B6" s="169" t="s">
        <v>10</v>
      </c>
      <c r="C6" s="177">
        <v>12550</v>
      </c>
      <c r="D6" s="173">
        <v>535.49</v>
      </c>
      <c r="E6" s="245">
        <f t="shared" si="0"/>
        <v>0.11279110865093417</v>
      </c>
      <c r="F6" s="58" t="s">
        <v>52</v>
      </c>
      <c r="G6" s="59">
        <v>46098</v>
      </c>
      <c r="H6" s="190">
        <v>8418</v>
      </c>
      <c r="I6" s="141">
        <v>9539.6830000000009</v>
      </c>
      <c r="J6" s="60">
        <f t="shared" si="1"/>
        <v>1.1332481587075316</v>
      </c>
    </row>
    <row r="7" spans="1:11" ht="15" customHeight="1" x14ac:dyDescent="0.25">
      <c r="A7" s="164"/>
      <c r="B7" s="169" t="s">
        <v>35</v>
      </c>
      <c r="C7" s="177">
        <v>20217</v>
      </c>
      <c r="D7" s="173">
        <v>861.05</v>
      </c>
      <c r="E7" s="245">
        <f t="shared" si="0"/>
        <v>0.1813643281926588</v>
      </c>
      <c r="F7" s="58" t="s">
        <v>53</v>
      </c>
      <c r="G7" s="59">
        <v>46099</v>
      </c>
      <c r="H7" s="190">
        <v>7943</v>
      </c>
      <c r="I7" s="141">
        <v>9624.5160000000014</v>
      </c>
      <c r="J7" s="60">
        <f t="shared" si="1"/>
        <v>1.2116978471610225</v>
      </c>
    </row>
    <row r="8" spans="1:11" ht="15" customHeight="1" x14ac:dyDescent="0.25">
      <c r="A8" s="164"/>
      <c r="B8" s="169" t="s">
        <v>4</v>
      </c>
      <c r="C8" s="177">
        <v>750</v>
      </c>
      <c r="D8" s="173">
        <v>32.090000000000003</v>
      </c>
      <c r="E8" s="80">
        <f t="shared" si="0"/>
        <v>6.7591676345188107E-3</v>
      </c>
      <c r="F8" s="58" t="s">
        <v>54</v>
      </c>
      <c r="G8" s="59">
        <v>46100</v>
      </c>
      <c r="H8" s="190">
        <v>7402.9999999999991</v>
      </c>
      <c r="I8" s="141">
        <v>9417.4959999999992</v>
      </c>
      <c r="J8" s="60">
        <f t="shared" si="1"/>
        <v>1.2721188707280833</v>
      </c>
    </row>
    <row r="9" spans="1:11" ht="15" customHeight="1" x14ac:dyDescent="0.25">
      <c r="A9" s="164"/>
      <c r="B9" s="169" t="s">
        <v>37</v>
      </c>
      <c r="C9" s="177">
        <v>13853</v>
      </c>
      <c r="D9" s="173">
        <v>591.47900000000004</v>
      </c>
      <c r="E9" s="245">
        <f t="shared" si="0"/>
        <v>0.12458416058889223</v>
      </c>
      <c r="F9" s="58" t="s">
        <v>55</v>
      </c>
      <c r="G9" s="59">
        <v>46101</v>
      </c>
      <c r="H9" s="190">
        <v>7332.9999999999991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17980</v>
      </c>
      <c r="D10" s="173">
        <v>768.07600000000002</v>
      </c>
      <c r="E10" s="245">
        <f t="shared" si="0"/>
        <v>0.1617810670006441</v>
      </c>
      <c r="F10" s="58" t="s">
        <v>56</v>
      </c>
      <c r="G10" s="59">
        <v>46102</v>
      </c>
      <c r="H10" s="190">
        <v>7415.9999999999991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8055</v>
      </c>
      <c r="D11" s="173">
        <v>343.964</v>
      </c>
      <c r="E11" s="80">
        <f t="shared" si="0"/>
        <v>7.2449683273282259E-2</v>
      </c>
      <c r="F11" s="58" t="s">
        <v>57</v>
      </c>
      <c r="G11" s="59">
        <v>46103</v>
      </c>
      <c r="H11" s="190">
        <v>4643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196</v>
      </c>
      <c r="C12" s="177">
        <v>8102</v>
      </c>
      <c r="D12" s="173">
        <v>205.172</v>
      </c>
      <c r="E12" s="80">
        <f t="shared" si="0"/>
        <v>4.3215704017123505E-2</v>
      </c>
      <c r="H12" s="139">
        <f>+SUM(H5:H11)</f>
        <v>49656</v>
      </c>
      <c r="I12" s="142">
        <f>+SUM(I5:I11)</f>
        <v>35564.733</v>
      </c>
      <c r="J12" s="140">
        <f t="shared" si="1"/>
        <v>0.7162222692121798</v>
      </c>
    </row>
    <row r="13" spans="1:11" ht="15" customHeight="1" x14ac:dyDescent="0.25">
      <c r="A13" s="164"/>
      <c r="B13" s="169" t="s">
        <v>95</v>
      </c>
      <c r="C13" s="177">
        <v>100</v>
      </c>
      <c r="D13" s="173">
        <v>2.5129999999999999</v>
      </c>
      <c r="E13" s="80">
        <f t="shared" si="0"/>
        <v>5.2931717873311833E-4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260</v>
      </c>
      <c r="C14" s="177">
        <v>18</v>
      </c>
      <c r="D14" s="173">
        <v>32.731999999999999</v>
      </c>
      <c r="E14" s="80">
        <f t="shared" si="0"/>
        <v>6.8943931135266338E-3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44</v>
      </c>
      <c r="C15" s="177">
        <v>20</v>
      </c>
      <c r="D15" s="173">
        <v>30.16</v>
      </c>
      <c r="E15" s="80">
        <f t="shared" si="0"/>
        <v>6.3526486711463787E-3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85</v>
      </c>
      <c r="C16" s="177">
        <v>353</v>
      </c>
      <c r="D16" s="173">
        <v>532.46</v>
      </c>
      <c r="E16" s="245">
        <f t="shared" si="0"/>
        <v>0.11215289494159818</v>
      </c>
      <c r="F16" s="112" t="s">
        <v>110</v>
      </c>
      <c r="G16" s="190">
        <v>199570.19199999989</v>
      </c>
      <c r="H16" s="190">
        <v>197224.22099999999</v>
      </c>
      <c r="I16" s="190">
        <f>+D26</f>
        <v>175578.204</v>
      </c>
      <c r="J16" s="98">
        <f t="shared" si="2"/>
        <v>0.98824488278289624</v>
      </c>
      <c r="K16" s="98">
        <f t="shared" si="2"/>
        <v>0.89024665991709007</v>
      </c>
    </row>
    <row r="17" spans="1:11" ht="15" customHeight="1" x14ac:dyDescent="0.25">
      <c r="A17" s="164"/>
      <c r="B17" s="169" t="s">
        <v>39</v>
      </c>
      <c r="C17" s="177">
        <v>47</v>
      </c>
      <c r="D17" s="173">
        <v>71.010000000000005</v>
      </c>
      <c r="E17" s="80">
        <f t="shared" si="0"/>
        <v>1.4956949009884098E-2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43</v>
      </c>
      <c r="C18" s="177"/>
      <c r="D18" s="173"/>
      <c r="E18" s="80">
        <f t="shared" si="0"/>
        <v>0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49</v>
      </c>
      <c r="C19" s="177"/>
      <c r="D19" s="173"/>
      <c r="E19" s="80">
        <f t="shared" si="0"/>
        <v>0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41</v>
      </c>
      <c r="C20" s="177">
        <v>148</v>
      </c>
      <c r="D20" s="173">
        <v>223.05</v>
      </c>
      <c r="E20" s="80">
        <f t="shared" si="0"/>
        <v>4.6981375533793099E-2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332.96</v>
      </c>
      <c r="E21" s="80">
        <f t="shared" si="0"/>
        <v>7.0131893287297686E-2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32.61</v>
      </c>
      <c r="E22" s="80">
        <f t="shared" si="0"/>
        <v>6.8686960598834026E-3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90.13</v>
      </c>
      <c r="E23" s="80">
        <f t="shared" si="0"/>
        <v>1.8984224957905277E-2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62.68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thickBot="1" x14ac:dyDescent="0.3">
      <c r="B25" s="178" t="s">
        <v>0</v>
      </c>
      <c r="C25" s="170"/>
      <c r="D25" s="171">
        <f>SUM(D5:D24)</f>
        <v>4747.6260000000002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B26" s="166" t="s">
        <v>1</v>
      </c>
      <c r="C26" s="167"/>
      <c r="D26" s="233">
        <v>175578.204</v>
      </c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606925.80999999994</v>
      </c>
      <c r="J26" s="378"/>
      <c r="K26" s="378">
        <f>+I26/H26</f>
        <v>0.23201939134765071</v>
      </c>
    </row>
    <row r="27" spans="1:11" ht="15" customHeight="1" thickBot="1" x14ac:dyDescent="0.3">
      <c r="E27" s="313">
        <f>+D26/J2</f>
        <v>0.83694757769726691</v>
      </c>
      <c r="G27" s="379" t="s">
        <v>229</v>
      </c>
      <c r="H27" s="380"/>
      <c r="I27" s="380">
        <v>2726927.1277059279</v>
      </c>
      <c r="J27" s="381">
        <f>+I26/H26</f>
        <v>0.23201939134765071</v>
      </c>
      <c r="K27" s="179"/>
    </row>
    <row r="28" spans="1:11" ht="15" customHeight="1" thickBot="1" x14ac:dyDescent="0.3">
      <c r="F28" s="179"/>
      <c r="G28" s="179"/>
      <c r="J28" s="179"/>
    </row>
    <row r="29" spans="1:11" ht="15" customHeight="1" thickBot="1" x14ac:dyDescent="0.3">
      <c r="B29" s="397" t="s">
        <v>251</v>
      </c>
      <c r="C29" s="449">
        <v>22</v>
      </c>
      <c r="D29" s="108">
        <f>J3*C29</f>
        <v>148878.96211194721</v>
      </c>
      <c r="E29" s="314">
        <f>+D29/J2</f>
        <v>0.70967741935483863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ht="15" customHeight="1" x14ac:dyDescent="0.25">
      <c r="D30" s="183">
        <f>+D26-D29</f>
        <v>26699.241888052784</v>
      </c>
      <c r="E30" s="99">
        <f>E27-E29</f>
        <v>0.12727015834242827</v>
      </c>
    </row>
    <row r="31" spans="1:11" ht="15" customHeight="1" x14ac:dyDescent="0.25">
      <c r="G31" s="163"/>
      <c r="H31" s="237" t="s">
        <v>157</v>
      </c>
      <c r="I31" s="237" t="s">
        <v>92</v>
      </c>
      <c r="J31" s="71"/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8660</v>
      </c>
      <c r="I32" s="88">
        <f>+H32*0.025</f>
        <v>216.5</v>
      </c>
      <c r="J32" s="224"/>
    </row>
    <row r="33" spans="1:11" ht="15" customHeight="1" x14ac:dyDescent="0.25">
      <c r="B33" s="162" t="s">
        <v>61</v>
      </c>
      <c r="C33" s="162">
        <v>513</v>
      </c>
      <c r="D33" s="108">
        <v>2142</v>
      </c>
      <c r="E33" s="57">
        <f>+C33/D33</f>
        <v>0.23949579831932774</v>
      </c>
      <c r="G33" s="86" t="s">
        <v>259</v>
      </c>
      <c r="H33" s="87">
        <v>4922</v>
      </c>
      <c r="I33" s="88">
        <f>+H33*0.025</f>
        <v>123.05000000000001</v>
      </c>
      <c r="J33" s="224"/>
      <c r="K33" s="68"/>
    </row>
    <row r="34" spans="1:11" ht="15" customHeight="1" x14ac:dyDescent="0.25">
      <c r="B34" s="162" t="s">
        <v>62</v>
      </c>
      <c r="C34" s="162">
        <v>1055</v>
      </c>
      <c r="D34" s="108">
        <v>1890</v>
      </c>
      <c r="E34" s="57">
        <f>+C34/D34</f>
        <v>0.55820105820105825</v>
      </c>
      <c r="G34" s="86" t="s">
        <v>171</v>
      </c>
      <c r="H34" s="87">
        <v>182</v>
      </c>
      <c r="I34" s="88">
        <f>+H34*0.025</f>
        <v>4.55</v>
      </c>
      <c r="J34" s="297" t="s">
        <v>188</v>
      </c>
    </row>
    <row r="35" spans="1:11" ht="15" customHeight="1" x14ac:dyDescent="0.25">
      <c r="B35" s="162" t="s">
        <v>63</v>
      </c>
      <c r="C35" s="67">
        <v>1354</v>
      </c>
      <c r="D35" s="108">
        <v>3006</v>
      </c>
      <c r="E35" s="57">
        <f>+C35/D35</f>
        <v>0.45043246839654028</v>
      </c>
      <c r="G35" s="89" t="s">
        <v>169</v>
      </c>
      <c r="H35" s="87">
        <v>154</v>
      </c>
      <c r="I35" s="88">
        <f>+H35*1.5</f>
        <v>231</v>
      </c>
      <c r="J35" s="298">
        <f>+I35+I32+I33</f>
        <v>570.54999999999995</v>
      </c>
    </row>
    <row r="36" spans="1:11" ht="15" customHeight="1" x14ac:dyDescent="0.25">
      <c r="C36" s="162">
        <f>+SUM(C33:C35)</f>
        <v>2922</v>
      </c>
      <c r="D36" s="110">
        <f>+SUM(D33:D35)</f>
        <v>7038</v>
      </c>
      <c r="E36" s="57">
        <f>+C36/D36</f>
        <v>0.41517476555839727</v>
      </c>
      <c r="G36" s="89" t="s">
        <v>168</v>
      </c>
      <c r="H36" s="87">
        <v>19</v>
      </c>
      <c r="I36" s="88">
        <f>+H36*1.5</f>
        <v>28.5</v>
      </c>
      <c r="J36" s="228" t="s">
        <v>193</v>
      </c>
    </row>
    <row r="37" spans="1:11" ht="15" customHeight="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17</v>
      </c>
      <c r="C40" s="74">
        <v>5</v>
      </c>
      <c r="D40" s="74">
        <v>8</v>
      </c>
      <c r="E40" s="75">
        <f>+SUM(B40:D40)</f>
        <v>30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0.6</v>
      </c>
      <c r="C43" s="199">
        <v>2400</v>
      </c>
      <c r="D43" s="200">
        <v>2400</v>
      </c>
      <c r="E43" s="201">
        <f t="shared" ref="E43:E48" si="3">+C43/D43</f>
        <v>1</v>
      </c>
      <c r="F43" s="201">
        <f t="shared" ref="F43:F48" si="4">+B43/24</f>
        <v>2.4999999999999998E-2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6.21</v>
      </c>
      <c r="C44" s="199">
        <v>2331</v>
      </c>
      <c r="D44" s="200">
        <v>3600</v>
      </c>
      <c r="E44" s="201">
        <f t="shared" si="3"/>
        <v>0.64749999999999996</v>
      </c>
      <c r="F44" s="201">
        <f t="shared" si="4"/>
        <v>0.25874999999999998</v>
      </c>
      <c r="G44" s="202">
        <v>12</v>
      </c>
      <c r="H44" s="71"/>
    </row>
    <row r="45" spans="1:11" x14ac:dyDescent="0.25">
      <c r="A45" s="207" t="s">
        <v>72</v>
      </c>
      <c r="B45" s="199">
        <v>4.62</v>
      </c>
      <c r="C45" s="199">
        <v>2466</v>
      </c>
      <c r="D45" s="200">
        <v>3900</v>
      </c>
      <c r="E45" s="201">
        <f t="shared" si="3"/>
        <v>0.63230769230769235</v>
      </c>
      <c r="F45" s="201">
        <f t="shared" si="4"/>
        <v>0.1925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5.6</v>
      </c>
      <c r="C46" s="199">
        <v>2626</v>
      </c>
      <c r="D46" s="200">
        <v>3900</v>
      </c>
      <c r="E46" s="201">
        <f t="shared" si="3"/>
        <v>0.67333333333333334</v>
      </c>
      <c r="F46" s="201">
        <f t="shared" si="4"/>
        <v>0.23333333333333331</v>
      </c>
      <c r="G46" s="202">
        <v>12</v>
      </c>
      <c r="H46" s="301"/>
      <c r="I46" s="129"/>
      <c r="K46" s="318"/>
    </row>
    <row r="47" spans="1:11" x14ac:dyDescent="0.25">
      <c r="A47" s="207" t="s">
        <v>74</v>
      </c>
      <c r="B47" s="199">
        <v>4.8499999999999996</v>
      </c>
      <c r="C47" s="199">
        <v>1942</v>
      </c>
      <c r="D47" s="200">
        <v>3900</v>
      </c>
      <c r="E47" s="201">
        <f t="shared" si="3"/>
        <v>0.49794871794871792</v>
      </c>
      <c r="F47" s="201">
        <f t="shared" si="4"/>
        <v>0.20208333333333331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 t="shared" ref="K47:K52" si="5">+J47*1.5</f>
        <v>199.5</v>
      </c>
    </row>
    <row r="48" spans="1:11" x14ac:dyDescent="0.25">
      <c r="A48" s="259" t="s">
        <v>75</v>
      </c>
      <c r="B48" s="260">
        <v>12.49</v>
      </c>
      <c r="C48" s="261">
        <v>4285</v>
      </c>
      <c r="D48" s="262">
        <v>4300</v>
      </c>
      <c r="E48" s="263">
        <f t="shared" si="3"/>
        <v>0.99651162790697678</v>
      </c>
      <c r="F48" s="201">
        <f t="shared" si="4"/>
        <v>0.52041666666666664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 t="shared" si="5"/>
        <v>63</v>
      </c>
    </row>
    <row r="49" spans="2:11" x14ac:dyDescent="0.25">
      <c r="B49" s="113">
        <f>+SUM(B43:B48)</f>
        <v>34.370000000000005</v>
      </c>
      <c r="C49" s="71"/>
      <c r="D49" s="72"/>
      <c r="H49" s="301">
        <v>46085</v>
      </c>
      <c r="I49" s="129" t="s">
        <v>175</v>
      </c>
      <c r="J49" s="162">
        <v>60</v>
      </c>
      <c r="K49" s="318">
        <f t="shared" si="5"/>
        <v>90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 t="shared" si="5"/>
        <v>156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46093</v>
      </c>
      <c r="I51" s="129" t="s">
        <v>176</v>
      </c>
      <c r="J51" s="162">
        <v>46</v>
      </c>
      <c r="K51" s="318">
        <f t="shared" si="5"/>
        <v>69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46098</v>
      </c>
      <c r="I52" s="129" t="s">
        <v>176</v>
      </c>
      <c r="J52" s="162">
        <v>40</v>
      </c>
      <c r="K52" s="318">
        <f t="shared" si="5"/>
        <v>60</v>
      </c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</row>
    <row r="55" spans="2:11" x14ac:dyDescent="0.25">
      <c r="C55" s="71">
        <v>5</v>
      </c>
      <c r="D55" s="108">
        <v>4</v>
      </c>
    </row>
    <row r="56" spans="2:11" x14ac:dyDescent="0.25">
      <c r="C56" s="71">
        <v>6</v>
      </c>
      <c r="D56" s="108">
        <v>0</v>
      </c>
      <c r="H56" s="359" t="s">
        <v>219</v>
      </c>
      <c r="I56" s="345"/>
      <c r="J56" s="199">
        <f>+J52</f>
        <v>40</v>
      </c>
      <c r="K56" s="346">
        <f>+J56*1.5</f>
        <v>60</v>
      </c>
    </row>
    <row r="57" spans="2:11" x14ac:dyDescent="0.25">
      <c r="C57" s="71">
        <v>7</v>
      </c>
      <c r="D57" s="225">
        <v>0</v>
      </c>
      <c r="E57" s="225" t="s">
        <v>250</v>
      </c>
      <c r="F57" s="449" t="s">
        <v>271</v>
      </c>
      <c r="G57" s="449" t="s">
        <v>267</v>
      </c>
      <c r="H57" s="237" t="s">
        <v>197</v>
      </c>
      <c r="I57"/>
      <c r="J57" s="162" t="s">
        <v>157</v>
      </c>
      <c r="K57" s="215" t="s">
        <v>92</v>
      </c>
    </row>
    <row r="58" spans="2:11" x14ac:dyDescent="0.25">
      <c r="C58" s="71">
        <v>8</v>
      </c>
      <c r="D58" s="108">
        <v>0</v>
      </c>
      <c r="F58" s="449">
        <v>1230</v>
      </c>
      <c r="G58" s="449">
        <v>784.3</v>
      </c>
      <c r="H58" s="301"/>
      <c r="I58" s="129"/>
      <c r="K58" s="318"/>
    </row>
    <row r="59" spans="2:11" x14ac:dyDescent="0.25">
      <c r="F59" s="432">
        <f>+G58/F58</f>
        <v>0.63764227642276416</v>
      </c>
      <c r="G59" s="449" t="s">
        <v>269</v>
      </c>
      <c r="H59" s="301">
        <v>46082</v>
      </c>
      <c r="I59" s="129" t="s">
        <v>176</v>
      </c>
      <c r="J59" s="162">
        <v>11032</v>
      </c>
      <c r="K59" s="318">
        <f t="shared" ref="K59:K65" si="6">+J59*0.025</f>
        <v>275.8</v>
      </c>
    </row>
    <row r="60" spans="2:11" x14ac:dyDescent="0.25">
      <c r="B60" s="364" t="s">
        <v>231</v>
      </c>
      <c r="C60" s="199">
        <v>980</v>
      </c>
      <c r="D60" s="384" t="s">
        <v>92</v>
      </c>
      <c r="F60" s="449"/>
      <c r="G60" s="449">
        <v>140</v>
      </c>
      <c r="H60" s="301">
        <v>46090</v>
      </c>
      <c r="I60" s="129" t="s">
        <v>175</v>
      </c>
      <c r="J60" s="162">
        <v>1278</v>
      </c>
      <c r="K60" s="318">
        <f t="shared" si="6"/>
        <v>31.950000000000003</v>
      </c>
    </row>
    <row r="61" spans="2:11" x14ac:dyDescent="0.25">
      <c r="F61" s="432">
        <f>(G60+G58)/F58</f>
        <v>0.75146341463414634</v>
      </c>
      <c r="G61" s="449" t="s">
        <v>270</v>
      </c>
      <c r="H61" s="301">
        <v>46094</v>
      </c>
      <c r="I61" s="129" t="s">
        <v>175</v>
      </c>
      <c r="J61" s="162">
        <v>8756</v>
      </c>
      <c r="K61" s="318">
        <f t="shared" si="6"/>
        <v>218.9</v>
      </c>
    </row>
    <row r="62" spans="2:11" x14ac:dyDescent="0.25">
      <c r="H62" s="301">
        <v>46099</v>
      </c>
      <c r="I62" s="129" t="s">
        <v>175</v>
      </c>
      <c r="J62" s="162">
        <v>3456</v>
      </c>
      <c r="K62" s="318">
        <f t="shared" si="6"/>
        <v>86.4</v>
      </c>
    </row>
    <row r="63" spans="2:11" x14ac:dyDescent="0.25">
      <c r="H63" s="301">
        <v>46099</v>
      </c>
      <c r="I63" s="129" t="s">
        <v>176</v>
      </c>
      <c r="J63" s="162">
        <v>7192</v>
      </c>
      <c r="K63" s="318">
        <f t="shared" si="6"/>
        <v>179.8</v>
      </c>
    </row>
    <row r="64" spans="2:11" x14ac:dyDescent="0.25">
      <c r="H64" s="301">
        <v>46100</v>
      </c>
      <c r="I64" s="129" t="s">
        <v>175</v>
      </c>
      <c r="J64" s="162">
        <v>4721</v>
      </c>
      <c r="K64" s="318">
        <f t="shared" si="6"/>
        <v>118.02500000000001</v>
      </c>
    </row>
    <row r="65" spans="2:11" x14ac:dyDescent="0.25">
      <c r="B65" s="66"/>
      <c r="C65" s="391"/>
      <c r="D65" s="391"/>
      <c r="H65" s="301">
        <v>46100</v>
      </c>
      <c r="I65" s="129" t="s">
        <v>176</v>
      </c>
      <c r="K65" s="318">
        <f t="shared" si="6"/>
        <v>0</v>
      </c>
    </row>
    <row r="66" spans="2:11" x14ac:dyDescent="0.25">
      <c r="C66" s="389"/>
      <c r="H66" s="301">
        <v>46103</v>
      </c>
      <c r="I66" s="129" t="s">
        <v>175</v>
      </c>
      <c r="J66" s="162">
        <v>1257</v>
      </c>
      <c r="K66" s="318">
        <f t="shared" ref="K66:K67" si="7">+J66*0.025</f>
        <v>31.425000000000001</v>
      </c>
    </row>
    <row r="67" spans="2:11" x14ac:dyDescent="0.25">
      <c r="C67" s="389"/>
      <c r="H67" s="301">
        <v>46103</v>
      </c>
      <c r="I67" s="129" t="s">
        <v>176</v>
      </c>
      <c r="J67" s="162">
        <v>2880</v>
      </c>
      <c r="K67" s="318">
        <f t="shared" si="7"/>
        <v>72</v>
      </c>
    </row>
    <row r="68" spans="2:11" x14ac:dyDescent="0.25">
      <c r="C68" s="389"/>
      <c r="H68" s="431" t="s">
        <v>275</v>
      </c>
      <c r="I68" s="345"/>
      <c r="J68" s="200">
        <f>+J63+J62+J64</f>
        <v>15369</v>
      </c>
      <c r="K68" s="346">
        <f>+J68*0.025</f>
        <v>384.22500000000002</v>
      </c>
    </row>
    <row r="69" spans="2:11" x14ac:dyDescent="0.25">
      <c r="C69" s="389"/>
      <c r="H69" s="237" t="s">
        <v>205</v>
      </c>
      <c r="I69"/>
      <c r="J69" s="162" t="s">
        <v>177</v>
      </c>
      <c r="K69" s="215" t="s">
        <v>92</v>
      </c>
    </row>
    <row r="70" spans="2:11" x14ac:dyDescent="0.25">
      <c r="H70" s="301">
        <v>45942</v>
      </c>
      <c r="I70" s="129" t="s">
        <v>176</v>
      </c>
      <c r="J70" s="162">
        <v>47</v>
      </c>
      <c r="K70" s="318">
        <v>70.5</v>
      </c>
    </row>
    <row r="71" spans="2:11" x14ac:dyDescent="0.25">
      <c r="H71" s="237" t="s">
        <v>167</v>
      </c>
      <c r="I71"/>
      <c r="J71" s="237" t="s">
        <v>157</v>
      </c>
      <c r="K71" s="437" t="s">
        <v>92</v>
      </c>
    </row>
    <row r="72" spans="2:11" x14ac:dyDescent="0.25">
      <c r="H72" s="301">
        <v>46089</v>
      </c>
      <c r="I72" s="129" t="s">
        <v>175</v>
      </c>
      <c r="J72" s="108">
        <v>55</v>
      </c>
      <c r="K72" s="297">
        <f t="shared" ref="K72:K79" si="8">+J72*1.5</f>
        <v>82.5</v>
      </c>
    </row>
    <row r="73" spans="2:11" x14ac:dyDescent="0.25">
      <c r="B73" s="162" t="s">
        <v>254</v>
      </c>
      <c r="C73" s="389">
        <v>0.8</v>
      </c>
      <c r="H73" s="301">
        <v>46089</v>
      </c>
      <c r="I73" s="129" t="s">
        <v>176</v>
      </c>
      <c r="J73" s="71">
        <v>162</v>
      </c>
      <c r="K73" s="297">
        <f t="shared" si="8"/>
        <v>243</v>
      </c>
    </row>
    <row r="74" spans="2:11" x14ac:dyDescent="0.25">
      <c r="H74" s="301">
        <v>46090</v>
      </c>
      <c r="I74" s="129" t="s">
        <v>175</v>
      </c>
      <c r="J74" s="108">
        <f>36+36+37</f>
        <v>109</v>
      </c>
      <c r="K74" s="297">
        <f t="shared" si="8"/>
        <v>163.5</v>
      </c>
    </row>
    <row r="75" spans="2:11" x14ac:dyDescent="0.25">
      <c r="H75" s="301">
        <v>46102</v>
      </c>
      <c r="I75" s="129" t="s">
        <v>175</v>
      </c>
      <c r="J75" s="71"/>
      <c r="K75" s="297">
        <f t="shared" si="8"/>
        <v>0</v>
      </c>
    </row>
    <row r="76" spans="2:11" x14ac:dyDescent="0.25">
      <c r="H76" s="301">
        <v>46102</v>
      </c>
      <c r="I76" s="129" t="s">
        <v>176</v>
      </c>
      <c r="J76" s="108">
        <v>173</v>
      </c>
      <c r="K76" s="297">
        <f t="shared" si="8"/>
        <v>259.5</v>
      </c>
    </row>
    <row r="77" spans="2:11" x14ac:dyDescent="0.25">
      <c r="H77" s="301">
        <v>46103</v>
      </c>
      <c r="I77" s="129" t="s">
        <v>175</v>
      </c>
      <c r="J77" s="71">
        <v>218</v>
      </c>
      <c r="K77" s="297">
        <f t="shared" si="8"/>
        <v>327</v>
      </c>
    </row>
    <row r="78" spans="2:11" x14ac:dyDescent="0.25">
      <c r="H78" s="301">
        <v>46103</v>
      </c>
      <c r="I78" s="129" t="s">
        <v>176</v>
      </c>
      <c r="J78" s="108">
        <v>230</v>
      </c>
      <c r="K78" s="297">
        <f t="shared" si="8"/>
        <v>345</v>
      </c>
    </row>
    <row r="79" spans="2:11" x14ac:dyDescent="0.25">
      <c r="H79" s="344"/>
      <c r="I79" s="345"/>
      <c r="J79" s="435">
        <f>+J75+J76+J77+J78</f>
        <v>621</v>
      </c>
      <c r="K79" s="436">
        <f t="shared" si="8"/>
        <v>931.5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6" workbookViewId="0">
      <selection activeCell="F28" sqref="F28"/>
    </sheetView>
  </sheetViews>
  <sheetFormatPr baseColWidth="10" defaultColWidth="11.42578125" defaultRowHeight="15" customHeight="1" x14ac:dyDescent="0.25"/>
  <cols>
    <col min="1" max="1" width="2.42578125" style="162" customWidth="1"/>
    <col min="2" max="2" width="42.140625" style="162" customWidth="1"/>
    <col min="3" max="3" width="11.7109375" style="162" customWidth="1"/>
    <col min="4" max="4" width="14.5703125" style="163" customWidth="1"/>
    <col min="5" max="5" width="14.42578125" style="162" customWidth="1"/>
    <col min="6" max="6" width="16" style="162" customWidth="1"/>
    <col min="7" max="7" width="17.42578125" style="162" customWidth="1"/>
    <col min="8" max="8" width="11.42578125" style="162"/>
    <col min="9" max="9" width="14.7109375" style="162" customWidth="1"/>
    <col min="10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ht="15" customHeight="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50"/>
      <c r="C4" s="450"/>
      <c r="D4" s="165">
        <f>D26</f>
        <v>6956.1920000000009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4735</v>
      </c>
      <c r="D5" s="172">
        <v>202.2</v>
      </c>
      <c r="E5" s="80">
        <f t="shared" ref="E5:E23" si="0">+D5/$D$4</f>
        <v>2.9067627805557977E-2</v>
      </c>
      <c r="F5" s="58" t="s">
        <v>51</v>
      </c>
      <c r="G5" s="59">
        <v>46104</v>
      </c>
      <c r="H5" s="190">
        <v>6399</v>
      </c>
      <c r="I5" s="141">
        <v>6956.1920000000009</v>
      </c>
      <c r="J5" s="60">
        <f t="shared" ref="J5:J12" si="1">+I5/H5</f>
        <v>1.0870748554461636</v>
      </c>
    </row>
    <row r="6" spans="1:11" ht="15" customHeight="1" x14ac:dyDescent="0.25">
      <c r="A6" s="164"/>
      <c r="B6" s="169" t="s">
        <v>10</v>
      </c>
      <c r="C6" s="177">
        <v>13544</v>
      </c>
      <c r="D6" s="173">
        <v>577.61800000000005</v>
      </c>
      <c r="E6" s="80">
        <f t="shared" si="0"/>
        <v>8.3036523431210638E-2</v>
      </c>
      <c r="F6" s="58" t="s">
        <v>52</v>
      </c>
      <c r="G6" s="59">
        <v>46105</v>
      </c>
      <c r="H6" s="190">
        <v>8396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12381</v>
      </c>
      <c r="D7" s="173">
        <v>527.41200000000003</v>
      </c>
      <c r="E7" s="80">
        <f t="shared" si="0"/>
        <v>7.5819068823862246E-2</v>
      </c>
      <c r="F7" s="58" t="s">
        <v>53</v>
      </c>
      <c r="G7" s="59">
        <v>46106</v>
      </c>
      <c r="H7" s="190">
        <v>8508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</v>
      </c>
      <c r="C8" s="177">
        <v>1540</v>
      </c>
      <c r="D8" s="173">
        <v>65.73</v>
      </c>
      <c r="E8" s="80">
        <f t="shared" si="0"/>
        <v>9.4491353890174389E-3</v>
      </c>
      <c r="F8" s="58" t="s">
        <v>54</v>
      </c>
      <c r="G8" s="59">
        <v>46107</v>
      </c>
      <c r="H8" s="190">
        <v>8203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30117</v>
      </c>
      <c r="D9" s="173">
        <v>1286.184</v>
      </c>
      <c r="E9" s="245">
        <f t="shared" si="0"/>
        <v>0.18489771415165077</v>
      </c>
      <c r="F9" s="58" t="s">
        <v>55</v>
      </c>
      <c r="G9" s="59">
        <v>46108</v>
      </c>
      <c r="H9" s="190">
        <v>7815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36041</v>
      </c>
      <c r="D10" s="173">
        <v>1538.2380000000001</v>
      </c>
      <c r="E10" s="245">
        <f t="shared" si="0"/>
        <v>0.22113219416600344</v>
      </c>
      <c r="F10" s="58" t="s">
        <v>56</v>
      </c>
      <c r="G10" s="59">
        <v>46109</v>
      </c>
      <c r="H10" s="190">
        <v>7177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14546</v>
      </c>
      <c r="D11" s="173">
        <v>621.08600000000001</v>
      </c>
      <c r="E11" s="80">
        <f t="shared" si="0"/>
        <v>8.9285344625335231E-2</v>
      </c>
      <c r="F11" s="58" t="s">
        <v>57</v>
      </c>
      <c r="G11" s="59">
        <v>46110</v>
      </c>
      <c r="H11" s="190">
        <v>5075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196</v>
      </c>
      <c r="C12" s="177">
        <v>6710</v>
      </c>
      <c r="D12" s="173">
        <v>169.922</v>
      </c>
      <c r="E12" s="80">
        <f t="shared" si="0"/>
        <v>2.4427445360910103E-2</v>
      </c>
      <c r="H12" s="139">
        <f>+SUM(H5:H11)</f>
        <v>51573</v>
      </c>
      <c r="I12" s="142">
        <f>+SUM(I5:I11)</f>
        <v>6956.1920000000009</v>
      </c>
      <c r="J12" s="140">
        <f t="shared" si="1"/>
        <v>0.13488049948616526</v>
      </c>
    </row>
    <row r="13" spans="1:11" ht="15" customHeight="1" x14ac:dyDescent="0.25">
      <c r="A13" s="164"/>
      <c r="B13" s="169" t="s">
        <v>260</v>
      </c>
      <c r="C13" s="177">
        <v>53</v>
      </c>
      <c r="D13" s="173">
        <v>96.292000000000002</v>
      </c>
      <c r="E13" s="80">
        <f t="shared" si="0"/>
        <v>1.3842631140716068E-2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387" t="s">
        <v>238</v>
      </c>
    </row>
    <row r="14" spans="1:11" ht="15" customHeight="1" x14ac:dyDescent="0.25">
      <c r="A14" s="164"/>
      <c r="B14" s="169" t="s">
        <v>44</v>
      </c>
      <c r="C14" s="177">
        <v>20</v>
      </c>
      <c r="D14" s="173">
        <v>30.16</v>
      </c>
      <c r="E14" s="80">
        <f t="shared" si="0"/>
        <v>4.3357055124412895E-3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98">
        <f>+H14/G14</f>
        <v>0.93442076820953746</v>
      </c>
      <c r="K14" s="98">
        <f>+I14/H14</f>
        <v>1.1945217836804036</v>
      </c>
    </row>
    <row r="15" spans="1:11" ht="15" customHeight="1" x14ac:dyDescent="0.25">
      <c r="A15" s="164"/>
      <c r="B15" s="169" t="s">
        <v>85</v>
      </c>
      <c r="C15" s="177">
        <v>158</v>
      </c>
      <c r="D15" s="173">
        <v>238.34</v>
      </c>
      <c r="E15" s="80">
        <f t="shared" si="0"/>
        <v>3.4262999066155729E-2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98">
        <f t="shared" ref="J15:K25" si="2">+H15/G15</f>
        <v>0.9815805179033904</v>
      </c>
      <c r="K15" s="98">
        <f>+I15/H15</f>
        <v>1.1135352354214263</v>
      </c>
    </row>
    <row r="16" spans="1:11" ht="15" customHeight="1" x14ac:dyDescent="0.25">
      <c r="A16" s="164"/>
      <c r="B16" s="169" t="s">
        <v>39</v>
      </c>
      <c r="C16" s="177">
        <v>244</v>
      </c>
      <c r="D16" s="173">
        <v>368.43</v>
      </c>
      <c r="E16" s="80">
        <f t="shared" si="0"/>
        <v>5.2964323008910616E-2</v>
      </c>
      <c r="F16" s="112" t="s">
        <v>110</v>
      </c>
      <c r="G16" s="190">
        <v>199570.19199999989</v>
      </c>
      <c r="H16" s="190">
        <v>197224.22099999999</v>
      </c>
      <c r="I16" s="190">
        <f>+D27</f>
        <v>182534.39600000001</v>
      </c>
      <c r="J16" s="98">
        <f t="shared" si="2"/>
        <v>0.98824488278289624</v>
      </c>
      <c r="K16" s="98">
        <f t="shared" si="2"/>
        <v>0.92551713513929923</v>
      </c>
    </row>
    <row r="17" spans="1:11" ht="15" customHeight="1" x14ac:dyDescent="0.25">
      <c r="A17" s="164"/>
      <c r="B17" s="169" t="s">
        <v>43</v>
      </c>
      <c r="C17" s="177">
        <v>315</v>
      </c>
      <c r="D17" s="173">
        <v>476.18</v>
      </c>
      <c r="E17" s="80">
        <f t="shared" si="0"/>
        <v>6.8454119725274973E-2</v>
      </c>
      <c r="F17" s="112" t="s">
        <v>111</v>
      </c>
      <c r="G17" s="190">
        <v>205343.72800000012</v>
      </c>
      <c r="H17" s="190">
        <v>198970.75799999986</v>
      </c>
      <c r="I17" s="190"/>
      <c r="J17" s="98">
        <f t="shared" si="2"/>
        <v>0.96896437956945902</v>
      </c>
      <c r="K17" s="98">
        <f t="shared" si="2"/>
        <v>0</v>
      </c>
    </row>
    <row r="18" spans="1:11" ht="15" customHeight="1" x14ac:dyDescent="0.25">
      <c r="A18" s="164"/>
      <c r="B18" s="169" t="s">
        <v>49</v>
      </c>
      <c r="C18" s="177"/>
      <c r="D18" s="173"/>
      <c r="E18" s="80">
        <f t="shared" si="0"/>
        <v>0</v>
      </c>
      <c r="F18" s="112" t="s">
        <v>102</v>
      </c>
      <c r="G18" s="190">
        <v>209473.77399999995</v>
      </c>
      <c r="H18" s="190">
        <v>212393.17300000001</v>
      </c>
      <c r="I18" s="190"/>
      <c r="J18" s="98">
        <f t="shared" si="2"/>
        <v>1.0139368234230604</v>
      </c>
      <c r="K18" s="98">
        <f t="shared" si="2"/>
        <v>0</v>
      </c>
    </row>
    <row r="19" spans="1:11" ht="15" customHeight="1" x14ac:dyDescent="0.25">
      <c r="A19" s="164"/>
      <c r="B19" s="169" t="s">
        <v>41</v>
      </c>
      <c r="C19" s="177">
        <v>109</v>
      </c>
      <c r="D19" s="173">
        <v>164.45</v>
      </c>
      <c r="E19" s="80">
        <f t="shared" si="0"/>
        <v>2.3640808074302716E-2</v>
      </c>
      <c r="F19" s="112" t="s">
        <v>125</v>
      </c>
      <c r="G19" s="190">
        <v>196506.86</v>
      </c>
      <c r="H19" s="190">
        <v>204590</v>
      </c>
      <c r="I19" s="190"/>
      <c r="J19" s="98">
        <f t="shared" si="2"/>
        <v>1.0411341364876525</v>
      </c>
      <c r="K19" s="98">
        <f t="shared" si="2"/>
        <v>0</v>
      </c>
    </row>
    <row r="20" spans="1:11" ht="15" customHeight="1" x14ac:dyDescent="0.25">
      <c r="A20" s="164"/>
      <c r="B20" s="169" t="s">
        <v>276</v>
      </c>
      <c r="C20" s="177">
        <v>131</v>
      </c>
      <c r="D20" s="173">
        <v>198.09</v>
      </c>
      <c r="E20" s="80">
        <f t="shared" si="0"/>
        <v>2.8476787299718004E-2</v>
      </c>
      <c r="F20" s="112" t="s">
        <v>132</v>
      </c>
      <c r="G20" s="190">
        <v>219516.23899999997</v>
      </c>
      <c r="H20" s="190">
        <v>222445.37700000001</v>
      </c>
      <c r="I20" s="190"/>
      <c r="J20" s="98">
        <f t="shared" si="2"/>
        <v>1.0133436050715139</v>
      </c>
      <c r="K20" s="98">
        <f t="shared" si="2"/>
        <v>0</v>
      </c>
    </row>
    <row r="21" spans="1:11" ht="15" customHeight="1" x14ac:dyDescent="0.25">
      <c r="A21" s="164"/>
      <c r="B21" s="169" t="s">
        <v>88</v>
      </c>
      <c r="C21" s="177"/>
      <c r="D21" s="173">
        <v>61.38</v>
      </c>
      <c r="E21" s="80">
        <f t="shared" si="0"/>
        <v>8.8237932477999454E-3</v>
      </c>
      <c r="F21" s="112" t="s">
        <v>135</v>
      </c>
      <c r="G21" s="272">
        <v>232937.965</v>
      </c>
      <c r="H21" s="272">
        <v>233567.97099999999</v>
      </c>
      <c r="I21" s="272"/>
      <c r="J21" s="98">
        <f t="shared" si="2"/>
        <v>1.0027046084995204</v>
      </c>
      <c r="K21" s="98">
        <f t="shared" si="2"/>
        <v>0</v>
      </c>
    </row>
    <row r="22" spans="1:11" ht="15" customHeight="1" x14ac:dyDescent="0.25">
      <c r="A22" s="164"/>
      <c r="B22" s="169" t="s">
        <v>40</v>
      </c>
      <c r="C22" s="177"/>
      <c r="D22" s="173">
        <v>119.83</v>
      </c>
      <c r="E22" s="80">
        <f t="shared" si="0"/>
        <v>1.7226379030366036E-2</v>
      </c>
      <c r="F22" s="112" t="s">
        <v>160</v>
      </c>
      <c r="G22" s="272">
        <v>231021.16800000001</v>
      </c>
      <c r="H22" s="272">
        <v>234732.79399999999</v>
      </c>
      <c r="I22" s="272"/>
      <c r="J22" s="98">
        <f t="shared" si="2"/>
        <v>1.0160661727759943</v>
      </c>
      <c r="K22" s="98">
        <f t="shared" si="2"/>
        <v>0</v>
      </c>
    </row>
    <row r="23" spans="1:11" ht="15" customHeight="1" x14ac:dyDescent="0.25">
      <c r="A23" s="164"/>
      <c r="B23" s="169" t="s">
        <v>265</v>
      </c>
      <c r="C23" s="177"/>
      <c r="D23" s="173"/>
      <c r="E23" s="80">
        <f t="shared" si="0"/>
        <v>0</v>
      </c>
      <c r="F23" s="112" t="s">
        <v>161</v>
      </c>
      <c r="G23" s="190">
        <v>237591.573</v>
      </c>
      <c r="H23" s="272">
        <v>249609.07399999999</v>
      </c>
      <c r="I23" s="272"/>
      <c r="J23" s="98">
        <f t="shared" si="2"/>
        <v>1.0505805018598029</v>
      </c>
      <c r="K23" s="98">
        <f t="shared" si="2"/>
        <v>0</v>
      </c>
    </row>
    <row r="24" spans="1:11" ht="15" customHeight="1" x14ac:dyDescent="0.25">
      <c r="A24" s="164"/>
      <c r="B24" s="169" t="s">
        <v>9</v>
      </c>
      <c r="C24" s="177"/>
      <c r="D24" s="173"/>
      <c r="E24" s="80"/>
      <c r="F24" s="112" t="s">
        <v>198</v>
      </c>
      <c r="G24" s="190">
        <v>215275.19500000001</v>
      </c>
      <c r="H24" s="272">
        <v>242524.66</v>
      </c>
      <c r="I24" s="272"/>
      <c r="J24" s="98">
        <f t="shared" si="2"/>
        <v>1.1265796786294864</v>
      </c>
      <c r="K24" s="98">
        <f t="shared" si="2"/>
        <v>0</v>
      </c>
    </row>
    <row r="25" spans="1:11" ht="15" customHeight="1" thickBot="1" x14ac:dyDescent="0.3">
      <c r="A25" s="164"/>
      <c r="B25" s="169" t="s">
        <v>46</v>
      </c>
      <c r="C25" s="177"/>
      <c r="D25" s="173">
        <v>214.65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98">
        <f t="shared" si="2"/>
        <v>1.1725047231175361</v>
      </c>
      <c r="K25" s="98">
        <f t="shared" si="2"/>
        <v>0</v>
      </c>
    </row>
    <row r="26" spans="1:11" ht="15" customHeight="1" thickBot="1" x14ac:dyDescent="0.3">
      <c r="B26" s="178" t="s">
        <v>0</v>
      </c>
      <c r="C26" s="170"/>
      <c r="D26" s="171">
        <f>SUM(D5:D25)</f>
        <v>6956.1920000000009</v>
      </c>
      <c r="E26" s="80"/>
      <c r="G26" s="68">
        <f>+SUM(G14:G25)</f>
        <v>2547596.0290000001</v>
      </c>
      <c r="H26" s="377">
        <f>+SUM(H14:H25)</f>
        <v>2615840.8849999998</v>
      </c>
      <c r="I26" s="377">
        <f>+SUM(I14:I25)</f>
        <v>613882.00199999986</v>
      </c>
      <c r="J26" s="378"/>
      <c r="K26" s="378">
        <f>+I26/H26</f>
        <v>0.23467864789490051</v>
      </c>
    </row>
    <row r="27" spans="1:11" ht="15" customHeight="1" thickBot="1" x14ac:dyDescent="0.3">
      <c r="B27" s="166" t="s">
        <v>1</v>
      </c>
      <c r="C27" s="167"/>
      <c r="D27" s="233">
        <v>182534.39600000001</v>
      </c>
      <c r="E27" s="313">
        <f>+D27/J2</f>
        <v>0.87010640898589953</v>
      </c>
      <c r="G27" s="379" t="s">
        <v>229</v>
      </c>
      <c r="H27" s="380"/>
      <c r="I27" s="380">
        <v>2726927.1277059279</v>
      </c>
      <c r="J27" s="381">
        <f>+I26/H26</f>
        <v>0.23467864789490051</v>
      </c>
      <c r="K27" s="179"/>
    </row>
    <row r="28" spans="1:11" ht="15" customHeight="1" thickBot="1" x14ac:dyDescent="0.3">
      <c r="F28" s="179"/>
      <c r="G28" s="179"/>
      <c r="J28" s="179"/>
    </row>
    <row r="29" spans="1:11" ht="15" customHeight="1" thickBot="1" x14ac:dyDescent="0.3">
      <c r="B29" s="397" t="s">
        <v>251</v>
      </c>
      <c r="C29" s="451">
        <v>23</v>
      </c>
      <c r="D29" s="108">
        <f>J3*C29</f>
        <v>155646.18766249029</v>
      </c>
      <c r="E29" s="314">
        <f>+D29/J2</f>
        <v>0.74193548387096775</v>
      </c>
      <c r="F29" s="352"/>
      <c r="H29" s="420" t="s">
        <v>261</v>
      </c>
      <c r="I29" s="421">
        <f>+I15/I2</f>
        <v>1.0467349639244472</v>
      </c>
      <c r="J29" s="422">
        <f>+I15-I2</f>
        <v>9092.0493795323418</v>
      </c>
    </row>
    <row r="30" spans="1:11" ht="15" customHeight="1" x14ac:dyDescent="0.25">
      <c r="D30" s="183">
        <f>+D27-D29</f>
        <v>26888.208337509714</v>
      </c>
      <c r="E30" s="99">
        <f>E27-E29</f>
        <v>0.12817092511493178</v>
      </c>
    </row>
    <row r="31" spans="1:11" ht="15" customHeight="1" x14ac:dyDescent="0.25">
      <c r="G31" s="163"/>
      <c r="H31" s="237" t="s">
        <v>157</v>
      </c>
      <c r="I31" s="237" t="s">
        <v>92</v>
      </c>
      <c r="J31" s="71"/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7010</v>
      </c>
      <c r="I32" s="88">
        <f>+H32*0.025</f>
        <v>175.25</v>
      </c>
      <c r="J32" s="224"/>
    </row>
    <row r="33" spans="1:11" ht="15" customHeight="1" x14ac:dyDescent="0.25">
      <c r="B33" s="162" t="s">
        <v>61</v>
      </c>
      <c r="C33" s="162">
        <v>450</v>
      </c>
      <c r="D33" s="108">
        <v>2142</v>
      </c>
      <c r="E33" s="57">
        <f>+C33/D33</f>
        <v>0.21008403361344538</v>
      </c>
      <c r="G33" s="86" t="s">
        <v>259</v>
      </c>
      <c r="H33" s="87">
        <v>1116</v>
      </c>
      <c r="I33" s="88">
        <f>+H33*0.025</f>
        <v>27.900000000000002</v>
      </c>
      <c r="J33" s="224"/>
      <c r="K33" s="68"/>
    </row>
    <row r="34" spans="1:11" ht="15" customHeight="1" x14ac:dyDescent="0.25">
      <c r="B34" s="162" t="s">
        <v>62</v>
      </c>
      <c r="C34" s="162">
        <v>684</v>
      </c>
      <c r="D34" s="108">
        <v>1890</v>
      </c>
      <c r="E34" s="57">
        <f>+C34/D34</f>
        <v>0.3619047619047619</v>
      </c>
      <c r="G34" s="86" t="s">
        <v>171</v>
      </c>
      <c r="H34" s="87">
        <v>182</v>
      </c>
      <c r="I34" s="88">
        <f>+H34*0.025</f>
        <v>4.55</v>
      </c>
      <c r="J34" s="297" t="s">
        <v>188</v>
      </c>
    </row>
    <row r="35" spans="1:11" ht="15" customHeight="1" x14ac:dyDescent="0.25">
      <c r="B35" s="162" t="s">
        <v>63</v>
      </c>
      <c r="C35" s="67">
        <v>700</v>
      </c>
      <c r="D35" s="108">
        <v>3006</v>
      </c>
      <c r="E35" s="57">
        <f>+C35/D35</f>
        <v>0.23286759813705921</v>
      </c>
      <c r="G35" s="89" t="s">
        <v>169</v>
      </c>
      <c r="H35" s="87">
        <v>110</v>
      </c>
      <c r="I35" s="88">
        <f>+H35*1.5</f>
        <v>165</v>
      </c>
      <c r="J35" s="298">
        <f>+I35+I32+I33</f>
        <v>368.15</v>
      </c>
    </row>
    <row r="36" spans="1:11" ht="15" customHeight="1" x14ac:dyDescent="0.25">
      <c r="C36" s="162">
        <f>+SUM(C33:C35)</f>
        <v>1834</v>
      </c>
      <c r="D36" s="110">
        <f>+SUM(D33:D35)</f>
        <v>7038</v>
      </c>
      <c r="E36" s="57">
        <f>+C36/D36</f>
        <v>0.26058539357772093</v>
      </c>
      <c r="G36" s="89" t="s">
        <v>168</v>
      </c>
      <c r="H36" s="87">
        <v>1</v>
      </c>
      <c r="I36" s="88">
        <f>+H36*1.5</f>
        <v>1.5</v>
      </c>
      <c r="J36" s="228" t="s">
        <v>193</v>
      </c>
    </row>
    <row r="37" spans="1:11" ht="15" customHeight="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ht="15" customHeight="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ht="15" customHeight="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ht="15" customHeight="1" x14ac:dyDescent="0.25">
      <c r="B40" s="73">
        <v>38</v>
      </c>
      <c r="C40" s="74">
        <v>5</v>
      </c>
      <c r="D40" s="74">
        <v>17</v>
      </c>
      <c r="E40" s="75">
        <f>+SUM(B40:D40)</f>
        <v>60</v>
      </c>
      <c r="J40" s="218"/>
    </row>
    <row r="41" spans="1:11" ht="15" customHeight="1" x14ac:dyDescent="0.25">
      <c r="H41" s="144" t="s">
        <v>124</v>
      </c>
      <c r="I41" s="220" t="s">
        <v>148</v>
      </c>
      <c r="J41" s="218" t="s">
        <v>146</v>
      </c>
    </row>
    <row r="42" spans="1:11" ht="15" customHeight="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ht="15" customHeight="1" x14ac:dyDescent="0.25">
      <c r="A43" s="207" t="s">
        <v>70</v>
      </c>
      <c r="B43" s="199">
        <v>1.4</v>
      </c>
      <c r="C43" s="199">
        <v>1820</v>
      </c>
      <c r="D43" s="200">
        <v>2400</v>
      </c>
      <c r="E43" s="201">
        <f t="shared" ref="E43:E48" si="3">+C43/D43</f>
        <v>0.7583333333333333</v>
      </c>
      <c r="F43" s="201">
        <f t="shared" ref="F43:F48" si="4">+B43/24</f>
        <v>5.8333333333333327E-2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ht="15" customHeight="1" x14ac:dyDescent="0.25">
      <c r="A44" s="207" t="s">
        <v>71</v>
      </c>
      <c r="B44" s="199">
        <v>8</v>
      </c>
      <c r="C44" s="199">
        <v>2569</v>
      </c>
      <c r="D44" s="200">
        <v>3600</v>
      </c>
      <c r="E44" s="201">
        <f t="shared" si="3"/>
        <v>0.71361111111111108</v>
      </c>
      <c r="F44" s="201">
        <f t="shared" si="4"/>
        <v>0.33333333333333331</v>
      </c>
      <c r="G44" s="202">
        <v>12</v>
      </c>
      <c r="H44" s="71"/>
    </row>
    <row r="45" spans="1:11" ht="15" customHeight="1" x14ac:dyDescent="0.25">
      <c r="A45" s="207" t="s">
        <v>72</v>
      </c>
      <c r="B45" s="199">
        <v>8.6300000000000008</v>
      </c>
      <c r="C45" s="199">
        <v>2886</v>
      </c>
      <c r="D45" s="200">
        <v>3900</v>
      </c>
      <c r="E45" s="201">
        <f t="shared" si="3"/>
        <v>0.74</v>
      </c>
      <c r="F45" s="201">
        <f t="shared" si="4"/>
        <v>0.35958333333333337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ht="15" customHeight="1" x14ac:dyDescent="0.25">
      <c r="A46" s="207" t="s">
        <v>73</v>
      </c>
      <c r="B46" s="199">
        <v>6</v>
      </c>
      <c r="C46" s="199">
        <v>2712</v>
      </c>
      <c r="D46" s="200">
        <v>3900</v>
      </c>
      <c r="E46" s="201">
        <f t="shared" si="3"/>
        <v>0.69538461538461538</v>
      </c>
      <c r="F46" s="201">
        <f t="shared" si="4"/>
        <v>0.25</v>
      </c>
      <c r="G46" s="202">
        <v>12</v>
      </c>
      <c r="H46" s="301"/>
      <c r="I46" s="129"/>
      <c r="K46" s="318"/>
    </row>
    <row r="47" spans="1:11" ht="15" customHeight="1" x14ac:dyDescent="0.25">
      <c r="A47" s="207" t="s">
        <v>74</v>
      </c>
      <c r="B47" s="199">
        <v>13.26</v>
      </c>
      <c r="C47" s="199">
        <v>2501</v>
      </c>
      <c r="D47" s="200">
        <v>3900</v>
      </c>
      <c r="E47" s="201">
        <f t="shared" si="3"/>
        <v>0.64128205128205129</v>
      </c>
      <c r="F47" s="201">
        <f t="shared" si="4"/>
        <v>0.55249999999999999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 t="shared" ref="K47:K52" si="5">+J47*1.5</f>
        <v>199.5</v>
      </c>
    </row>
    <row r="48" spans="1:11" ht="15" customHeight="1" x14ac:dyDescent="0.25">
      <c r="A48" s="259" t="s">
        <v>75</v>
      </c>
      <c r="B48" s="260">
        <v>11.23</v>
      </c>
      <c r="C48" s="261">
        <v>2425</v>
      </c>
      <c r="D48" s="262">
        <v>4300</v>
      </c>
      <c r="E48" s="263">
        <f t="shared" si="3"/>
        <v>0.56395348837209303</v>
      </c>
      <c r="F48" s="201">
        <f t="shared" si="4"/>
        <v>0.4679166666666667</v>
      </c>
      <c r="G48" s="202">
        <v>16</v>
      </c>
      <c r="H48" s="301">
        <v>46083</v>
      </c>
      <c r="I48" s="129" t="s">
        <v>176</v>
      </c>
      <c r="J48" s="162">
        <v>42</v>
      </c>
      <c r="K48" s="318">
        <f t="shared" si="5"/>
        <v>63</v>
      </c>
    </row>
    <row r="49" spans="2:11" ht="15" customHeight="1" x14ac:dyDescent="0.25">
      <c r="B49" s="113">
        <f>+SUM(B43:B48)</f>
        <v>48.519999999999996</v>
      </c>
      <c r="C49" s="71"/>
      <c r="D49" s="72"/>
      <c r="H49" s="301">
        <v>46085</v>
      </c>
      <c r="I49" s="129" t="s">
        <v>175</v>
      </c>
      <c r="J49" s="162">
        <v>60</v>
      </c>
      <c r="K49" s="318">
        <f t="shared" si="5"/>
        <v>90</v>
      </c>
    </row>
    <row r="50" spans="2:11" ht="15" customHeight="1" x14ac:dyDescent="0.25">
      <c r="B50" s="162" t="s">
        <v>78</v>
      </c>
      <c r="C50" s="71" t="s">
        <v>83</v>
      </c>
      <c r="D50" s="72" t="s">
        <v>79</v>
      </c>
      <c r="H50" s="301">
        <v>46085</v>
      </c>
      <c r="I50" s="129" t="s">
        <v>176</v>
      </c>
      <c r="J50" s="162">
        <v>104</v>
      </c>
      <c r="K50" s="318">
        <f t="shared" si="5"/>
        <v>156</v>
      </c>
    </row>
    <row r="51" spans="2:11" ht="15" customHeight="1" x14ac:dyDescent="0.25">
      <c r="C51" s="71">
        <v>1</v>
      </c>
      <c r="D51" s="225">
        <v>0</v>
      </c>
      <c r="E51" s="225" t="s">
        <v>250</v>
      </c>
      <c r="H51" s="301">
        <v>46093</v>
      </c>
      <c r="I51" s="129" t="s">
        <v>176</v>
      </c>
      <c r="J51" s="162">
        <v>46</v>
      </c>
      <c r="K51" s="318">
        <f t="shared" si="5"/>
        <v>69</v>
      </c>
    </row>
    <row r="52" spans="2:11" ht="15" customHeight="1" x14ac:dyDescent="0.25">
      <c r="C52" s="71">
        <v>2</v>
      </c>
      <c r="D52" s="225">
        <v>0</v>
      </c>
      <c r="E52" s="225" t="s">
        <v>250</v>
      </c>
      <c r="H52" s="301">
        <v>46098</v>
      </c>
      <c r="I52" s="129" t="s">
        <v>176</v>
      </c>
      <c r="J52" s="162">
        <v>40</v>
      </c>
      <c r="K52" s="318">
        <f t="shared" si="5"/>
        <v>60</v>
      </c>
    </row>
    <row r="53" spans="2:11" ht="15" customHeight="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ht="15" customHeight="1" x14ac:dyDescent="0.25">
      <c r="C54" s="71">
        <v>4</v>
      </c>
      <c r="D54" s="108">
        <v>0</v>
      </c>
    </row>
    <row r="55" spans="2:11" ht="15" customHeight="1" x14ac:dyDescent="0.25">
      <c r="C55" s="71">
        <v>5</v>
      </c>
      <c r="D55" s="108">
        <v>4</v>
      </c>
    </row>
    <row r="56" spans="2:11" ht="15" customHeight="1" x14ac:dyDescent="0.25">
      <c r="C56" s="71">
        <v>6</v>
      </c>
      <c r="D56" s="108">
        <v>0</v>
      </c>
      <c r="H56" s="359" t="s">
        <v>219</v>
      </c>
      <c r="I56" s="345"/>
      <c r="J56" s="199">
        <f>+J52</f>
        <v>40</v>
      </c>
      <c r="K56" s="346">
        <f>+J56*1.5</f>
        <v>60</v>
      </c>
    </row>
    <row r="57" spans="2:11" ht="15" customHeight="1" x14ac:dyDescent="0.25">
      <c r="C57" s="71">
        <v>7</v>
      </c>
      <c r="D57" s="225">
        <v>0</v>
      </c>
      <c r="E57" s="225" t="s">
        <v>250</v>
      </c>
      <c r="F57" s="451" t="s">
        <v>271</v>
      </c>
      <c r="G57" s="451" t="s">
        <v>267</v>
      </c>
      <c r="H57" s="237" t="s">
        <v>197</v>
      </c>
      <c r="I57"/>
      <c r="J57" s="162" t="s">
        <v>157</v>
      </c>
      <c r="K57" s="215" t="s">
        <v>92</v>
      </c>
    </row>
    <row r="58" spans="2:11" ht="15" customHeight="1" x14ac:dyDescent="0.25">
      <c r="C58" s="71">
        <v>8</v>
      </c>
      <c r="D58" s="108">
        <v>2</v>
      </c>
      <c r="F58" s="451">
        <v>1230</v>
      </c>
      <c r="G58" s="451">
        <v>784.3</v>
      </c>
      <c r="H58" s="301"/>
      <c r="I58" s="129"/>
      <c r="K58" s="318"/>
    </row>
    <row r="59" spans="2:11" ht="15" customHeight="1" x14ac:dyDescent="0.25">
      <c r="F59" s="432">
        <f>+G58/F58</f>
        <v>0.63764227642276416</v>
      </c>
      <c r="G59" s="451" t="s">
        <v>269</v>
      </c>
      <c r="H59" s="301">
        <v>46082</v>
      </c>
      <c r="I59" s="129" t="s">
        <v>176</v>
      </c>
      <c r="J59" s="162">
        <v>11032</v>
      </c>
      <c r="K59" s="318">
        <f t="shared" ref="K59:K67" si="6">+J59*0.025</f>
        <v>275.8</v>
      </c>
    </row>
    <row r="60" spans="2:11" ht="15" customHeight="1" x14ac:dyDescent="0.25">
      <c r="B60" s="364" t="s">
        <v>231</v>
      </c>
      <c r="C60" s="199">
        <v>1669</v>
      </c>
      <c r="D60" s="384" t="s">
        <v>92</v>
      </c>
      <c r="F60" s="451"/>
      <c r="G60" s="451">
        <v>140</v>
      </c>
      <c r="H60" s="301">
        <v>46090</v>
      </c>
      <c r="I60" s="129" t="s">
        <v>175</v>
      </c>
      <c r="J60" s="162">
        <v>1278</v>
      </c>
      <c r="K60" s="318">
        <f t="shared" si="6"/>
        <v>31.950000000000003</v>
      </c>
    </row>
    <row r="61" spans="2:11" ht="15" customHeight="1" x14ac:dyDescent="0.25">
      <c r="F61" s="432">
        <f>(G60+G58)/F58</f>
        <v>0.75146341463414634</v>
      </c>
      <c r="G61" s="451" t="s">
        <v>270</v>
      </c>
      <c r="H61" s="301">
        <v>46094</v>
      </c>
      <c r="I61" s="129" t="s">
        <v>175</v>
      </c>
      <c r="J61" s="162">
        <v>8756</v>
      </c>
      <c r="K61" s="318">
        <f t="shared" si="6"/>
        <v>218.9</v>
      </c>
    </row>
    <row r="62" spans="2:11" ht="15" customHeight="1" x14ac:dyDescent="0.25">
      <c r="H62" s="301">
        <v>46099</v>
      </c>
      <c r="I62" s="129" t="s">
        <v>175</v>
      </c>
      <c r="J62" s="162">
        <v>3456</v>
      </c>
      <c r="K62" s="318">
        <f t="shared" si="6"/>
        <v>86.4</v>
      </c>
    </row>
    <row r="63" spans="2:11" ht="15" customHeight="1" x14ac:dyDescent="0.25">
      <c r="H63" s="301">
        <v>46099</v>
      </c>
      <c r="I63" s="129" t="s">
        <v>176</v>
      </c>
      <c r="J63" s="162">
        <v>7192</v>
      </c>
      <c r="K63" s="318">
        <f t="shared" si="6"/>
        <v>179.8</v>
      </c>
    </row>
    <row r="64" spans="2:11" ht="15" customHeight="1" x14ac:dyDescent="0.25">
      <c r="H64" s="301">
        <v>46100</v>
      </c>
      <c r="I64" s="129" t="s">
        <v>175</v>
      </c>
      <c r="J64" s="162">
        <v>4721</v>
      </c>
      <c r="K64" s="318">
        <f t="shared" si="6"/>
        <v>118.02500000000001</v>
      </c>
    </row>
    <row r="65" spans="2:11" ht="15" customHeight="1" x14ac:dyDescent="0.25">
      <c r="B65" s="66"/>
      <c r="C65" s="391"/>
      <c r="D65" s="391"/>
      <c r="H65" s="301">
        <v>46100</v>
      </c>
      <c r="I65" s="129" t="s">
        <v>176</v>
      </c>
      <c r="K65" s="318">
        <f t="shared" si="6"/>
        <v>0</v>
      </c>
    </row>
    <row r="66" spans="2:11" ht="15" customHeight="1" x14ac:dyDescent="0.25">
      <c r="C66" s="389"/>
      <c r="H66" s="301">
        <v>46103</v>
      </c>
      <c r="I66" s="129" t="s">
        <v>175</v>
      </c>
      <c r="J66" s="162">
        <v>1257</v>
      </c>
      <c r="K66" s="318">
        <f t="shared" si="6"/>
        <v>31.425000000000001</v>
      </c>
    </row>
    <row r="67" spans="2:11" ht="15" customHeight="1" x14ac:dyDescent="0.25">
      <c r="C67" s="389"/>
      <c r="H67" s="301">
        <v>46103</v>
      </c>
      <c r="I67" s="129" t="s">
        <v>176</v>
      </c>
      <c r="J67" s="162">
        <v>2880</v>
      </c>
      <c r="K67" s="318">
        <f t="shared" si="6"/>
        <v>72</v>
      </c>
    </row>
    <row r="68" spans="2:11" ht="15" customHeight="1" x14ac:dyDescent="0.25">
      <c r="C68" s="389"/>
      <c r="H68" s="431" t="s">
        <v>275</v>
      </c>
      <c r="I68" s="345"/>
      <c r="J68" s="200">
        <f>+J63+J62+J64</f>
        <v>15369</v>
      </c>
      <c r="K68" s="346">
        <f>+J68*0.025</f>
        <v>384.22500000000002</v>
      </c>
    </row>
    <row r="69" spans="2:11" ht="15" customHeight="1" x14ac:dyDescent="0.25">
      <c r="C69" s="389"/>
      <c r="H69" s="237" t="s">
        <v>205</v>
      </c>
      <c r="I69"/>
      <c r="J69" s="162" t="s">
        <v>177</v>
      </c>
      <c r="K69" s="215" t="s">
        <v>92</v>
      </c>
    </row>
    <row r="70" spans="2:11" ht="15" customHeight="1" x14ac:dyDescent="0.25">
      <c r="H70" s="301">
        <v>45942</v>
      </c>
      <c r="I70" s="129" t="s">
        <v>176</v>
      </c>
      <c r="J70" s="162">
        <v>47</v>
      </c>
      <c r="K70" s="318">
        <v>70.5</v>
      </c>
    </row>
    <row r="71" spans="2:11" ht="15" customHeight="1" x14ac:dyDescent="0.25">
      <c r="H71" s="237" t="s">
        <v>167</v>
      </c>
      <c r="I71"/>
      <c r="J71" s="237" t="s">
        <v>157</v>
      </c>
      <c r="K71" s="437" t="s">
        <v>92</v>
      </c>
    </row>
    <row r="72" spans="2:11" ht="15" customHeight="1" x14ac:dyDescent="0.25">
      <c r="H72" s="301">
        <v>46089</v>
      </c>
      <c r="I72" s="129" t="s">
        <v>175</v>
      </c>
      <c r="J72" s="108">
        <v>55</v>
      </c>
      <c r="K72" s="297">
        <f t="shared" ref="K72:K79" si="7">+J72*1.5</f>
        <v>82.5</v>
      </c>
    </row>
    <row r="73" spans="2:11" ht="15" customHeight="1" x14ac:dyDescent="0.25">
      <c r="B73" s="162" t="s">
        <v>254</v>
      </c>
      <c r="C73" s="389">
        <v>0.8</v>
      </c>
      <c r="H73" s="301">
        <v>46089</v>
      </c>
      <c r="I73" s="129" t="s">
        <v>176</v>
      </c>
      <c r="J73" s="71">
        <v>162</v>
      </c>
      <c r="K73" s="297">
        <f t="shared" si="7"/>
        <v>243</v>
      </c>
    </row>
    <row r="74" spans="2:11" ht="15" customHeight="1" x14ac:dyDescent="0.25">
      <c r="H74" s="301">
        <v>46090</v>
      </c>
      <c r="I74" s="129" t="s">
        <v>175</v>
      </c>
      <c r="J74" s="108">
        <f>36+36+37</f>
        <v>109</v>
      </c>
      <c r="K74" s="297">
        <f t="shared" si="7"/>
        <v>163.5</v>
      </c>
    </row>
    <row r="75" spans="2:11" ht="15" customHeight="1" x14ac:dyDescent="0.25">
      <c r="H75" s="301">
        <v>46102</v>
      </c>
      <c r="I75" s="129" t="s">
        <v>175</v>
      </c>
      <c r="J75" s="71"/>
      <c r="K75" s="297">
        <f t="shared" si="7"/>
        <v>0</v>
      </c>
    </row>
    <row r="76" spans="2:11" ht="15" customHeight="1" x14ac:dyDescent="0.25">
      <c r="H76" s="301">
        <v>46102</v>
      </c>
      <c r="I76" s="129" t="s">
        <v>176</v>
      </c>
      <c r="J76" s="108">
        <v>173</v>
      </c>
      <c r="K76" s="297">
        <f t="shared" si="7"/>
        <v>259.5</v>
      </c>
    </row>
    <row r="77" spans="2:11" ht="15" customHeight="1" x14ac:dyDescent="0.25">
      <c r="H77" s="301">
        <v>46103</v>
      </c>
      <c r="I77" s="129" t="s">
        <v>175</v>
      </c>
      <c r="J77" s="71">
        <v>218</v>
      </c>
      <c r="K77" s="297">
        <f t="shared" si="7"/>
        <v>327</v>
      </c>
    </row>
    <row r="78" spans="2:11" ht="15" customHeight="1" x14ac:dyDescent="0.25">
      <c r="H78" s="301">
        <v>46103</v>
      </c>
      <c r="I78" s="129" t="s">
        <v>176</v>
      </c>
      <c r="J78" s="108">
        <v>230</v>
      </c>
      <c r="K78" s="297">
        <f t="shared" si="7"/>
        <v>345</v>
      </c>
    </row>
    <row r="79" spans="2:11" ht="15" customHeight="1" x14ac:dyDescent="0.25">
      <c r="H79" s="344"/>
      <c r="I79" s="345"/>
      <c r="J79" s="435">
        <f>+J75+J76+J77+J78</f>
        <v>621</v>
      </c>
      <c r="K79" s="436">
        <f t="shared" si="7"/>
        <v>931.5</v>
      </c>
    </row>
  </sheetData>
  <protectedRanges>
    <protectedRange password="D554" sqref="I41:I43" name="Rango1_1_2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26" workbookViewId="0">
      <selection activeCell="A29" sqref="A29:K79"/>
    </sheetView>
  </sheetViews>
  <sheetFormatPr baseColWidth="10" defaultColWidth="11.42578125" defaultRowHeight="15.75" x14ac:dyDescent="0.25"/>
  <cols>
    <col min="1" max="1" width="2.42578125" style="162" customWidth="1"/>
    <col min="2" max="2" width="39.5703125" style="162" customWidth="1"/>
    <col min="3" max="3" width="13.28515625" style="162" customWidth="1"/>
    <col min="4" max="4" width="14.5703125" style="163" customWidth="1"/>
    <col min="5" max="5" width="16" style="162" customWidth="1"/>
    <col min="6" max="6" width="15.7109375" style="162" customWidth="1"/>
    <col min="7" max="7" width="19" style="162" customWidth="1"/>
    <col min="8" max="8" width="12.42578125" style="162" customWidth="1"/>
    <col min="9" max="10" width="11.42578125" style="162"/>
    <col min="11" max="11" width="6.85546875" style="162" customWidth="1"/>
    <col min="12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52"/>
      <c r="C4" s="452"/>
      <c r="D4" s="165">
        <f>D27</f>
        <v>8616.8870000000024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3883</v>
      </c>
      <c r="D5" s="172">
        <v>165.86</v>
      </c>
      <c r="E5" s="80">
        <f t="shared" ref="E5:E26" si="0">+D5/$D$4</f>
        <v>1.9248250557306827E-2</v>
      </c>
      <c r="F5" s="58" t="s">
        <v>51</v>
      </c>
      <c r="G5" s="59">
        <v>46104</v>
      </c>
      <c r="H5" s="190">
        <v>6399</v>
      </c>
      <c r="I5" s="141">
        <v>6956.1920000000009</v>
      </c>
      <c r="J5" s="60">
        <f t="shared" ref="J5:J12" si="1">+I5/H5</f>
        <v>1.0870748554461636</v>
      </c>
    </row>
    <row r="6" spans="1:11" ht="15" customHeight="1" x14ac:dyDescent="0.25">
      <c r="A6" s="164"/>
      <c r="B6" s="169" t="s">
        <v>10</v>
      </c>
      <c r="C6" s="177">
        <v>7125</v>
      </c>
      <c r="D6" s="173">
        <v>303.58600000000001</v>
      </c>
      <c r="E6" s="80">
        <f t="shared" si="0"/>
        <v>3.5231516903958461E-2</v>
      </c>
      <c r="F6" s="58" t="s">
        <v>52</v>
      </c>
      <c r="G6" s="59">
        <v>46105</v>
      </c>
      <c r="H6" s="190">
        <v>8396</v>
      </c>
      <c r="I6" s="141">
        <v>8616.8870000000024</v>
      </c>
      <c r="J6" s="60">
        <f t="shared" si="1"/>
        <v>1.0263085993330161</v>
      </c>
    </row>
    <row r="7" spans="1:11" ht="15" customHeight="1" x14ac:dyDescent="0.25">
      <c r="A7" s="164"/>
      <c r="B7" s="169" t="s">
        <v>35</v>
      </c>
      <c r="C7" s="177">
        <v>29561</v>
      </c>
      <c r="D7" s="173">
        <v>1259.3920000000001</v>
      </c>
      <c r="E7" s="245">
        <f t="shared" si="0"/>
        <v>0.14615394167290341</v>
      </c>
      <c r="F7" s="58" t="s">
        <v>53</v>
      </c>
      <c r="G7" s="59">
        <v>46106</v>
      </c>
      <c r="H7" s="190">
        <v>8508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</v>
      </c>
      <c r="C8" s="177"/>
      <c r="D8" s="173"/>
      <c r="E8" s="80">
        <f t="shared" si="0"/>
        <v>0</v>
      </c>
      <c r="F8" s="58" t="s">
        <v>54</v>
      </c>
      <c r="G8" s="59">
        <v>46107</v>
      </c>
      <c r="H8" s="190">
        <v>8203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41695</v>
      </c>
      <c r="D9" s="173">
        <v>1780.9659999999999</v>
      </c>
      <c r="E9" s="245">
        <f t="shared" si="0"/>
        <v>0.20668322562428862</v>
      </c>
      <c r="F9" s="58" t="s">
        <v>55</v>
      </c>
      <c r="G9" s="59">
        <v>46108</v>
      </c>
      <c r="H9" s="190">
        <v>7815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48920</v>
      </c>
      <c r="D10" s="173">
        <v>2088.42</v>
      </c>
      <c r="E10" s="245">
        <f t="shared" si="0"/>
        <v>0.24236362853545595</v>
      </c>
      <c r="F10" s="58" t="s">
        <v>56</v>
      </c>
      <c r="G10" s="59">
        <v>46109</v>
      </c>
      <c r="H10" s="190">
        <v>7177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11137</v>
      </c>
      <c r="D11" s="173">
        <v>475.57299999999998</v>
      </c>
      <c r="E11" s="80">
        <f t="shared" si="0"/>
        <v>5.5190813109188948E-2</v>
      </c>
      <c r="F11" s="58" t="s">
        <v>57</v>
      </c>
      <c r="G11" s="59">
        <v>46110</v>
      </c>
      <c r="H11" s="190">
        <v>5075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34</v>
      </c>
      <c r="C12" s="177">
        <v>1224</v>
      </c>
      <c r="D12" s="173">
        <v>31.04</v>
      </c>
      <c r="E12" s="80">
        <f t="shared" si="0"/>
        <v>3.6022289720173874E-3</v>
      </c>
      <c r="H12" s="139">
        <f>+SUM(H5:H11)</f>
        <v>51573</v>
      </c>
      <c r="I12" s="142">
        <f>+SUM(I5:I11)</f>
        <v>15573.079000000003</v>
      </c>
      <c r="J12" s="140">
        <f t="shared" si="1"/>
        <v>0.3019618598879259</v>
      </c>
    </row>
    <row r="13" spans="1:11" ht="15" customHeight="1" x14ac:dyDescent="0.25">
      <c r="A13" s="164"/>
      <c r="B13" s="169" t="s">
        <v>196</v>
      </c>
      <c r="C13" s="177">
        <v>1439</v>
      </c>
      <c r="D13" s="173">
        <v>36.47</v>
      </c>
      <c r="E13" s="80">
        <f t="shared" si="0"/>
        <v>4.2323869397382129E-3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95</v>
      </c>
      <c r="C14" s="177">
        <v>1200</v>
      </c>
      <c r="D14" s="173">
        <v>30.18</v>
      </c>
      <c r="E14" s="80">
        <f t="shared" si="0"/>
        <v>3.5024249476638129E-3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44</v>
      </c>
      <c r="C15" s="177">
        <v>20</v>
      </c>
      <c r="D15" s="173">
        <v>30.21</v>
      </c>
      <c r="E15" s="80">
        <f t="shared" si="0"/>
        <v>3.5059064833970776E-3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194</v>
      </c>
      <c r="C16" s="177">
        <v>64</v>
      </c>
      <c r="D16" s="173">
        <v>96.69</v>
      </c>
      <c r="E16" s="80">
        <f t="shared" si="0"/>
        <v>1.1220989668310605E-2</v>
      </c>
      <c r="F16" s="112" t="s">
        <v>110</v>
      </c>
      <c r="G16" s="190">
        <v>199570.19199999989</v>
      </c>
      <c r="H16" s="190">
        <v>197224.22099999999</v>
      </c>
      <c r="I16" s="190">
        <f>+D28</f>
        <v>191671.383</v>
      </c>
      <c r="J16" s="456">
        <f t="shared" si="2"/>
        <v>0.98824488278289624</v>
      </c>
      <c r="K16" s="456">
        <f t="shared" si="2"/>
        <v>0.97184505041092295</v>
      </c>
    </row>
    <row r="17" spans="1:11" ht="15" customHeight="1" x14ac:dyDescent="0.25">
      <c r="A17" s="164"/>
      <c r="B17" s="169" t="s">
        <v>39</v>
      </c>
      <c r="C17" s="177">
        <v>357</v>
      </c>
      <c r="D17" s="173">
        <v>539.76</v>
      </c>
      <c r="E17" s="80">
        <f t="shared" si="0"/>
        <v>6.2639790912889987E-2</v>
      </c>
      <c r="F17" s="112" t="s">
        <v>111</v>
      </c>
      <c r="G17" s="190">
        <v>205343.72800000012</v>
      </c>
      <c r="H17" s="190">
        <v>198970.75799999986</v>
      </c>
      <c r="I17" s="190"/>
      <c r="J17" s="456">
        <f t="shared" si="2"/>
        <v>0.96896437956945902</v>
      </c>
      <c r="K17" s="456">
        <f t="shared" si="2"/>
        <v>0</v>
      </c>
    </row>
    <row r="18" spans="1:11" ht="15" customHeight="1" x14ac:dyDescent="0.25">
      <c r="A18" s="164"/>
      <c r="B18" s="169" t="s">
        <v>43</v>
      </c>
      <c r="C18" s="177">
        <v>320</v>
      </c>
      <c r="D18" s="173">
        <v>483.77</v>
      </c>
      <c r="E18" s="80">
        <f t="shared" si="0"/>
        <v>5.6142084722707847E-2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49</v>
      </c>
      <c r="C19" s="177">
        <v>63</v>
      </c>
      <c r="D19" s="173">
        <v>94.97</v>
      </c>
      <c r="E19" s="80">
        <f t="shared" si="0"/>
        <v>1.1021381619603457E-2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41</v>
      </c>
      <c r="C20" s="177">
        <v>208</v>
      </c>
      <c r="D20" s="173">
        <v>313.92</v>
      </c>
      <c r="E20" s="80">
        <f t="shared" si="0"/>
        <v>3.6430789912876883E-2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276</v>
      </c>
      <c r="C21" s="177">
        <v>68</v>
      </c>
      <c r="D21" s="173">
        <v>102.57</v>
      </c>
      <c r="E21" s="80">
        <f t="shared" si="0"/>
        <v>1.1903370672030393E-2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88</v>
      </c>
      <c r="C22" s="177"/>
      <c r="D22" s="173">
        <v>60.54</v>
      </c>
      <c r="E22" s="80">
        <f t="shared" si="0"/>
        <v>7.0257391097272113E-3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9" t="s">
        <v>40</v>
      </c>
      <c r="C23" s="177"/>
      <c r="D23" s="173">
        <v>539.11</v>
      </c>
      <c r="E23" s="80">
        <f t="shared" si="0"/>
        <v>6.2564357638669257E-2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x14ac:dyDescent="0.25">
      <c r="A24" s="164"/>
      <c r="B24" s="169" t="s">
        <v>265</v>
      </c>
      <c r="C24" s="177"/>
      <c r="D24" s="173">
        <v>31.51</v>
      </c>
      <c r="E24" s="80">
        <f t="shared" si="0"/>
        <v>3.6567730318385274E-3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x14ac:dyDescent="0.25">
      <c r="A25" s="164"/>
      <c r="B25" s="169" t="s">
        <v>9</v>
      </c>
      <c r="C25" s="177"/>
      <c r="D25" s="173">
        <v>60.45</v>
      </c>
      <c r="E25" s="80">
        <f t="shared" si="0"/>
        <v>7.015294502527419E-3</v>
      </c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A26" s="164"/>
      <c r="B26" s="169" t="s">
        <v>46</v>
      </c>
      <c r="C26" s="177"/>
      <c r="D26" s="173">
        <v>91.9</v>
      </c>
      <c r="E26" s="80">
        <f t="shared" si="0"/>
        <v>1.0665104462899418E-2</v>
      </c>
      <c r="G26" s="68">
        <f>+SUM(G14:G25)</f>
        <v>2547596.0290000001</v>
      </c>
      <c r="H26" s="377">
        <f>+SUM(H14:H25)</f>
        <v>2615840.8849999998</v>
      </c>
      <c r="I26" s="377">
        <f>+SUM(I14:I25)</f>
        <v>623018.98899999994</v>
      </c>
      <c r="J26" s="378"/>
      <c r="K26" s="378">
        <f>+I26/H26</f>
        <v>0.23817159238261543</v>
      </c>
    </row>
    <row r="27" spans="1:11" ht="15" customHeight="1" thickBot="1" x14ac:dyDescent="0.3">
      <c r="B27" s="178" t="s">
        <v>0</v>
      </c>
      <c r="C27" s="170"/>
      <c r="D27" s="171">
        <f>SUM(D5:D26)</f>
        <v>8616.8870000000024</v>
      </c>
      <c r="E27" s="313">
        <f>+D28/J2</f>
        <v>0.91366067120572159</v>
      </c>
      <c r="G27" s="379" t="s">
        <v>229</v>
      </c>
      <c r="H27" s="380"/>
      <c r="I27" s="380">
        <v>2726927.1277059279</v>
      </c>
      <c r="J27" s="381">
        <f>+I26/H26</f>
        <v>0.23817159238261543</v>
      </c>
      <c r="K27" s="179"/>
    </row>
    <row r="28" spans="1:11" ht="15" customHeight="1" x14ac:dyDescent="0.25">
      <c r="B28" s="166" t="s">
        <v>1</v>
      </c>
      <c r="C28" s="167"/>
      <c r="D28" s="233">
        <v>191671.383</v>
      </c>
      <c r="E28" s="179"/>
      <c r="F28" s="179"/>
      <c r="G28" s="179"/>
      <c r="H28" s="179"/>
    </row>
    <row r="29" spans="1:11" ht="16.5" thickBot="1" x14ac:dyDescent="0.3">
      <c r="F29" s="179"/>
      <c r="G29" s="179"/>
      <c r="J29" s="179"/>
    </row>
    <row r="30" spans="1:11" ht="16.5" thickBot="1" x14ac:dyDescent="0.3">
      <c r="B30" s="397" t="s">
        <v>251</v>
      </c>
      <c r="C30" s="453">
        <v>24</v>
      </c>
      <c r="D30" s="108">
        <f>J3*C30</f>
        <v>162413.41321303335</v>
      </c>
      <c r="E30" s="314">
        <f>+D30/J2</f>
        <v>0.77419354838709675</v>
      </c>
      <c r="F30" s="352"/>
      <c r="H30" s="420" t="s">
        <v>261</v>
      </c>
      <c r="I30" s="421">
        <f>+I16/I3</f>
        <v>27.586425709536762</v>
      </c>
      <c r="J30" s="422">
        <f>+I16-I3</f>
        <v>184723.35047784043</v>
      </c>
    </row>
    <row r="31" spans="1:11" x14ac:dyDescent="0.25">
      <c r="D31" s="183">
        <f>+D28-D30</f>
        <v>29257.969786966656</v>
      </c>
      <c r="E31" s="99">
        <f>E27-E30</f>
        <v>0.13946712281862483</v>
      </c>
    </row>
    <row r="32" spans="1:11" ht="15" customHeight="1" x14ac:dyDescent="0.25">
      <c r="G32" s="163"/>
      <c r="H32" s="237" t="s">
        <v>157</v>
      </c>
      <c r="I32" s="237" t="s">
        <v>92</v>
      </c>
      <c r="J32" s="71"/>
    </row>
    <row r="33" spans="1:11" x14ac:dyDescent="0.25">
      <c r="B33" s="66" t="s">
        <v>60</v>
      </c>
      <c r="D33" s="109" t="s">
        <v>105</v>
      </c>
      <c r="E33" s="109" t="s">
        <v>80</v>
      </c>
      <c r="G33" s="86" t="s">
        <v>86</v>
      </c>
      <c r="H33" s="87">
        <v>4610</v>
      </c>
      <c r="I33" s="88">
        <f>+H33*0.025</f>
        <v>115.25</v>
      </c>
      <c r="J33" s="224"/>
    </row>
    <row r="34" spans="1:11" x14ac:dyDescent="0.25">
      <c r="B34" s="162" t="s">
        <v>61</v>
      </c>
      <c r="C34" s="162">
        <v>790</v>
      </c>
      <c r="D34" s="108">
        <v>2142</v>
      </c>
      <c r="E34" s="57">
        <f>+C34/D34</f>
        <v>0.36881419234360413</v>
      </c>
      <c r="G34" s="86" t="s">
        <v>259</v>
      </c>
      <c r="H34" s="87">
        <v>1116</v>
      </c>
      <c r="I34" s="88">
        <f>+H34*0.025</f>
        <v>27.900000000000002</v>
      </c>
      <c r="J34" s="224"/>
      <c r="K34" s="68"/>
    </row>
    <row r="35" spans="1:11" x14ac:dyDescent="0.25">
      <c r="B35" s="162" t="s">
        <v>62</v>
      </c>
      <c r="C35" s="162">
        <v>650</v>
      </c>
      <c r="D35" s="108">
        <v>1890</v>
      </c>
      <c r="E35" s="57">
        <f>+C35/D35</f>
        <v>0.3439153439153439</v>
      </c>
      <c r="G35" s="86" t="s">
        <v>171</v>
      </c>
      <c r="H35" s="87">
        <v>182</v>
      </c>
      <c r="I35" s="88">
        <f>+H35*0.025</f>
        <v>4.55</v>
      </c>
      <c r="J35" s="297" t="s">
        <v>188</v>
      </c>
    </row>
    <row r="36" spans="1:11" x14ac:dyDescent="0.25">
      <c r="B36" s="162" t="s">
        <v>63</v>
      </c>
      <c r="C36" s="67">
        <v>660</v>
      </c>
      <c r="D36" s="108">
        <v>3006</v>
      </c>
      <c r="E36" s="57">
        <f>+C36/D36</f>
        <v>0.21956087824351297</v>
      </c>
      <c r="G36" s="89" t="s">
        <v>169</v>
      </c>
      <c r="H36" s="87">
        <v>70</v>
      </c>
      <c r="I36" s="88">
        <f>+H36*1.5</f>
        <v>105</v>
      </c>
      <c r="J36" s="298">
        <f>+I36+I33+I34</f>
        <v>248.15</v>
      </c>
    </row>
    <row r="37" spans="1:11" x14ac:dyDescent="0.25">
      <c r="C37" s="162">
        <f>+SUM(C34:C36)</f>
        <v>2100</v>
      </c>
      <c r="D37" s="110">
        <f>+SUM(D34:D36)</f>
        <v>7038</v>
      </c>
      <c r="E37" s="57">
        <f>+C37/D37</f>
        <v>0.29838022165387895</v>
      </c>
      <c r="G37" s="89" t="s">
        <v>168</v>
      </c>
      <c r="H37" s="87">
        <v>1</v>
      </c>
      <c r="I37" s="88">
        <f>+H37*1.5</f>
        <v>1.5</v>
      </c>
      <c r="J37" s="228" t="s">
        <v>193</v>
      </c>
    </row>
    <row r="38" spans="1:11" x14ac:dyDescent="0.25">
      <c r="G38" s="231" t="s">
        <v>123</v>
      </c>
      <c r="H38" s="138">
        <v>274</v>
      </c>
      <c r="I38" s="232">
        <v>346.5</v>
      </c>
      <c r="J38" s="218" t="s">
        <v>146</v>
      </c>
    </row>
    <row r="39" spans="1:11" x14ac:dyDescent="0.25">
      <c r="B39" s="162" t="s">
        <v>66</v>
      </c>
      <c r="D39" s="162"/>
      <c r="G39" s="89" t="s">
        <v>170</v>
      </c>
      <c r="H39" s="87">
        <v>36</v>
      </c>
      <c r="I39" s="88">
        <f>+H39*1.5</f>
        <v>54</v>
      </c>
      <c r="J39" s="224" t="s">
        <v>213</v>
      </c>
    </row>
    <row r="40" spans="1:11" x14ac:dyDescent="0.25">
      <c r="B40" s="76" t="s">
        <v>67</v>
      </c>
      <c r="C40" s="77" t="s">
        <v>68</v>
      </c>
      <c r="D40" s="78" t="s">
        <v>69</v>
      </c>
      <c r="E40" s="79" t="s">
        <v>33</v>
      </c>
      <c r="G40" s="89" t="s">
        <v>107</v>
      </c>
      <c r="H40" s="87">
        <v>223</v>
      </c>
      <c r="I40" s="88">
        <f>+H40*1.5</f>
        <v>334.5</v>
      </c>
      <c r="J40" s="224" t="s">
        <v>152</v>
      </c>
    </row>
    <row r="41" spans="1:11" x14ac:dyDescent="0.25">
      <c r="B41" s="73">
        <v>45</v>
      </c>
      <c r="C41" s="74">
        <v>5</v>
      </c>
      <c r="D41" s="74">
        <v>20</v>
      </c>
      <c r="E41" s="75">
        <f>+SUM(B41:D41)</f>
        <v>70</v>
      </c>
      <c r="J41" s="218"/>
    </row>
    <row r="42" spans="1:11" x14ac:dyDescent="0.25">
      <c r="H42" s="144" t="s">
        <v>124</v>
      </c>
      <c r="I42" s="220" t="s">
        <v>148</v>
      </c>
      <c r="J42" s="218" t="s">
        <v>146</v>
      </c>
    </row>
    <row r="43" spans="1:11" x14ac:dyDescent="0.25">
      <c r="B43" s="162" t="s">
        <v>214</v>
      </c>
      <c r="C43" s="162" t="s">
        <v>215</v>
      </c>
      <c r="D43" s="162" t="s">
        <v>216</v>
      </c>
      <c r="E43" s="198" t="s">
        <v>76</v>
      </c>
      <c r="F43" s="198" t="s">
        <v>137</v>
      </c>
      <c r="G43" s="71" t="s">
        <v>90</v>
      </c>
      <c r="H43" s="144" t="s">
        <v>120</v>
      </c>
      <c r="I43" s="145">
        <v>0</v>
      </c>
      <c r="J43" s="218"/>
    </row>
    <row r="44" spans="1:11" x14ac:dyDescent="0.25">
      <c r="A44" s="207" t="s">
        <v>70</v>
      </c>
      <c r="B44" s="199">
        <v>0</v>
      </c>
      <c r="C44" s="199">
        <v>0</v>
      </c>
      <c r="D44" s="200">
        <v>2400</v>
      </c>
      <c r="E44" s="201">
        <f t="shared" ref="E44:E49" si="3">+C44/D44</f>
        <v>0</v>
      </c>
      <c r="F44" s="201">
        <f t="shared" ref="F44:F49" si="4">+B44/24</f>
        <v>0</v>
      </c>
      <c r="G44" s="202">
        <v>7</v>
      </c>
      <c r="H44" s="144" t="s">
        <v>121</v>
      </c>
      <c r="I44" s="220" t="s">
        <v>149</v>
      </c>
      <c r="J44" s="218" t="s">
        <v>146</v>
      </c>
    </row>
    <row r="45" spans="1:11" x14ac:dyDescent="0.25">
      <c r="A45" s="207" t="s">
        <v>71</v>
      </c>
      <c r="B45" s="199">
        <v>5</v>
      </c>
      <c r="C45" s="199">
        <v>2658</v>
      </c>
      <c r="D45" s="200">
        <v>3600</v>
      </c>
      <c r="E45" s="201">
        <f t="shared" si="3"/>
        <v>0.73833333333333329</v>
      </c>
      <c r="F45" s="201">
        <f t="shared" si="4"/>
        <v>0.20833333333333334</v>
      </c>
      <c r="G45" s="202">
        <v>12</v>
      </c>
      <c r="H45" s="71"/>
    </row>
    <row r="46" spans="1:11" x14ac:dyDescent="0.25">
      <c r="A46" s="207" t="s">
        <v>72</v>
      </c>
      <c r="B46" s="199">
        <v>9</v>
      </c>
      <c r="C46" s="199">
        <v>2902</v>
      </c>
      <c r="D46" s="200">
        <v>3900</v>
      </c>
      <c r="E46" s="201">
        <f t="shared" si="3"/>
        <v>0.74410256410256415</v>
      </c>
      <c r="F46" s="201">
        <f t="shared" si="4"/>
        <v>0.375</v>
      </c>
      <c r="G46" s="202">
        <v>12</v>
      </c>
      <c r="H46" s="237" t="s">
        <v>195</v>
      </c>
      <c r="I46" s="162" t="s">
        <v>217</v>
      </c>
      <c r="J46" s="162" t="s">
        <v>177</v>
      </c>
      <c r="K46" s="215" t="s">
        <v>92</v>
      </c>
    </row>
    <row r="47" spans="1:11" x14ac:dyDescent="0.25">
      <c r="A47" s="207" t="s">
        <v>73</v>
      </c>
      <c r="B47" s="199">
        <v>11.27</v>
      </c>
      <c r="C47" s="199">
        <v>2792</v>
      </c>
      <c r="D47" s="200">
        <v>3900</v>
      </c>
      <c r="E47" s="201">
        <f t="shared" si="3"/>
        <v>0.71589743589743593</v>
      </c>
      <c r="F47" s="201">
        <f t="shared" si="4"/>
        <v>0.4695833333333333</v>
      </c>
      <c r="G47" s="202">
        <v>12</v>
      </c>
      <c r="H47" s="301">
        <v>46083</v>
      </c>
      <c r="I47" s="129" t="s">
        <v>175</v>
      </c>
      <c r="J47" s="162">
        <v>133</v>
      </c>
      <c r="K47" s="318">
        <f t="shared" ref="K47:K52" si="5">+J47*1.5</f>
        <v>199.5</v>
      </c>
    </row>
    <row r="48" spans="1:11" x14ac:dyDescent="0.25">
      <c r="A48" s="207" t="s">
        <v>74</v>
      </c>
      <c r="B48" s="199">
        <v>16</v>
      </c>
      <c r="C48" s="199">
        <v>2574</v>
      </c>
      <c r="D48" s="200">
        <v>3900</v>
      </c>
      <c r="E48" s="201">
        <f t="shared" si="3"/>
        <v>0.66</v>
      </c>
      <c r="F48" s="201">
        <f t="shared" si="4"/>
        <v>0.66666666666666663</v>
      </c>
      <c r="G48" s="202">
        <v>12</v>
      </c>
      <c r="H48" s="301">
        <v>46083</v>
      </c>
      <c r="I48" s="129" t="s">
        <v>176</v>
      </c>
      <c r="J48" s="162">
        <v>42</v>
      </c>
      <c r="K48" s="318">
        <f t="shared" si="5"/>
        <v>63</v>
      </c>
    </row>
    <row r="49" spans="1:11" x14ac:dyDescent="0.25">
      <c r="A49" s="259" t="s">
        <v>75</v>
      </c>
      <c r="B49" s="260">
        <v>16.22</v>
      </c>
      <c r="C49" s="261">
        <v>2216</v>
      </c>
      <c r="D49" s="262">
        <v>4300</v>
      </c>
      <c r="E49" s="263">
        <f t="shared" si="3"/>
        <v>0.51534883720930236</v>
      </c>
      <c r="F49" s="201">
        <f t="shared" si="4"/>
        <v>0.67583333333333329</v>
      </c>
      <c r="G49" s="202">
        <v>16</v>
      </c>
      <c r="H49" s="301">
        <v>46085</v>
      </c>
      <c r="I49" s="129" t="s">
        <v>175</v>
      </c>
      <c r="J49" s="162">
        <v>60</v>
      </c>
      <c r="K49" s="318">
        <f t="shared" si="5"/>
        <v>90</v>
      </c>
    </row>
    <row r="50" spans="1:11" x14ac:dyDescent="0.25">
      <c r="B50" s="113">
        <f>+SUM(B44:B49)</f>
        <v>57.489999999999995</v>
      </c>
      <c r="C50" s="71"/>
      <c r="D50" s="72"/>
      <c r="H50" s="301">
        <v>46085</v>
      </c>
      <c r="I50" s="129" t="s">
        <v>176</v>
      </c>
      <c r="J50" s="162">
        <v>104</v>
      </c>
      <c r="K50" s="318">
        <f t="shared" si="5"/>
        <v>156</v>
      </c>
    </row>
    <row r="51" spans="1:11" x14ac:dyDescent="0.25">
      <c r="B51" s="162" t="s">
        <v>78</v>
      </c>
      <c r="C51" s="71" t="s">
        <v>83</v>
      </c>
      <c r="D51" s="72" t="s">
        <v>79</v>
      </c>
      <c r="H51" s="301">
        <v>46093</v>
      </c>
      <c r="I51" s="129" t="s">
        <v>176</v>
      </c>
      <c r="J51" s="162">
        <v>46</v>
      </c>
      <c r="K51" s="318">
        <f t="shared" si="5"/>
        <v>69</v>
      </c>
    </row>
    <row r="52" spans="1:11" x14ac:dyDescent="0.25">
      <c r="C52" s="71">
        <v>1</v>
      </c>
      <c r="D52" s="225">
        <v>0</v>
      </c>
      <c r="E52" s="225" t="s">
        <v>250</v>
      </c>
      <c r="H52" s="301">
        <v>46098</v>
      </c>
      <c r="I52" s="129" t="s">
        <v>176</v>
      </c>
      <c r="J52" s="162">
        <v>40</v>
      </c>
      <c r="K52" s="318">
        <f t="shared" si="5"/>
        <v>60</v>
      </c>
    </row>
    <row r="53" spans="1:11" x14ac:dyDescent="0.25">
      <c r="C53" s="71">
        <v>2</v>
      </c>
      <c r="D53" s="225">
        <v>0</v>
      </c>
      <c r="E53" s="225" t="s">
        <v>250</v>
      </c>
    </row>
    <row r="54" spans="1:11" x14ac:dyDescent="0.25">
      <c r="C54" s="71">
        <v>3</v>
      </c>
      <c r="D54" s="108">
        <v>0</v>
      </c>
      <c r="E54" s="225" t="s">
        <v>250</v>
      </c>
      <c r="H54" s="301"/>
      <c r="I54" s="129"/>
      <c r="K54" s="318"/>
    </row>
    <row r="55" spans="1:11" x14ac:dyDescent="0.25">
      <c r="C55" s="71">
        <v>4</v>
      </c>
      <c r="D55" s="108">
        <v>0</v>
      </c>
    </row>
    <row r="56" spans="1:11" x14ac:dyDescent="0.25">
      <c r="C56" s="71">
        <v>5</v>
      </c>
      <c r="D56" s="108">
        <v>9</v>
      </c>
      <c r="H56" s="359" t="s">
        <v>219</v>
      </c>
      <c r="I56" s="345"/>
      <c r="J56" s="199">
        <f>+J52</f>
        <v>40</v>
      </c>
      <c r="K56" s="346">
        <f>+J56*1.5</f>
        <v>60</v>
      </c>
    </row>
    <row r="57" spans="1:11" x14ac:dyDescent="0.25">
      <c r="C57" s="71">
        <v>6</v>
      </c>
      <c r="D57" s="108">
        <v>0</v>
      </c>
      <c r="F57" s="453" t="s">
        <v>271</v>
      </c>
      <c r="G57" s="453" t="s">
        <v>267</v>
      </c>
      <c r="H57" s="237" t="s">
        <v>197</v>
      </c>
      <c r="I57"/>
      <c r="J57" s="162" t="s">
        <v>157</v>
      </c>
      <c r="K57" s="215" t="s">
        <v>92</v>
      </c>
    </row>
    <row r="58" spans="1:11" x14ac:dyDescent="0.25">
      <c r="C58" s="71">
        <v>7</v>
      </c>
      <c r="D58" s="225">
        <v>0</v>
      </c>
      <c r="E58" s="225" t="s">
        <v>250</v>
      </c>
      <c r="F58" s="453">
        <v>1230</v>
      </c>
      <c r="G58" s="453">
        <v>784.3</v>
      </c>
      <c r="H58" s="301"/>
      <c r="I58" s="129"/>
      <c r="K58" s="318"/>
    </row>
    <row r="59" spans="1:11" x14ac:dyDescent="0.25">
      <c r="C59" s="71">
        <v>8</v>
      </c>
      <c r="D59" s="108">
        <v>1</v>
      </c>
      <c r="F59" s="432">
        <f>+G58/F58</f>
        <v>0.63764227642276416</v>
      </c>
      <c r="G59" s="453" t="s">
        <v>269</v>
      </c>
      <c r="H59" s="301">
        <v>46082</v>
      </c>
      <c r="I59" s="129" t="s">
        <v>176</v>
      </c>
      <c r="J59" s="162">
        <v>11032</v>
      </c>
      <c r="K59" s="318">
        <f t="shared" ref="K59:K67" si="6">+J59*0.025</f>
        <v>275.8</v>
      </c>
    </row>
    <row r="60" spans="1:11" x14ac:dyDescent="0.25">
      <c r="F60" s="453"/>
      <c r="G60" s="453">
        <v>140</v>
      </c>
      <c r="H60" s="301">
        <v>46090</v>
      </c>
      <c r="I60" s="129" t="s">
        <v>175</v>
      </c>
      <c r="J60" s="162">
        <v>1278</v>
      </c>
      <c r="K60" s="318">
        <f t="shared" si="6"/>
        <v>31.950000000000003</v>
      </c>
    </row>
    <row r="61" spans="1:11" x14ac:dyDescent="0.25">
      <c r="B61" s="364" t="s">
        <v>231</v>
      </c>
      <c r="C61" s="199">
        <v>2200</v>
      </c>
      <c r="D61" s="384" t="s">
        <v>92</v>
      </c>
      <c r="F61" s="432">
        <f>(G60+G58)/F58</f>
        <v>0.75146341463414634</v>
      </c>
      <c r="G61" s="453" t="s">
        <v>270</v>
      </c>
      <c r="H61" s="301">
        <v>46094</v>
      </c>
      <c r="I61" s="129" t="s">
        <v>175</v>
      </c>
      <c r="J61" s="162">
        <v>8756</v>
      </c>
      <c r="K61" s="318">
        <f t="shared" si="6"/>
        <v>218.9</v>
      </c>
    </row>
    <row r="62" spans="1:11" x14ac:dyDescent="0.25">
      <c r="H62" s="301">
        <v>46099</v>
      </c>
      <c r="I62" s="129" t="s">
        <v>175</v>
      </c>
      <c r="J62" s="162">
        <v>3456</v>
      </c>
      <c r="K62" s="318">
        <f t="shared" si="6"/>
        <v>86.4</v>
      </c>
    </row>
    <row r="63" spans="1:11" x14ac:dyDescent="0.25">
      <c r="H63" s="301">
        <v>46099</v>
      </c>
      <c r="I63" s="129" t="s">
        <v>176</v>
      </c>
      <c r="J63" s="162">
        <v>7192</v>
      </c>
      <c r="K63" s="318">
        <f t="shared" si="6"/>
        <v>179.8</v>
      </c>
    </row>
    <row r="64" spans="1:11" x14ac:dyDescent="0.25">
      <c r="H64" s="301">
        <v>46100</v>
      </c>
      <c r="I64" s="129" t="s">
        <v>175</v>
      </c>
      <c r="J64" s="162">
        <v>4721</v>
      </c>
      <c r="K64" s="318">
        <f t="shared" si="6"/>
        <v>118.02500000000001</v>
      </c>
    </row>
    <row r="65" spans="2:11" x14ac:dyDescent="0.25">
      <c r="H65" s="301">
        <v>46100</v>
      </c>
      <c r="I65" s="129" t="s">
        <v>176</v>
      </c>
      <c r="K65" s="318">
        <f t="shared" si="6"/>
        <v>0</v>
      </c>
    </row>
    <row r="66" spans="2:11" x14ac:dyDescent="0.25">
      <c r="B66" s="66"/>
      <c r="C66" s="391"/>
      <c r="D66" s="391"/>
      <c r="H66" s="301">
        <v>46103</v>
      </c>
      <c r="I66" s="129" t="s">
        <v>175</v>
      </c>
      <c r="J66" s="162">
        <v>1257</v>
      </c>
      <c r="K66" s="318">
        <f t="shared" si="6"/>
        <v>31.425000000000001</v>
      </c>
    </row>
    <row r="67" spans="2:11" x14ac:dyDescent="0.25">
      <c r="C67" s="389"/>
      <c r="H67" s="301">
        <v>46103</v>
      </c>
      <c r="I67" s="129" t="s">
        <v>176</v>
      </c>
      <c r="J67" s="162">
        <v>2880</v>
      </c>
      <c r="K67" s="318">
        <f t="shared" si="6"/>
        <v>72</v>
      </c>
    </row>
    <row r="68" spans="2:11" x14ac:dyDescent="0.25">
      <c r="C68" s="389"/>
      <c r="H68" s="431" t="s">
        <v>275</v>
      </c>
      <c r="I68" s="345"/>
      <c r="J68" s="200">
        <f>+J63+J62+J64</f>
        <v>15369</v>
      </c>
      <c r="K68" s="346">
        <f>+J68*0.025</f>
        <v>384.22500000000002</v>
      </c>
    </row>
    <row r="69" spans="2:11" x14ac:dyDescent="0.25">
      <c r="C69" s="389"/>
      <c r="H69" s="237" t="s">
        <v>205</v>
      </c>
      <c r="I69"/>
      <c r="J69" s="162" t="s">
        <v>177</v>
      </c>
      <c r="K69" s="215" t="s">
        <v>92</v>
      </c>
    </row>
    <row r="70" spans="2:11" x14ac:dyDescent="0.25">
      <c r="C70" s="389"/>
      <c r="H70" s="301">
        <v>45942</v>
      </c>
      <c r="I70" s="129" t="s">
        <v>176</v>
      </c>
      <c r="J70" s="162">
        <v>47</v>
      </c>
      <c r="K70" s="318">
        <v>70.5</v>
      </c>
    </row>
    <row r="71" spans="2:11" x14ac:dyDescent="0.25">
      <c r="H71" s="237" t="s">
        <v>167</v>
      </c>
      <c r="I71"/>
      <c r="J71" s="237" t="s">
        <v>157</v>
      </c>
      <c r="K71" s="437" t="s">
        <v>92</v>
      </c>
    </row>
    <row r="72" spans="2:11" x14ac:dyDescent="0.25">
      <c r="H72" s="301">
        <v>46089</v>
      </c>
      <c r="I72" s="129" t="s">
        <v>175</v>
      </c>
      <c r="J72" s="108">
        <v>55</v>
      </c>
      <c r="K72" s="297">
        <f t="shared" ref="K72:K79" si="7">+J72*1.5</f>
        <v>82.5</v>
      </c>
    </row>
    <row r="73" spans="2:11" x14ac:dyDescent="0.25">
      <c r="H73" s="301">
        <v>46089</v>
      </c>
      <c r="I73" s="129" t="s">
        <v>176</v>
      </c>
      <c r="J73" s="71">
        <v>162</v>
      </c>
      <c r="K73" s="297">
        <f t="shared" si="7"/>
        <v>243</v>
      </c>
    </row>
    <row r="74" spans="2:11" x14ac:dyDescent="0.25">
      <c r="B74" s="162" t="s">
        <v>254</v>
      </c>
      <c r="C74" s="389">
        <v>0.8</v>
      </c>
      <c r="H74" s="301">
        <v>46090</v>
      </c>
      <c r="I74" s="129" t="s">
        <v>175</v>
      </c>
      <c r="J74" s="108">
        <f>36+36+37</f>
        <v>109</v>
      </c>
      <c r="K74" s="297">
        <f t="shared" si="7"/>
        <v>163.5</v>
      </c>
    </row>
    <row r="75" spans="2:11" x14ac:dyDescent="0.25">
      <c r="H75" s="301">
        <v>46102</v>
      </c>
      <c r="I75" s="129" t="s">
        <v>175</v>
      </c>
      <c r="J75" s="71"/>
      <c r="K75" s="297">
        <f t="shared" si="7"/>
        <v>0</v>
      </c>
    </row>
    <row r="76" spans="2:11" x14ac:dyDescent="0.25">
      <c r="H76" s="301">
        <v>46102</v>
      </c>
      <c r="I76" s="129" t="s">
        <v>176</v>
      </c>
      <c r="J76" s="108">
        <v>173</v>
      </c>
      <c r="K76" s="297">
        <f t="shared" si="7"/>
        <v>259.5</v>
      </c>
    </row>
    <row r="77" spans="2:11" x14ac:dyDescent="0.25">
      <c r="H77" s="301">
        <v>46103</v>
      </c>
      <c r="I77" s="129" t="s">
        <v>175</v>
      </c>
      <c r="J77" s="71">
        <v>218</v>
      </c>
      <c r="K77" s="297">
        <f t="shared" si="7"/>
        <v>327</v>
      </c>
    </row>
    <row r="78" spans="2:11" x14ac:dyDescent="0.25">
      <c r="H78" s="301">
        <v>46103</v>
      </c>
      <c r="I78" s="129" t="s">
        <v>176</v>
      </c>
      <c r="J78" s="108">
        <v>230</v>
      </c>
      <c r="K78" s="297">
        <f t="shared" si="7"/>
        <v>345</v>
      </c>
    </row>
    <row r="79" spans="2:11" x14ac:dyDescent="0.25">
      <c r="H79" s="344"/>
      <c r="I79" s="345"/>
      <c r="J79" s="435">
        <f>+J75+J76+J77+J78</f>
        <v>621</v>
      </c>
      <c r="K79" s="436">
        <f t="shared" si="7"/>
        <v>931.5</v>
      </c>
    </row>
  </sheetData>
  <protectedRanges>
    <protectedRange password="D554" sqref="I42:I44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topLeftCell="A17" workbookViewId="0">
      <selection activeCell="A28" sqref="A28:K79"/>
    </sheetView>
  </sheetViews>
  <sheetFormatPr baseColWidth="10" defaultColWidth="11.42578125" defaultRowHeight="15.75" x14ac:dyDescent="0.25"/>
  <cols>
    <col min="1" max="1" width="2.42578125" style="162" customWidth="1"/>
    <col min="2" max="2" width="40.140625" style="162" customWidth="1"/>
    <col min="3" max="3" width="13.28515625" style="162" customWidth="1"/>
    <col min="4" max="4" width="14.5703125" style="163" customWidth="1"/>
    <col min="5" max="5" width="16" style="162" customWidth="1"/>
    <col min="6" max="6" width="15.42578125" style="162" customWidth="1"/>
    <col min="7" max="7" width="16.140625" style="162" customWidth="1"/>
    <col min="8" max="16384" width="11.42578125" style="162"/>
  </cols>
  <sheetData>
    <row r="1" spans="1:11" ht="15" customHeight="1" x14ac:dyDescent="0.25">
      <c r="A1" s="161"/>
      <c r="B1" s="518">
        <v>46106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54"/>
      <c r="C4" s="454"/>
      <c r="D4" s="165">
        <f>D25</f>
        <v>8551.6360000000004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3120</v>
      </c>
      <c r="D5" s="172">
        <v>133.262</v>
      </c>
      <c r="E5" s="80">
        <f t="shared" ref="E5:E25" si="0">+D5/$D$4</f>
        <v>1.5583217059285497E-2</v>
      </c>
      <c r="F5" s="58" t="s">
        <v>51</v>
      </c>
      <c r="G5" s="59">
        <v>46104</v>
      </c>
      <c r="H5" s="190">
        <v>6399</v>
      </c>
      <c r="I5" s="141">
        <v>6956.1920000000009</v>
      </c>
      <c r="J5" s="60">
        <f t="shared" ref="J5:J12" si="1">+I5/H5</f>
        <v>1.0870748554461636</v>
      </c>
    </row>
    <row r="6" spans="1:11" ht="15" customHeight="1" x14ac:dyDescent="0.25">
      <c r="A6" s="164"/>
      <c r="B6" s="169" t="s">
        <v>10</v>
      </c>
      <c r="C6" s="177">
        <v>12243</v>
      </c>
      <c r="D6" s="173">
        <v>522.31200000000001</v>
      </c>
      <c r="E6" s="80">
        <f t="shared" si="0"/>
        <v>6.1077435943251088E-2</v>
      </c>
      <c r="F6" s="58" t="s">
        <v>52</v>
      </c>
      <c r="G6" s="59">
        <v>46105</v>
      </c>
      <c r="H6" s="190">
        <v>8396</v>
      </c>
      <c r="I6" s="141">
        <v>8616.8870000000024</v>
      </c>
      <c r="J6" s="60">
        <f t="shared" si="1"/>
        <v>1.0263085993330161</v>
      </c>
    </row>
    <row r="7" spans="1:11" ht="15" customHeight="1" x14ac:dyDescent="0.25">
      <c r="A7" s="164"/>
      <c r="B7" s="169" t="s">
        <v>35</v>
      </c>
      <c r="C7" s="177">
        <v>29769</v>
      </c>
      <c r="D7" s="173">
        <v>1269.2339999999999</v>
      </c>
      <c r="E7" s="245">
        <f t="shared" si="0"/>
        <v>0.14842002161925505</v>
      </c>
      <c r="F7" s="58" t="s">
        <v>53</v>
      </c>
      <c r="G7" s="59">
        <v>46106</v>
      </c>
      <c r="H7" s="190">
        <v>8508</v>
      </c>
      <c r="I7" s="141">
        <v>8551.6360000000004</v>
      </c>
      <c r="J7" s="60">
        <f t="shared" si="1"/>
        <v>1.0051288199341797</v>
      </c>
    </row>
    <row r="8" spans="1:11" ht="15" customHeight="1" x14ac:dyDescent="0.25">
      <c r="A8" s="164"/>
      <c r="B8" s="169" t="s">
        <v>4</v>
      </c>
      <c r="C8" s="177"/>
      <c r="D8" s="173"/>
      <c r="E8" s="80">
        <f t="shared" si="0"/>
        <v>0</v>
      </c>
      <c r="F8" s="58" t="s">
        <v>54</v>
      </c>
      <c r="G8" s="59">
        <v>46107</v>
      </c>
      <c r="H8" s="190">
        <v>8203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32370</v>
      </c>
      <c r="D9" s="173">
        <v>1382.55</v>
      </c>
      <c r="E9" s="245">
        <f t="shared" si="0"/>
        <v>0.1616708194782846</v>
      </c>
      <c r="F9" s="58" t="s">
        <v>55</v>
      </c>
      <c r="G9" s="59">
        <v>46108</v>
      </c>
      <c r="H9" s="190">
        <v>7815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55577</v>
      </c>
      <c r="D10" s="173">
        <v>2370.982</v>
      </c>
      <c r="E10" s="245">
        <f t="shared" si="0"/>
        <v>0.27725478493238015</v>
      </c>
      <c r="F10" s="58" t="s">
        <v>56</v>
      </c>
      <c r="G10" s="59">
        <v>46109</v>
      </c>
      <c r="H10" s="190">
        <v>7177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15432</v>
      </c>
      <c r="D11" s="173">
        <v>658.95600000000002</v>
      </c>
      <c r="E11" s="80">
        <f t="shared" si="0"/>
        <v>7.7056132884982476E-2</v>
      </c>
      <c r="F11" s="58" t="s">
        <v>57</v>
      </c>
      <c r="G11" s="59">
        <v>46110</v>
      </c>
      <c r="H11" s="190">
        <v>5075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1200</v>
      </c>
      <c r="D12" s="173">
        <v>30.04</v>
      </c>
      <c r="E12" s="80">
        <f t="shared" si="0"/>
        <v>3.5127781397617948E-3</v>
      </c>
      <c r="H12" s="139">
        <f>+SUM(H5:H11)</f>
        <v>51573</v>
      </c>
      <c r="I12" s="142">
        <f>+SUM(I5:I11)</f>
        <v>24124.715000000004</v>
      </c>
      <c r="J12" s="140">
        <f t="shared" si="1"/>
        <v>0.46777800399433822</v>
      </c>
    </row>
    <row r="13" spans="1:11" ht="15" customHeight="1" x14ac:dyDescent="0.25">
      <c r="A13" s="164"/>
      <c r="B13" s="169" t="s">
        <v>44</v>
      </c>
      <c r="C13" s="177">
        <v>40</v>
      </c>
      <c r="D13" s="173">
        <v>60.42</v>
      </c>
      <c r="E13" s="80">
        <f t="shared" si="0"/>
        <v>7.0653147538085109E-3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194</v>
      </c>
      <c r="C14" s="177">
        <v>22</v>
      </c>
      <c r="D14" s="173">
        <v>33.15</v>
      </c>
      <c r="E14" s="80">
        <f t="shared" si="0"/>
        <v>3.8764512427797437E-3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333</v>
      </c>
      <c r="D15" s="173">
        <v>503.56</v>
      </c>
      <c r="E15" s="80">
        <f t="shared" si="0"/>
        <v>5.8884639149748653E-2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273</v>
      </c>
      <c r="D16" s="173">
        <v>412.9</v>
      </c>
      <c r="E16" s="80">
        <f t="shared" si="0"/>
        <v>4.8283158918363683E-2</v>
      </c>
      <c r="F16" s="112" t="s">
        <v>110</v>
      </c>
      <c r="G16" s="190">
        <v>199570.19199999989</v>
      </c>
      <c r="H16" s="190">
        <v>197224.22099999999</v>
      </c>
      <c r="I16" s="190">
        <f>+D26</f>
        <v>200223.019</v>
      </c>
      <c r="J16" s="456">
        <f t="shared" si="2"/>
        <v>0.98824488278289624</v>
      </c>
      <c r="K16" s="456">
        <f t="shared" si="2"/>
        <v>1.0152050188602342</v>
      </c>
    </row>
    <row r="17" spans="1:11" ht="15" customHeight="1" x14ac:dyDescent="0.25">
      <c r="A17" s="164"/>
      <c r="B17" s="169" t="s">
        <v>49</v>
      </c>
      <c r="C17" s="177">
        <v>21</v>
      </c>
      <c r="D17" s="173">
        <v>31.61</v>
      </c>
      <c r="E17" s="80">
        <f t="shared" si="0"/>
        <v>3.696368741606869E-3</v>
      </c>
      <c r="F17" s="112" t="s">
        <v>111</v>
      </c>
      <c r="G17" s="190">
        <v>205343.72800000012</v>
      </c>
      <c r="H17" s="190">
        <v>198970.75799999986</v>
      </c>
      <c r="I17" s="190"/>
      <c r="J17" s="456">
        <f t="shared" si="2"/>
        <v>0.96896437956945902</v>
      </c>
      <c r="K17" s="456">
        <f t="shared" si="2"/>
        <v>0</v>
      </c>
    </row>
    <row r="18" spans="1:11" ht="15" customHeight="1" x14ac:dyDescent="0.25">
      <c r="A18" s="164"/>
      <c r="B18" s="169" t="s">
        <v>41</v>
      </c>
      <c r="C18" s="177">
        <v>127</v>
      </c>
      <c r="D18" s="173">
        <v>191.04</v>
      </c>
      <c r="E18" s="80">
        <f t="shared" si="0"/>
        <v>2.2339585080562361E-2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276</v>
      </c>
      <c r="C19" s="177">
        <v>43</v>
      </c>
      <c r="D19" s="173">
        <v>64.63</v>
      </c>
      <c r="E19" s="80">
        <f t="shared" si="0"/>
        <v>7.5576182148070839E-3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88</v>
      </c>
      <c r="C20" s="177"/>
      <c r="D20" s="173">
        <v>60.37</v>
      </c>
      <c r="E20" s="80">
        <f t="shared" si="0"/>
        <v>7.0594679193548455E-3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608.09</v>
      </c>
      <c r="E21" s="80">
        <f t="shared" si="0"/>
        <v>7.1108031258580229E-2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32.450000000000003</v>
      </c>
      <c r="E22" s="80">
        <f t="shared" si="0"/>
        <v>3.7945955604284376E-3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30.14</v>
      </c>
      <c r="E23" s="80">
        <f t="shared" si="0"/>
        <v>3.5244718086691247E-3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155.94</v>
      </c>
      <c r="E24" s="80">
        <f t="shared" si="0"/>
        <v>1.823510729408969E-2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thickBot="1" x14ac:dyDescent="0.3">
      <c r="A25" s="164"/>
      <c r="B25" s="178" t="s">
        <v>0</v>
      </c>
      <c r="C25" s="170"/>
      <c r="D25" s="171">
        <f>SUM(D5:D24)</f>
        <v>8551.6360000000004</v>
      </c>
      <c r="E25" s="80">
        <f t="shared" si="0"/>
        <v>1</v>
      </c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A26" s="164"/>
      <c r="B26" s="166" t="s">
        <v>1</v>
      </c>
      <c r="C26" s="167"/>
      <c r="D26" s="233">
        <v>200223.019</v>
      </c>
      <c r="E26" s="80"/>
      <c r="G26" s="68">
        <f>+SUM(G14:G25)</f>
        <v>2547596.0290000001</v>
      </c>
      <c r="H26" s="377">
        <f>+SUM(H14:H16)</f>
        <v>570727.63399999996</v>
      </c>
      <c r="I26" s="377">
        <f>+SUM(I14:I25)</f>
        <v>631570.62499999988</v>
      </c>
      <c r="J26" s="378"/>
      <c r="K26" s="378">
        <f>+I26/H26</f>
        <v>1.1066060014889694</v>
      </c>
    </row>
    <row r="27" spans="1:11" ht="19.5" thickBot="1" x14ac:dyDescent="0.3">
      <c r="E27" s="313">
        <f>+D26/J2</f>
        <v>0.95442467762845928</v>
      </c>
      <c r="G27" s="379" t="s">
        <v>229</v>
      </c>
      <c r="H27" s="380"/>
      <c r="I27" s="380">
        <v>2726927.1277059279</v>
      </c>
      <c r="J27" s="381">
        <f>+I26/H26</f>
        <v>1.1066060014889694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5" customHeight="1" thickBot="1" x14ac:dyDescent="0.3">
      <c r="B29" s="397" t="s">
        <v>251</v>
      </c>
      <c r="C29" s="455">
        <v>25</v>
      </c>
      <c r="D29" s="108">
        <f>J3*C29</f>
        <v>169180.6387635764</v>
      </c>
      <c r="E29" s="314">
        <f>+D29/J2</f>
        <v>0.80645161290322576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+D26-D29</f>
        <v>31042.380236423603</v>
      </c>
      <c r="E30" s="99">
        <f>E27-E29</f>
        <v>0.14797306472523353</v>
      </c>
      <c r="H30" s="420" t="s">
        <v>278</v>
      </c>
      <c r="I30" s="421">
        <f>+I16/H16</f>
        <v>1.0152050188602342</v>
      </c>
      <c r="J30" s="422">
        <f>+I16-H16</f>
        <v>2998.7980000000098</v>
      </c>
      <c r="K30" s="459">
        <f>+J30+J29+J28</f>
        <v>60842.990999999951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4610</v>
      </c>
      <c r="I32" s="88">
        <f>+H32*0.025</f>
        <v>115.25</v>
      </c>
      <c r="J32" s="224"/>
    </row>
    <row r="33" spans="1:11" x14ac:dyDescent="0.25">
      <c r="B33" s="162" t="s">
        <v>61</v>
      </c>
      <c r="C33" s="162">
        <v>540</v>
      </c>
      <c r="D33" s="108">
        <v>2142</v>
      </c>
      <c r="E33" s="57">
        <f>+C33/D33</f>
        <v>0.25210084033613445</v>
      </c>
      <c r="G33" s="86" t="s">
        <v>259</v>
      </c>
      <c r="H33" s="87">
        <v>1116</v>
      </c>
      <c r="I33" s="88">
        <f>+H33*0.025</f>
        <v>27.900000000000002</v>
      </c>
      <c r="J33" s="224"/>
      <c r="K33" s="68"/>
    </row>
    <row r="34" spans="1:11" x14ac:dyDescent="0.25">
      <c r="B34" s="162" t="s">
        <v>62</v>
      </c>
      <c r="C34" s="162">
        <v>764</v>
      </c>
      <c r="D34" s="108">
        <v>1890</v>
      </c>
      <c r="E34" s="57">
        <f>+C34/D34</f>
        <v>0.40423280423280422</v>
      </c>
      <c r="G34" s="86" t="s">
        <v>171</v>
      </c>
      <c r="H34" s="87">
        <v>182</v>
      </c>
      <c r="I34" s="88">
        <f>+H34*0.025</f>
        <v>4.55</v>
      </c>
      <c r="J34" s="297" t="s">
        <v>188</v>
      </c>
    </row>
    <row r="35" spans="1:11" x14ac:dyDescent="0.25">
      <c r="B35" s="162" t="s">
        <v>63</v>
      </c>
      <c r="C35" s="67">
        <v>706</v>
      </c>
      <c r="D35" s="108">
        <v>3006</v>
      </c>
      <c r="E35" s="57">
        <f>+C35/D35</f>
        <v>0.23486360612109114</v>
      </c>
      <c r="G35" s="89" t="s">
        <v>169</v>
      </c>
      <c r="H35" s="87">
        <v>141</v>
      </c>
      <c r="I35" s="88">
        <f>+H35*1.5</f>
        <v>211.5</v>
      </c>
      <c r="J35" s="298">
        <f>+I35+I32+I33</f>
        <v>354.65</v>
      </c>
    </row>
    <row r="36" spans="1:11" x14ac:dyDescent="0.25">
      <c r="C36" s="162">
        <f>+SUM(C33:C35)</f>
        <v>2010</v>
      </c>
      <c r="D36" s="110">
        <f>+SUM(D33:D35)</f>
        <v>7038</v>
      </c>
      <c r="E36" s="57">
        <f>+C36/D36</f>
        <v>0.28559249786871271</v>
      </c>
      <c r="G36" s="89" t="s">
        <v>168</v>
      </c>
      <c r="H36" s="87">
        <v>1</v>
      </c>
      <c r="I36" s="88">
        <f>+H36*1.5</f>
        <v>1.5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52</v>
      </c>
      <c r="C40" s="74">
        <v>5</v>
      </c>
      <c r="D40" s="74">
        <v>20</v>
      </c>
      <c r="E40" s="75">
        <f>+SUM(B40:D40)</f>
        <v>77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9.41</v>
      </c>
      <c r="C44" s="199">
        <v>2008</v>
      </c>
      <c r="D44" s="200">
        <v>3600</v>
      </c>
      <c r="E44" s="201">
        <f t="shared" si="3"/>
        <v>0.55777777777777782</v>
      </c>
      <c r="F44" s="201">
        <f t="shared" si="4"/>
        <v>0.39208333333333334</v>
      </c>
      <c r="G44" s="202">
        <v>12</v>
      </c>
      <c r="H44" s="71"/>
    </row>
    <row r="45" spans="1:11" x14ac:dyDescent="0.25">
      <c r="A45" s="207" t="s">
        <v>72</v>
      </c>
      <c r="B45" s="199">
        <v>10.220000000000001</v>
      </c>
      <c r="C45" s="199">
        <v>2968</v>
      </c>
      <c r="D45" s="200">
        <v>3900</v>
      </c>
      <c r="E45" s="201">
        <f t="shared" si="3"/>
        <v>0.76102564102564108</v>
      </c>
      <c r="F45" s="201">
        <f t="shared" si="4"/>
        <v>0.42583333333333334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8.26</v>
      </c>
      <c r="C46" s="199">
        <v>2848</v>
      </c>
      <c r="D46" s="200">
        <v>3900</v>
      </c>
      <c r="E46" s="201">
        <f t="shared" si="3"/>
        <v>0.7302564102564103</v>
      </c>
      <c r="F46" s="201">
        <f t="shared" si="4"/>
        <v>0.34416666666666668</v>
      </c>
      <c r="G46" s="202">
        <v>12</v>
      </c>
      <c r="H46" s="301">
        <v>46083</v>
      </c>
      <c r="I46" s="129" t="s">
        <v>175</v>
      </c>
      <c r="J46" s="162">
        <v>133</v>
      </c>
      <c r="K46" s="318">
        <f t="shared" ref="K46:K51" si="5">+J46*1.5</f>
        <v>199.5</v>
      </c>
    </row>
    <row r="47" spans="1:11" x14ac:dyDescent="0.25">
      <c r="A47" s="207" t="s">
        <v>74</v>
      </c>
      <c r="B47" s="199">
        <v>15.75</v>
      </c>
      <c r="C47" s="199">
        <v>2403</v>
      </c>
      <c r="D47" s="200">
        <v>3900</v>
      </c>
      <c r="E47" s="201">
        <f t="shared" si="3"/>
        <v>0.61615384615384616</v>
      </c>
      <c r="F47" s="201">
        <f t="shared" si="4"/>
        <v>0.65625</v>
      </c>
      <c r="G47" s="202">
        <v>12</v>
      </c>
      <c r="H47" s="301">
        <v>46083</v>
      </c>
      <c r="I47" s="129" t="s">
        <v>176</v>
      </c>
      <c r="J47" s="162">
        <v>42</v>
      </c>
      <c r="K47" s="318">
        <f t="shared" si="5"/>
        <v>63</v>
      </c>
    </row>
    <row r="48" spans="1:11" x14ac:dyDescent="0.25">
      <c r="A48" s="259" t="s">
        <v>75</v>
      </c>
      <c r="B48" s="260">
        <v>8.49</v>
      </c>
      <c r="C48" s="261">
        <v>2314</v>
      </c>
      <c r="D48" s="262">
        <v>4300</v>
      </c>
      <c r="E48" s="263">
        <f t="shared" si="3"/>
        <v>0.5381395348837209</v>
      </c>
      <c r="F48" s="201">
        <f t="shared" si="4"/>
        <v>0.35375000000000001</v>
      </c>
      <c r="G48" s="202">
        <v>16</v>
      </c>
      <c r="H48" s="301">
        <v>46085</v>
      </c>
      <c r="I48" s="129" t="s">
        <v>175</v>
      </c>
      <c r="J48" s="162">
        <v>60</v>
      </c>
      <c r="K48" s="318">
        <f t="shared" si="5"/>
        <v>90</v>
      </c>
    </row>
    <row r="49" spans="2:11" x14ac:dyDescent="0.25">
      <c r="B49" s="113">
        <f>+SUM(B43:B48)</f>
        <v>52.13</v>
      </c>
      <c r="C49" s="71"/>
      <c r="D49" s="72"/>
      <c r="H49" s="301">
        <v>46085</v>
      </c>
      <c r="I49" s="129" t="s">
        <v>176</v>
      </c>
      <c r="J49" s="162">
        <v>104</v>
      </c>
      <c r="K49" s="318">
        <f t="shared" si="5"/>
        <v>156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46093</v>
      </c>
      <c r="I50" s="129" t="s">
        <v>176</v>
      </c>
      <c r="J50" s="162">
        <v>46</v>
      </c>
      <c r="K50" s="318">
        <f t="shared" si="5"/>
        <v>69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46098</v>
      </c>
      <c r="I51" s="129" t="s">
        <v>176</v>
      </c>
      <c r="J51" s="162">
        <v>40</v>
      </c>
      <c r="K51" s="318">
        <f t="shared" si="5"/>
        <v>60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46106</v>
      </c>
      <c r="I52" s="129" t="s">
        <v>175</v>
      </c>
      <c r="J52" s="162">
        <v>66</v>
      </c>
      <c r="K52" s="318">
        <f t="shared" ref="K52:K53" si="6">+J52*1.5</f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46106</v>
      </c>
      <c r="I53" s="129" t="s">
        <v>176</v>
      </c>
      <c r="J53" s="162">
        <v>48</v>
      </c>
      <c r="K53" s="318">
        <f t="shared" si="6"/>
        <v>72</v>
      </c>
    </row>
    <row r="54" spans="2:11" x14ac:dyDescent="0.25">
      <c r="C54" s="71">
        <v>4</v>
      </c>
      <c r="D54" s="108">
        <v>0</v>
      </c>
    </row>
    <row r="55" spans="2:11" x14ac:dyDescent="0.25">
      <c r="C55" s="71">
        <v>5</v>
      </c>
      <c r="D55" s="108">
        <v>6</v>
      </c>
      <c r="H55" s="359" t="s">
        <v>219</v>
      </c>
      <c r="I55" s="345"/>
      <c r="J55" s="199">
        <f>+J53+J52</f>
        <v>114</v>
      </c>
      <c r="K55" s="346">
        <f>+J55*1.5</f>
        <v>171</v>
      </c>
    </row>
    <row r="56" spans="2:11" x14ac:dyDescent="0.25">
      <c r="C56" s="71">
        <v>6</v>
      </c>
      <c r="D56" s="108">
        <v>0</v>
      </c>
      <c r="F56" s="455" t="s">
        <v>271</v>
      </c>
      <c r="G56" s="455" t="s">
        <v>267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>
        <v>0</v>
      </c>
      <c r="E57" s="225" t="s">
        <v>250</v>
      </c>
      <c r="F57" s="455">
        <v>1230</v>
      </c>
      <c r="G57" s="455">
        <v>784.3</v>
      </c>
      <c r="H57" s="301"/>
      <c r="I57" s="129"/>
      <c r="K57" s="318"/>
    </row>
    <row r="58" spans="2:11" x14ac:dyDescent="0.25">
      <c r="C58" s="71">
        <v>8</v>
      </c>
      <c r="D58" s="108">
        <v>2</v>
      </c>
      <c r="F58" s="432">
        <f>+G57/F57</f>
        <v>0.63764227642276416</v>
      </c>
      <c r="G58" s="455" t="s">
        <v>269</v>
      </c>
      <c r="H58" s="301">
        <v>46082</v>
      </c>
      <c r="I58" s="129" t="s">
        <v>176</v>
      </c>
      <c r="J58" s="162">
        <v>11032</v>
      </c>
      <c r="K58" s="318">
        <f t="shared" ref="K58:K66" si="7">+J58*0.025</f>
        <v>275.8</v>
      </c>
    </row>
    <row r="59" spans="2:11" x14ac:dyDescent="0.25">
      <c r="F59" s="455"/>
      <c r="G59" s="455">
        <v>140</v>
      </c>
      <c r="H59" s="301">
        <v>46090</v>
      </c>
      <c r="I59" s="129" t="s">
        <v>175</v>
      </c>
      <c r="J59" s="162">
        <v>1278</v>
      </c>
      <c r="K59" s="318">
        <f t="shared" si="7"/>
        <v>31.950000000000003</v>
      </c>
    </row>
    <row r="60" spans="2:11" x14ac:dyDescent="0.25">
      <c r="B60" s="364" t="s">
        <v>231</v>
      </c>
      <c r="C60" s="199">
        <v>2280</v>
      </c>
      <c r="D60" s="384" t="s">
        <v>92</v>
      </c>
      <c r="F60" s="432">
        <f>(G59+G57)/F57</f>
        <v>0.75146341463414634</v>
      </c>
      <c r="G60" s="455" t="s">
        <v>270</v>
      </c>
      <c r="H60" s="301">
        <v>46094</v>
      </c>
      <c r="I60" s="129" t="s">
        <v>175</v>
      </c>
      <c r="J60" s="162">
        <v>8756</v>
      </c>
      <c r="K60" s="318">
        <f t="shared" si="7"/>
        <v>218.9</v>
      </c>
    </row>
    <row r="61" spans="2:11" x14ac:dyDescent="0.25">
      <c r="H61" s="301">
        <v>46099</v>
      </c>
      <c r="I61" s="129" t="s">
        <v>175</v>
      </c>
      <c r="J61" s="162">
        <v>3456</v>
      </c>
      <c r="K61" s="318">
        <f t="shared" si="7"/>
        <v>86.4</v>
      </c>
    </row>
    <row r="62" spans="2:11" x14ac:dyDescent="0.25">
      <c r="H62" s="301">
        <v>46099</v>
      </c>
      <c r="I62" s="129" t="s">
        <v>176</v>
      </c>
      <c r="J62" s="162">
        <v>7192</v>
      </c>
      <c r="K62" s="318">
        <f t="shared" si="7"/>
        <v>179.8</v>
      </c>
    </row>
    <row r="63" spans="2:11" x14ac:dyDescent="0.25">
      <c r="H63" s="301">
        <v>46100</v>
      </c>
      <c r="I63" s="129" t="s">
        <v>175</v>
      </c>
      <c r="J63" s="162">
        <v>4721</v>
      </c>
      <c r="K63" s="318">
        <f t="shared" si="7"/>
        <v>118.02500000000001</v>
      </c>
    </row>
    <row r="64" spans="2:11" x14ac:dyDescent="0.25">
      <c r="H64" s="301">
        <v>46100</v>
      </c>
      <c r="I64" s="129" t="s">
        <v>176</v>
      </c>
      <c r="K64" s="318">
        <f t="shared" si="7"/>
        <v>0</v>
      </c>
    </row>
    <row r="65" spans="2:11" x14ac:dyDescent="0.25">
      <c r="B65" s="66"/>
      <c r="C65" s="391"/>
      <c r="D65" s="391"/>
      <c r="H65" s="301">
        <v>46103</v>
      </c>
      <c r="I65" s="129" t="s">
        <v>175</v>
      </c>
      <c r="J65" s="162">
        <v>1257</v>
      </c>
      <c r="K65" s="318">
        <f t="shared" si="7"/>
        <v>31.425000000000001</v>
      </c>
    </row>
    <row r="66" spans="2:11" x14ac:dyDescent="0.25">
      <c r="C66" s="389"/>
      <c r="H66" s="301">
        <v>46103</v>
      </c>
      <c r="I66" s="129" t="s">
        <v>176</v>
      </c>
      <c r="J66" s="162">
        <v>2880</v>
      </c>
      <c r="K66" s="318">
        <f t="shared" si="7"/>
        <v>72</v>
      </c>
    </row>
    <row r="67" spans="2:11" x14ac:dyDescent="0.25">
      <c r="C67" s="389"/>
      <c r="H67" s="431" t="s">
        <v>275</v>
      </c>
      <c r="I67" s="345"/>
      <c r="J67" s="200">
        <f>+J62+J61+J63</f>
        <v>15369</v>
      </c>
      <c r="K67" s="346">
        <f>+J67*0.025</f>
        <v>384.22500000000002</v>
      </c>
    </row>
    <row r="68" spans="2:11" x14ac:dyDescent="0.25">
      <c r="C68" s="389"/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C69" s="389"/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 s="237" t="s">
        <v>167</v>
      </c>
      <c r="I70"/>
      <c r="J70" s="237" t="s">
        <v>157</v>
      </c>
      <c r="K70" s="437" t="s">
        <v>92</v>
      </c>
    </row>
    <row r="71" spans="2:11" x14ac:dyDescent="0.25">
      <c r="H71" s="301">
        <v>46089</v>
      </c>
      <c r="I71" s="129" t="s">
        <v>175</v>
      </c>
      <c r="J71" s="108">
        <v>55</v>
      </c>
      <c r="K71" s="297">
        <f t="shared" ref="K71:K78" si="8">+J71*1.5</f>
        <v>82.5</v>
      </c>
    </row>
    <row r="72" spans="2:11" x14ac:dyDescent="0.25">
      <c r="H72" s="301">
        <v>46089</v>
      </c>
      <c r="I72" s="129" t="s">
        <v>176</v>
      </c>
      <c r="J72" s="71">
        <v>162</v>
      </c>
      <c r="K72" s="297">
        <f t="shared" si="8"/>
        <v>243</v>
      </c>
    </row>
    <row r="73" spans="2:11" x14ac:dyDescent="0.25">
      <c r="B73" s="162" t="s">
        <v>254</v>
      </c>
      <c r="C73" s="389">
        <v>0.8</v>
      </c>
      <c r="H73" s="301">
        <v>46090</v>
      </c>
      <c r="I73" s="129" t="s">
        <v>175</v>
      </c>
      <c r="J73" s="108">
        <f>36+36+37</f>
        <v>109</v>
      </c>
      <c r="K73" s="297">
        <f t="shared" si="8"/>
        <v>163.5</v>
      </c>
    </row>
    <row r="74" spans="2:11" x14ac:dyDescent="0.25">
      <c r="H74" s="301">
        <v>46102</v>
      </c>
      <c r="I74" s="129" t="s">
        <v>175</v>
      </c>
      <c r="J74" s="71"/>
      <c r="K74" s="297">
        <f t="shared" si="8"/>
        <v>0</v>
      </c>
    </row>
    <row r="75" spans="2:11" x14ac:dyDescent="0.25">
      <c r="H75" s="301">
        <v>46102</v>
      </c>
      <c r="I75" s="129" t="s">
        <v>176</v>
      </c>
      <c r="J75" s="108">
        <v>173</v>
      </c>
      <c r="K75" s="297">
        <f t="shared" si="8"/>
        <v>259.5</v>
      </c>
    </row>
    <row r="76" spans="2:11" x14ac:dyDescent="0.25">
      <c r="H76" s="301">
        <v>46103</v>
      </c>
      <c r="I76" s="129" t="s">
        <v>175</v>
      </c>
      <c r="J76" s="71">
        <v>218</v>
      </c>
      <c r="K76" s="297">
        <f t="shared" si="8"/>
        <v>327</v>
      </c>
    </row>
    <row r="77" spans="2:11" x14ac:dyDescent="0.25">
      <c r="H77" s="301">
        <v>46103</v>
      </c>
      <c r="I77" s="129" t="s">
        <v>176</v>
      </c>
      <c r="J77" s="108">
        <v>230</v>
      </c>
      <c r="K77" s="297">
        <f t="shared" si="8"/>
        <v>345</v>
      </c>
    </row>
    <row r="78" spans="2:11" x14ac:dyDescent="0.25">
      <c r="H78" s="344"/>
      <c r="I78" s="345"/>
      <c r="J78" s="435">
        <f>+J74+J75+J76+J77</f>
        <v>621</v>
      </c>
      <c r="K78" s="436">
        <f t="shared" si="8"/>
        <v>931.5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topLeftCell="A56" workbookViewId="0">
      <selection activeCell="A28" sqref="A28:K78"/>
    </sheetView>
  </sheetViews>
  <sheetFormatPr baseColWidth="10" defaultColWidth="11.42578125" defaultRowHeight="15.75" x14ac:dyDescent="0.25"/>
  <cols>
    <col min="1" max="1" width="2.42578125" style="162" customWidth="1"/>
    <col min="2" max="2" width="43.5703125" style="162" customWidth="1"/>
    <col min="3" max="3" width="13.28515625" style="162" customWidth="1"/>
    <col min="4" max="4" width="14.5703125" style="163" customWidth="1"/>
    <col min="5" max="5" width="19.5703125" style="162" customWidth="1"/>
    <col min="6" max="16384" width="11.42578125" style="162"/>
  </cols>
  <sheetData>
    <row r="1" spans="1:11" ht="15" customHeight="1" x14ac:dyDescent="0.25">
      <c r="A1" s="161"/>
      <c r="B1" s="518">
        <v>46107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</row>
    <row r="4" spans="1:11" ht="19.5" customHeight="1" thickBot="1" x14ac:dyDescent="0.4">
      <c r="A4" s="164"/>
      <c r="B4" s="457"/>
      <c r="C4" s="457"/>
      <c r="D4" s="165">
        <f>D25</f>
        <v>8523.3870000000006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5508</v>
      </c>
      <c r="D5" s="172">
        <v>235.22199999999998</v>
      </c>
      <c r="E5" s="80">
        <f t="shared" ref="E5:E25" si="0">+D5/$D$4</f>
        <v>2.7597245085785729E-2</v>
      </c>
      <c r="F5" s="58" t="s">
        <v>51</v>
      </c>
      <c r="G5" s="59">
        <v>46104</v>
      </c>
      <c r="H5" s="190">
        <v>6399</v>
      </c>
      <c r="I5" s="141">
        <v>6956.1920000000009</v>
      </c>
      <c r="J5" s="60">
        <f t="shared" ref="J5:J12" si="1">+I5/H5</f>
        <v>1.0870748554461636</v>
      </c>
    </row>
    <row r="6" spans="1:11" ht="15" customHeight="1" x14ac:dyDescent="0.25">
      <c r="A6" s="164"/>
      <c r="B6" s="169" t="s">
        <v>10</v>
      </c>
      <c r="C6" s="177">
        <v>9471</v>
      </c>
      <c r="D6" s="173">
        <v>404.31200000000001</v>
      </c>
      <c r="E6" s="80">
        <f t="shared" si="0"/>
        <v>4.7435602771527328E-2</v>
      </c>
      <c r="F6" s="58" t="s">
        <v>52</v>
      </c>
      <c r="G6" s="59">
        <v>46105</v>
      </c>
      <c r="H6" s="190">
        <v>8396</v>
      </c>
      <c r="I6" s="141">
        <v>8616.8870000000024</v>
      </c>
      <c r="J6" s="60">
        <f t="shared" si="1"/>
        <v>1.0263085993330161</v>
      </c>
    </row>
    <row r="7" spans="1:11" ht="15" customHeight="1" x14ac:dyDescent="0.25">
      <c r="A7" s="164"/>
      <c r="B7" s="169" t="s">
        <v>35</v>
      </c>
      <c r="C7" s="177">
        <v>21616</v>
      </c>
      <c r="D7" s="173">
        <v>921.36199999999985</v>
      </c>
      <c r="E7" s="245">
        <f t="shared" si="0"/>
        <v>0.10809810700839934</v>
      </c>
      <c r="F7" s="58" t="s">
        <v>53</v>
      </c>
      <c r="G7" s="59">
        <v>46106</v>
      </c>
      <c r="H7" s="190">
        <v>8508</v>
      </c>
      <c r="I7" s="141">
        <v>8551.6360000000004</v>
      </c>
      <c r="J7" s="60">
        <f t="shared" si="1"/>
        <v>1.0051288199341797</v>
      </c>
    </row>
    <row r="8" spans="1:11" ht="15" customHeight="1" x14ac:dyDescent="0.25">
      <c r="A8" s="164"/>
      <c r="B8" s="169" t="s">
        <v>4</v>
      </c>
      <c r="C8" s="177">
        <v>820</v>
      </c>
      <c r="D8" s="173">
        <v>35.049999999999997</v>
      </c>
      <c r="E8" s="80">
        <f t="shared" si="0"/>
        <v>4.1122150149934525E-3</v>
      </c>
      <c r="F8" s="58" t="s">
        <v>54</v>
      </c>
      <c r="G8" s="59">
        <v>46107</v>
      </c>
      <c r="H8" s="190">
        <v>8203</v>
      </c>
      <c r="I8" s="141">
        <v>8523.3870000000006</v>
      </c>
      <c r="J8" s="60">
        <f t="shared" si="1"/>
        <v>1.0390572961111788</v>
      </c>
    </row>
    <row r="9" spans="1:11" ht="15" customHeight="1" x14ac:dyDescent="0.25">
      <c r="A9" s="164"/>
      <c r="B9" s="169" t="s">
        <v>37</v>
      </c>
      <c r="C9" s="177">
        <v>52140</v>
      </c>
      <c r="D9" s="173">
        <v>2225.8420000000001</v>
      </c>
      <c r="E9" s="245">
        <f t="shared" si="0"/>
        <v>0.26114524660208432</v>
      </c>
      <c r="F9" s="58" t="s">
        <v>55</v>
      </c>
      <c r="G9" s="59">
        <v>46108</v>
      </c>
      <c r="H9" s="190">
        <v>7815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39773</v>
      </c>
      <c r="D10" s="173">
        <v>1697.9750000000004</v>
      </c>
      <c r="E10" s="245">
        <f t="shared" si="0"/>
        <v>0.19921364593676202</v>
      </c>
      <c r="F10" s="58" t="s">
        <v>56</v>
      </c>
      <c r="G10" s="59">
        <v>46109</v>
      </c>
      <c r="H10" s="190">
        <v>7177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13977</v>
      </c>
      <c r="D11" s="173">
        <v>597.22199999999998</v>
      </c>
      <c r="E11" s="80">
        <f t="shared" si="0"/>
        <v>7.0068624127943499E-2</v>
      </c>
      <c r="F11" s="58" t="s">
        <v>57</v>
      </c>
      <c r="G11" s="59">
        <v>46110</v>
      </c>
      <c r="H11" s="190">
        <v>5075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1296</v>
      </c>
      <c r="D12" s="173">
        <v>32.911999999999999</v>
      </c>
      <c r="E12" s="80">
        <f t="shared" si="0"/>
        <v>3.8613757652914268E-3</v>
      </c>
      <c r="H12" s="139">
        <f>+SUM(H5:H11)</f>
        <v>51573</v>
      </c>
      <c r="I12" s="142">
        <f>+SUM(I5:I11)</f>
        <v>32648.102000000006</v>
      </c>
      <c r="J12" s="140">
        <f t="shared" si="1"/>
        <v>0.63304640024819203</v>
      </c>
    </row>
    <row r="13" spans="1:11" ht="15" customHeight="1" x14ac:dyDescent="0.25">
      <c r="A13" s="164"/>
      <c r="B13" s="169" t="s">
        <v>44</v>
      </c>
      <c r="C13" s="177"/>
      <c r="D13" s="173"/>
      <c r="E13" s="80">
        <f t="shared" si="0"/>
        <v>0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194</v>
      </c>
      <c r="C14" s="177"/>
      <c r="D14" s="173"/>
      <c r="E14" s="80">
        <f t="shared" si="0"/>
        <v>0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490</v>
      </c>
      <c r="D15" s="173">
        <v>741.21</v>
      </c>
      <c r="E15" s="80">
        <f t="shared" si="0"/>
        <v>8.6961908452590497E-2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347</v>
      </c>
      <c r="D16" s="173">
        <v>525.27</v>
      </c>
      <c r="E16" s="80">
        <f t="shared" si="0"/>
        <v>6.1626909584182904E-2</v>
      </c>
      <c r="F16" s="112" t="s">
        <v>110</v>
      </c>
      <c r="G16" s="190">
        <v>199570.19199999989</v>
      </c>
      <c r="H16" s="190">
        <v>197224.22099999999</v>
      </c>
      <c r="I16" s="190">
        <f>+D26</f>
        <v>208746.41</v>
      </c>
      <c r="J16" s="456">
        <f t="shared" si="2"/>
        <v>0.98824488278289624</v>
      </c>
      <c r="K16" s="456">
        <f t="shared" si="2"/>
        <v>1.0584217746764482</v>
      </c>
    </row>
    <row r="17" spans="1:11" ht="15" customHeight="1" x14ac:dyDescent="0.25">
      <c r="A17" s="164"/>
      <c r="B17" s="169" t="s">
        <v>44</v>
      </c>
      <c r="C17" s="177">
        <v>20</v>
      </c>
      <c r="D17" s="173">
        <v>30.09</v>
      </c>
      <c r="E17" s="80">
        <f t="shared" si="0"/>
        <v>3.5302867275649923E-3</v>
      </c>
      <c r="F17" s="112" t="s">
        <v>111</v>
      </c>
      <c r="G17" s="190">
        <v>205343.72800000012</v>
      </c>
      <c r="H17" s="190">
        <v>198970.75799999986</v>
      </c>
      <c r="I17" s="190"/>
      <c r="J17" s="456">
        <f t="shared" si="2"/>
        <v>0.96896437956945902</v>
      </c>
      <c r="K17" s="456">
        <f t="shared" si="2"/>
        <v>0</v>
      </c>
    </row>
    <row r="18" spans="1:11" ht="15" customHeight="1" x14ac:dyDescent="0.25">
      <c r="A18" s="164"/>
      <c r="B18" s="169" t="s">
        <v>49</v>
      </c>
      <c r="C18" s="177">
        <v>44</v>
      </c>
      <c r="D18" s="173">
        <v>66.349999999999994</v>
      </c>
      <c r="E18" s="80">
        <f t="shared" si="0"/>
        <v>7.7844640868706292E-3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41</v>
      </c>
      <c r="C19" s="177">
        <v>100</v>
      </c>
      <c r="D19" s="173">
        <v>150.48999999999998</v>
      </c>
      <c r="E19" s="80">
        <f t="shared" si="0"/>
        <v>1.7656126607884865E-2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88</v>
      </c>
      <c r="C20" s="177"/>
      <c r="D20" s="173"/>
      <c r="E20" s="80">
        <f t="shared" si="0"/>
        <v>0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/>
      <c r="E21" s="80">
        <f t="shared" si="0"/>
        <v>0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710.78999999999985</v>
      </c>
      <c r="E22" s="80">
        <f t="shared" si="0"/>
        <v>8.3392904722031258E-2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29.51</v>
      </c>
      <c r="E23" s="80">
        <f t="shared" si="0"/>
        <v>3.4622386616963421E-3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119.78</v>
      </c>
      <c r="E24" s="80">
        <f t="shared" si="0"/>
        <v>1.4053098844391319E-2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thickBot="1" x14ac:dyDescent="0.3">
      <c r="A25" s="164"/>
      <c r="B25" s="178" t="s">
        <v>0</v>
      </c>
      <c r="C25" s="170"/>
      <c r="D25" s="171">
        <f>SUM(D5:D24)</f>
        <v>8523.3870000000006</v>
      </c>
      <c r="E25" s="80">
        <f t="shared" si="0"/>
        <v>1</v>
      </c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A26" s="164"/>
      <c r="B26" s="166" t="s">
        <v>1</v>
      </c>
      <c r="C26" s="167"/>
      <c r="D26" s="233">
        <v>208746.41</v>
      </c>
      <c r="E26" s="80"/>
      <c r="G26" s="68">
        <f>+SUM(G14:G25)</f>
        <v>2547596.0290000001</v>
      </c>
      <c r="H26" s="377">
        <f>+SUM(H14:H16)</f>
        <v>570727.63399999996</v>
      </c>
      <c r="I26" s="377">
        <f>+SUM(I14:I25)</f>
        <v>640094.01599999995</v>
      </c>
      <c r="J26" s="378"/>
      <c r="K26" s="378">
        <f>+I26/H26</f>
        <v>1.1215402546987938</v>
      </c>
    </row>
    <row r="27" spans="1:11" ht="19.5" thickBot="1" x14ac:dyDescent="0.3">
      <c r="E27" s="313">
        <f>+D26/J2</f>
        <v>0.99505404556080634</v>
      </c>
      <c r="G27" s="379" t="s">
        <v>229</v>
      </c>
      <c r="H27" s="380"/>
      <c r="I27" s="380">
        <v>2726927.1277059279</v>
      </c>
      <c r="J27" s="381">
        <f>+I26/H26</f>
        <v>1.1215402546987938</v>
      </c>
      <c r="K27" s="179"/>
    </row>
    <row r="28" spans="1:11" ht="15" customHeight="1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58">
        <v>26</v>
      </c>
      <c r="D29" s="108">
        <f>J3*C29</f>
        <v>175947.86431411945</v>
      </c>
      <c r="E29" s="314">
        <f>+D29/J2</f>
        <v>0.83870967741935476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+D26-D29</f>
        <v>32798.545685880556</v>
      </c>
      <c r="E30" s="99">
        <f>E27-E29</f>
        <v>0.15634436814145158</v>
      </c>
      <c r="H30" s="420" t="s">
        <v>278</v>
      </c>
      <c r="I30" s="421">
        <f>+I16/H16</f>
        <v>1.0584217746764482</v>
      </c>
      <c r="J30" s="422">
        <f>+I16-H16</f>
        <v>11522.189000000013</v>
      </c>
      <c r="K30" s="459">
        <f>+J30+J29+J28</f>
        <v>69366.381999999954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1763</v>
      </c>
      <c r="I32" s="88">
        <f>+H32*0.025</f>
        <v>44.075000000000003</v>
      </c>
      <c r="J32" s="224"/>
    </row>
    <row r="33" spans="1:11" ht="15" customHeight="1" x14ac:dyDescent="0.25">
      <c r="B33" s="162" t="s">
        <v>61</v>
      </c>
      <c r="C33" s="162">
        <v>860</v>
      </c>
      <c r="D33" s="108">
        <v>2142</v>
      </c>
      <c r="E33" s="57">
        <f>+C33/D33</f>
        <v>0.40149393090569563</v>
      </c>
      <c r="G33" s="86" t="s">
        <v>259</v>
      </c>
      <c r="H33" s="87">
        <v>1116</v>
      </c>
      <c r="I33" s="88">
        <f>+H33*0.025</f>
        <v>27.900000000000002</v>
      </c>
      <c r="J33" s="224"/>
      <c r="K33" s="68"/>
    </row>
    <row r="34" spans="1:11" x14ac:dyDescent="0.25">
      <c r="B34" s="162" t="s">
        <v>62</v>
      </c>
      <c r="C34" s="162">
        <v>810</v>
      </c>
      <c r="D34" s="108">
        <v>1890</v>
      </c>
      <c r="E34" s="57">
        <f>+C34/D34</f>
        <v>0.42857142857142855</v>
      </c>
      <c r="G34" s="86" t="s">
        <v>171</v>
      </c>
      <c r="H34" s="87">
        <v>121</v>
      </c>
      <c r="I34" s="88">
        <f>+H34*0.025</f>
        <v>3.0250000000000004</v>
      </c>
      <c r="J34" s="297" t="s">
        <v>188</v>
      </c>
    </row>
    <row r="35" spans="1:11" x14ac:dyDescent="0.25">
      <c r="B35" s="162" t="s">
        <v>63</v>
      </c>
      <c r="C35" s="67">
        <v>1342</v>
      </c>
      <c r="D35" s="108">
        <v>3006</v>
      </c>
      <c r="E35" s="57">
        <f>+C35/D35</f>
        <v>0.44644045242847635</v>
      </c>
      <c r="G35" s="89" t="s">
        <v>169</v>
      </c>
      <c r="H35" s="87">
        <v>141</v>
      </c>
      <c r="I35" s="88">
        <f>+H35*1.5</f>
        <v>211.5</v>
      </c>
      <c r="J35" s="298">
        <f>+I35+I32+I33</f>
        <v>283.47499999999997</v>
      </c>
    </row>
    <row r="36" spans="1:11" x14ac:dyDescent="0.25">
      <c r="C36" s="162">
        <f>+SUM(C33:C35)</f>
        <v>3012</v>
      </c>
      <c r="D36" s="110">
        <f>+SUM(D33:D35)</f>
        <v>7038</v>
      </c>
      <c r="E36" s="57">
        <f>+C36/D36</f>
        <v>0.42796248934356351</v>
      </c>
      <c r="G36" s="89" t="s">
        <v>168</v>
      </c>
      <c r="H36" s="87">
        <v>1</v>
      </c>
      <c r="I36" s="88">
        <f>+H36*1.5</f>
        <v>1.5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45</v>
      </c>
      <c r="C40" s="74">
        <v>5</v>
      </c>
      <c r="D40" s="74">
        <v>21</v>
      </c>
      <c r="E40" s="75">
        <f>+SUM(B40:D40)</f>
        <v>71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8.41</v>
      </c>
      <c r="C44" s="199">
        <v>2058</v>
      </c>
      <c r="D44" s="200">
        <v>3600</v>
      </c>
      <c r="E44" s="201">
        <f t="shared" si="3"/>
        <v>0.57166666666666666</v>
      </c>
      <c r="F44" s="201">
        <f t="shared" si="4"/>
        <v>0.35041666666666665</v>
      </c>
      <c r="G44" s="202">
        <v>12</v>
      </c>
      <c r="H44" s="71"/>
    </row>
    <row r="45" spans="1:11" x14ac:dyDescent="0.25">
      <c r="A45" s="207" t="s">
        <v>72</v>
      </c>
      <c r="B45" s="199">
        <v>6.68</v>
      </c>
      <c r="C45" s="199">
        <v>2854</v>
      </c>
      <c r="D45" s="200">
        <v>3900</v>
      </c>
      <c r="E45" s="201">
        <f t="shared" si="3"/>
        <v>0.73179487179487179</v>
      </c>
      <c r="F45" s="201">
        <f t="shared" si="4"/>
        <v>0.27833333333333332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12.14</v>
      </c>
      <c r="C46" s="199">
        <v>2993</v>
      </c>
      <c r="D46" s="200">
        <v>3900</v>
      </c>
      <c r="E46" s="201">
        <f t="shared" si="3"/>
        <v>0.76743589743589746</v>
      </c>
      <c r="F46" s="201">
        <f t="shared" si="4"/>
        <v>0.50583333333333336</v>
      </c>
      <c r="G46" s="202">
        <v>12</v>
      </c>
      <c r="H46" s="301">
        <v>46083</v>
      </c>
      <c r="I46" s="129" t="s">
        <v>175</v>
      </c>
      <c r="J46" s="162">
        <v>133</v>
      </c>
      <c r="K46" s="318">
        <f t="shared" ref="K46:K53" si="5">+J46*1.5</f>
        <v>199.5</v>
      </c>
    </row>
    <row r="47" spans="1:11" x14ac:dyDescent="0.25">
      <c r="A47" s="207" t="s">
        <v>74</v>
      </c>
      <c r="B47" s="199">
        <v>16.53</v>
      </c>
      <c r="C47" s="199">
        <v>2693</v>
      </c>
      <c r="D47" s="200">
        <v>3900</v>
      </c>
      <c r="E47" s="201">
        <f t="shared" si="3"/>
        <v>0.69051282051282048</v>
      </c>
      <c r="F47" s="201">
        <f t="shared" si="4"/>
        <v>0.68875000000000008</v>
      </c>
      <c r="G47" s="202">
        <v>12</v>
      </c>
      <c r="H47" s="301">
        <v>46083</v>
      </c>
      <c r="I47" s="129" t="s">
        <v>176</v>
      </c>
      <c r="J47" s="162">
        <v>42</v>
      </c>
      <c r="K47" s="318">
        <f t="shared" si="5"/>
        <v>63</v>
      </c>
    </row>
    <row r="48" spans="1:11" x14ac:dyDescent="0.25">
      <c r="A48" s="259" t="s">
        <v>75</v>
      </c>
      <c r="B48" s="260">
        <v>12.64</v>
      </c>
      <c r="C48" s="261">
        <v>3034</v>
      </c>
      <c r="D48" s="262">
        <v>4300</v>
      </c>
      <c r="E48" s="263">
        <f t="shared" si="3"/>
        <v>0.70558139534883724</v>
      </c>
      <c r="F48" s="201">
        <f t="shared" si="4"/>
        <v>0.52666666666666673</v>
      </c>
      <c r="G48" s="202">
        <v>16</v>
      </c>
      <c r="H48" s="301">
        <v>46085</v>
      </c>
      <c r="I48" s="129" t="s">
        <v>175</v>
      </c>
      <c r="J48" s="162">
        <v>60</v>
      </c>
      <c r="K48" s="318">
        <f t="shared" si="5"/>
        <v>90</v>
      </c>
    </row>
    <row r="49" spans="2:11" x14ac:dyDescent="0.25">
      <c r="B49" s="113">
        <f>+SUM(B43:B48)</f>
        <v>56.400000000000006</v>
      </c>
      <c r="C49" s="71"/>
      <c r="D49" s="72"/>
      <c r="H49" s="301">
        <v>46085</v>
      </c>
      <c r="I49" s="129" t="s">
        <v>176</v>
      </c>
      <c r="J49" s="162">
        <v>104</v>
      </c>
      <c r="K49" s="318">
        <f t="shared" si="5"/>
        <v>156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46093</v>
      </c>
      <c r="I50" s="129" t="s">
        <v>176</v>
      </c>
      <c r="J50" s="162">
        <v>46</v>
      </c>
      <c r="K50" s="318">
        <f t="shared" si="5"/>
        <v>69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46098</v>
      </c>
      <c r="I51" s="129" t="s">
        <v>176</v>
      </c>
      <c r="J51" s="162">
        <v>40</v>
      </c>
      <c r="K51" s="318">
        <f t="shared" si="5"/>
        <v>60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46106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46106</v>
      </c>
      <c r="I53" s="129" t="s">
        <v>176</v>
      </c>
      <c r="J53" s="162">
        <v>48</v>
      </c>
      <c r="K53" s="318">
        <f t="shared" si="5"/>
        <v>72</v>
      </c>
    </row>
    <row r="54" spans="2:11" x14ac:dyDescent="0.25">
      <c r="C54" s="71">
        <v>4</v>
      </c>
      <c r="D54" s="108">
        <v>0</v>
      </c>
    </row>
    <row r="55" spans="2:11" x14ac:dyDescent="0.25">
      <c r="C55" s="71">
        <v>5</v>
      </c>
      <c r="D55" s="108">
        <v>9</v>
      </c>
      <c r="H55" s="359" t="s">
        <v>219</v>
      </c>
      <c r="I55" s="345"/>
      <c r="J55" s="199">
        <f>+J53+J52</f>
        <v>114</v>
      </c>
      <c r="K55" s="346">
        <f>+J55*1.5</f>
        <v>171</v>
      </c>
    </row>
    <row r="56" spans="2:11" x14ac:dyDescent="0.25">
      <c r="C56" s="71">
        <v>6</v>
      </c>
      <c r="D56" s="108">
        <v>0</v>
      </c>
      <c r="F56" s="458" t="s">
        <v>271</v>
      </c>
      <c r="G56" s="458" t="s">
        <v>267</v>
      </c>
      <c r="H56" s="237" t="s">
        <v>197</v>
      </c>
      <c r="I56"/>
      <c r="J56" s="162" t="s">
        <v>157</v>
      </c>
      <c r="K56" s="215" t="s">
        <v>92</v>
      </c>
    </row>
    <row r="57" spans="2:11" x14ac:dyDescent="0.25">
      <c r="C57" s="71">
        <v>7</v>
      </c>
      <c r="D57" s="225">
        <v>0</v>
      </c>
      <c r="E57" s="225" t="s">
        <v>250</v>
      </c>
      <c r="F57" s="458">
        <v>1230</v>
      </c>
      <c r="G57" s="458">
        <v>784.3</v>
      </c>
      <c r="H57" s="301"/>
      <c r="I57" s="129"/>
      <c r="K57" s="318"/>
    </row>
    <row r="58" spans="2:11" x14ac:dyDescent="0.25">
      <c r="C58" s="71">
        <v>8</v>
      </c>
      <c r="D58" s="108">
        <v>7</v>
      </c>
      <c r="F58" s="432">
        <f>+G57/F57</f>
        <v>0.63764227642276416</v>
      </c>
      <c r="G58" s="458" t="s">
        <v>269</v>
      </c>
      <c r="H58" s="301">
        <v>46082</v>
      </c>
      <c r="I58" s="129" t="s">
        <v>176</v>
      </c>
      <c r="J58" s="162">
        <v>11032</v>
      </c>
      <c r="K58" s="318">
        <f t="shared" ref="K58:K66" si="6">+J58*0.025</f>
        <v>275.8</v>
      </c>
    </row>
    <row r="59" spans="2:11" x14ac:dyDescent="0.25">
      <c r="F59" s="458"/>
      <c r="G59" s="458">
        <v>140</v>
      </c>
      <c r="H59" s="301">
        <v>46090</v>
      </c>
      <c r="I59" s="129" t="s">
        <v>175</v>
      </c>
      <c r="J59" s="162">
        <v>1278</v>
      </c>
      <c r="K59" s="318">
        <f t="shared" si="6"/>
        <v>31.950000000000003</v>
      </c>
    </row>
    <row r="60" spans="2:11" x14ac:dyDescent="0.25">
      <c r="B60" s="364" t="s">
        <v>231</v>
      </c>
      <c r="C60" s="199">
        <v>2290</v>
      </c>
      <c r="D60" s="384" t="s">
        <v>92</v>
      </c>
      <c r="F60" s="432">
        <f>(G59+G57)/F57</f>
        <v>0.75146341463414634</v>
      </c>
      <c r="G60" s="458" t="s">
        <v>270</v>
      </c>
      <c r="H60" s="301">
        <v>46094</v>
      </c>
      <c r="I60" s="129" t="s">
        <v>175</v>
      </c>
      <c r="J60" s="162">
        <v>8756</v>
      </c>
      <c r="K60" s="318">
        <f t="shared" si="6"/>
        <v>218.9</v>
      </c>
    </row>
    <row r="61" spans="2:11" x14ac:dyDescent="0.25">
      <c r="H61" s="301">
        <v>46099</v>
      </c>
      <c r="I61" s="129" t="s">
        <v>175</v>
      </c>
      <c r="J61" s="162">
        <v>3456</v>
      </c>
      <c r="K61" s="318">
        <f t="shared" si="6"/>
        <v>86.4</v>
      </c>
    </row>
    <row r="62" spans="2:11" x14ac:dyDescent="0.25">
      <c r="H62" s="301">
        <v>46099</v>
      </c>
      <c r="I62" s="129" t="s">
        <v>176</v>
      </c>
      <c r="J62" s="162">
        <v>7192</v>
      </c>
      <c r="K62" s="318">
        <f t="shared" si="6"/>
        <v>179.8</v>
      </c>
    </row>
    <row r="63" spans="2:11" x14ac:dyDescent="0.25">
      <c r="H63" s="301">
        <v>46100</v>
      </c>
      <c r="I63" s="129" t="s">
        <v>175</v>
      </c>
      <c r="J63" s="162">
        <v>4721</v>
      </c>
      <c r="K63" s="318">
        <f t="shared" si="6"/>
        <v>118.02500000000001</v>
      </c>
    </row>
    <row r="64" spans="2:11" x14ac:dyDescent="0.25">
      <c r="H64" s="301">
        <v>46100</v>
      </c>
      <c r="I64" s="129" t="s">
        <v>176</v>
      </c>
      <c r="K64" s="318">
        <f t="shared" si="6"/>
        <v>0</v>
      </c>
    </row>
    <row r="65" spans="2:11" x14ac:dyDescent="0.25">
      <c r="B65" s="66"/>
      <c r="C65" s="391"/>
      <c r="D65" s="391"/>
      <c r="H65" s="301">
        <v>46103</v>
      </c>
      <c r="I65" s="129" t="s">
        <v>175</v>
      </c>
      <c r="J65" s="162">
        <v>1257</v>
      </c>
      <c r="K65" s="318">
        <f t="shared" si="6"/>
        <v>31.425000000000001</v>
      </c>
    </row>
    <row r="66" spans="2:11" x14ac:dyDescent="0.25">
      <c r="C66" s="389"/>
      <c r="H66" s="301">
        <v>46103</v>
      </c>
      <c r="I66" s="129" t="s">
        <v>176</v>
      </c>
      <c r="J66" s="162">
        <v>2880</v>
      </c>
      <c r="K66" s="318">
        <f t="shared" si="6"/>
        <v>72</v>
      </c>
    </row>
    <row r="67" spans="2:11" x14ac:dyDescent="0.25">
      <c r="C67" s="389"/>
      <c r="H67" s="431" t="s">
        <v>275</v>
      </c>
      <c r="I67" s="345"/>
      <c r="J67" s="200">
        <f>+J62+J61+J63</f>
        <v>15369</v>
      </c>
      <c r="K67" s="346">
        <f>+J67*0.025</f>
        <v>384.22500000000002</v>
      </c>
    </row>
    <row r="68" spans="2:11" x14ac:dyDescent="0.25">
      <c r="C68" s="389"/>
      <c r="H68" s="237" t="s">
        <v>205</v>
      </c>
      <c r="I68"/>
      <c r="J68" s="162" t="s">
        <v>177</v>
      </c>
      <c r="K68" s="215" t="s">
        <v>92</v>
      </c>
    </row>
    <row r="69" spans="2:11" x14ac:dyDescent="0.25">
      <c r="C69" s="389"/>
      <c r="H69" s="301">
        <v>45942</v>
      </c>
      <c r="I69" s="129" t="s">
        <v>176</v>
      </c>
      <c r="J69" s="162">
        <v>47</v>
      </c>
      <c r="K69" s="318">
        <v>70.5</v>
      </c>
    </row>
    <row r="70" spans="2:11" x14ac:dyDescent="0.25">
      <c r="H70" s="237" t="s">
        <v>167</v>
      </c>
      <c r="I70"/>
      <c r="J70" s="237" t="s">
        <v>157</v>
      </c>
      <c r="K70" s="437" t="s">
        <v>92</v>
      </c>
    </row>
    <row r="71" spans="2:11" x14ac:dyDescent="0.25">
      <c r="H71" s="301">
        <v>46089</v>
      </c>
      <c r="I71" s="129" t="s">
        <v>175</v>
      </c>
      <c r="J71" s="108">
        <v>55</v>
      </c>
      <c r="K71" s="297">
        <f t="shared" ref="K71:K78" si="7">+J71*1.5</f>
        <v>82.5</v>
      </c>
    </row>
    <row r="72" spans="2:11" x14ac:dyDescent="0.25">
      <c r="H72" s="301">
        <v>46089</v>
      </c>
      <c r="I72" s="129" t="s">
        <v>176</v>
      </c>
      <c r="J72" s="71">
        <v>162</v>
      </c>
      <c r="K72" s="297">
        <f t="shared" si="7"/>
        <v>243</v>
      </c>
    </row>
    <row r="73" spans="2:11" x14ac:dyDescent="0.25">
      <c r="B73" s="162" t="s">
        <v>254</v>
      </c>
      <c r="C73" s="389">
        <v>0.8</v>
      </c>
      <c r="H73" s="301">
        <v>46090</v>
      </c>
      <c r="I73" s="129" t="s">
        <v>175</v>
      </c>
      <c r="J73" s="108">
        <f>36+36+37</f>
        <v>109</v>
      </c>
      <c r="K73" s="297">
        <f t="shared" si="7"/>
        <v>163.5</v>
      </c>
    </row>
    <row r="74" spans="2:11" x14ac:dyDescent="0.25">
      <c r="H74" s="301">
        <v>46102</v>
      </c>
      <c r="I74" s="129" t="s">
        <v>175</v>
      </c>
      <c r="J74" s="71"/>
      <c r="K74" s="297">
        <f t="shared" si="7"/>
        <v>0</v>
      </c>
    </row>
    <row r="75" spans="2:11" x14ac:dyDescent="0.25">
      <c r="H75" s="301">
        <v>46102</v>
      </c>
      <c r="I75" s="129" t="s">
        <v>176</v>
      </c>
      <c r="J75" s="108">
        <v>173</v>
      </c>
      <c r="K75" s="297">
        <f t="shared" si="7"/>
        <v>259.5</v>
      </c>
    </row>
    <row r="76" spans="2:11" x14ac:dyDescent="0.25">
      <c r="H76" s="301">
        <v>46103</v>
      </c>
      <c r="I76" s="129" t="s">
        <v>175</v>
      </c>
      <c r="J76" s="71">
        <v>218</v>
      </c>
      <c r="K76" s="297">
        <f t="shared" si="7"/>
        <v>327</v>
      </c>
    </row>
    <row r="77" spans="2:11" x14ac:dyDescent="0.25">
      <c r="H77" s="301">
        <v>46103</v>
      </c>
      <c r="I77" s="129" t="s">
        <v>176</v>
      </c>
      <c r="J77" s="108">
        <v>230</v>
      </c>
      <c r="K77" s="297">
        <f t="shared" si="7"/>
        <v>345</v>
      </c>
    </row>
    <row r="78" spans="2:11" x14ac:dyDescent="0.25">
      <c r="H78" s="344"/>
      <c r="I78" s="345"/>
      <c r="J78" s="435">
        <f>+J74+J75+J76+J77</f>
        <v>621</v>
      </c>
      <c r="K78" s="436">
        <f t="shared" si="7"/>
        <v>931.5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28" workbookViewId="0">
      <selection activeCell="D25" sqref="D25:D26"/>
    </sheetView>
  </sheetViews>
  <sheetFormatPr baseColWidth="10" defaultColWidth="11.42578125" defaultRowHeight="15.75" x14ac:dyDescent="0.25"/>
  <cols>
    <col min="1" max="1" width="2.42578125" style="162" customWidth="1"/>
    <col min="2" max="2" width="44.140625" style="162" customWidth="1"/>
    <col min="3" max="3" width="13.28515625" style="162" customWidth="1"/>
    <col min="4" max="4" width="14.5703125" style="163" customWidth="1"/>
    <col min="5" max="5" width="11.85546875" style="162" bestFit="1" customWidth="1"/>
    <col min="6" max="6" width="11.42578125" style="162"/>
    <col min="7" max="7" width="11.85546875" style="162" bestFit="1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2026'!F6</f>
        <v>212218.80403018088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7073.9601343393624</v>
      </c>
    </row>
    <row r="4" spans="1:11" ht="19.5" customHeight="1" thickBot="1" x14ac:dyDescent="0.4">
      <c r="A4" s="164"/>
      <c r="B4" s="460"/>
      <c r="C4" s="460"/>
      <c r="D4" s="165">
        <f>D22</f>
        <v>4698.1059999999989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830</v>
      </c>
      <c r="D5" s="172">
        <v>35.340000000000003</v>
      </c>
      <c r="E5" s="80">
        <f t="shared" ref="E5:E22" si="0">+D5/$D$4</f>
        <v>7.5221802147503718E-3</v>
      </c>
      <c r="F5" s="58" t="s">
        <v>51</v>
      </c>
      <c r="G5" s="59">
        <v>46104</v>
      </c>
      <c r="H5" s="190">
        <v>6399</v>
      </c>
      <c r="I5" s="141">
        <v>6956.1920000000009</v>
      </c>
      <c r="J5" s="60">
        <f t="shared" ref="J5:J12" si="1">+I5/H5</f>
        <v>1.0870748554461636</v>
      </c>
    </row>
    <row r="6" spans="1:11" ht="15" customHeight="1" x14ac:dyDescent="0.25">
      <c r="A6" s="164"/>
      <c r="B6" s="169" t="s">
        <v>10</v>
      </c>
      <c r="C6" s="177">
        <v>12044</v>
      </c>
      <c r="D6" s="173">
        <v>513.60400000000004</v>
      </c>
      <c r="E6" s="80">
        <f t="shared" si="0"/>
        <v>0.10932150104744341</v>
      </c>
      <c r="F6" s="58" t="s">
        <v>52</v>
      </c>
      <c r="G6" s="59">
        <v>46105</v>
      </c>
      <c r="H6" s="190">
        <v>8396</v>
      </c>
      <c r="I6" s="141">
        <v>8616.8870000000024</v>
      </c>
      <c r="J6" s="60">
        <f t="shared" si="1"/>
        <v>1.0263085993330161</v>
      </c>
    </row>
    <row r="7" spans="1:11" ht="15" customHeight="1" x14ac:dyDescent="0.25">
      <c r="A7" s="164"/>
      <c r="B7" s="169" t="s">
        <v>35</v>
      </c>
      <c r="C7" s="177">
        <v>15750</v>
      </c>
      <c r="D7" s="173">
        <v>670.89</v>
      </c>
      <c r="E7" s="245">
        <f t="shared" si="0"/>
        <v>0.14280009859292236</v>
      </c>
      <c r="F7" s="58" t="s">
        <v>53</v>
      </c>
      <c r="G7" s="59">
        <v>46106</v>
      </c>
      <c r="H7" s="190">
        <v>8508</v>
      </c>
      <c r="I7" s="141">
        <v>8551.6360000000004</v>
      </c>
      <c r="J7" s="60">
        <f t="shared" si="1"/>
        <v>1.0051288199341797</v>
      </c>
    </row>
    <row r="8" spans="1:11" ht="15" customHeight="1" x14ac:dyDescent="0.25">
      <c r="A8" s="164"/>
      <c r="B8" s="169" t="s">
        <v>4</v>
      </c>
      <c r="C8" s="177">
        <v>3779</v>
      </c>
      <c r="D8" s="173">
        <v>161.38</v>
      </c>
      <c r="E8" s="80">
        <f t="shared" si="0"/>
        <v>3.4350012536967033E-2</v>
      </c>
      <c r="F8" s="58" t="s">
        <v>54</v>
      </c>
      <c r="G8" s="59">
        <v>46107</v>
      </c>
      <c r="H8" s="190">
        <v>8203</v>
      </c>
      <c r="I8" s="141">
        <v>8523.3870000000006</v>
      </c>
      <c r="J8" s="60">
        <f t="shared" si="1"/>
        <v>1.0390572961111788</v>
      </c>
    </row>
    <row r="9" spans="1:11" ht="15" customHeight="1" x14ac:dyDescent="0.25">
      <c r="A9" s="164"/>
      <c r="B9" s="169" t="s">
        <v>37</v>
      </c>
      <c r="C9" s="177">
        <v>13697</v>
      </c>
      <c r="D9" s="173">
        <v>585.09400000000005</v>
      </c>
      <c r="E9" s="245">
        <f t="shared" si="0"/>
        <v>0.12453827137999871</v>
      </c>
      <c r="F9" s="58" t="s">
        <v>55</v>
      </c>
      <c r="G9" s="59">
        <v>46108</v>
      </c>
      <c r="H9" s="190">
        <v>7815</v>
      </c>
      <c r="I9" s="141">
        <v>9682.42</v>
      </c>
      <c r="J9" s="60">
        <f t="shared" si="1"/>
        <v>1.2389532949456175</v>
      </c>
    </row>
    <row r="10" spans="1:11" ht="15" customHeight="1" x14ac:dyDescent="0.25">
      <c r="A10" s="164"/>
      <c r="B10" s="169" t="s">
        <v>38</v>
      </c>
      <c r="C10" s="177">
        <v>17894</v>
      </c>
      <c r="D10" s="173">
        <v>764.01</v>
      </c>
      <c r="E10" s="245">
        <f t="shared" si="0"/>
        <v>0.16262085189223066</v>
      </c>
      <c r="F10" s="58" t="s">
        <v>56</v>
      </c>
      <c r="G10" s="59">
        <v>46109</v>
      </c>
      <c r="H10" s="190">
        <v>7177</v>
      </c>
      <c r="I10" s="141">
        <v>8289.2999999999993</v>
      </c>
      <c r="J10" s="60">
        <f t="shared" si="1"/>
        <v>1.1549811899122195</v>
      </c>
    </row>
    <row r="11" spans="1:11" ht="15" customHeight="1" x14ac:dyDescent="0.25">
      <c r="A11" s="164"/>
      <c r="B11" s="169" t="s">
        <v>42</v>
      </c>
      <c r="C11" s="177">
        <v>15219</v>
      </c>
      <c r="D11" s="173">
        <v>649.36799999999994</v>
      </c>
      <c r="E11" s="80">
        <f t="shared" si="0"/>
        <v>0.13821910361324333</v>
      </c>
      <c r="F11" s="58" t="s">
        <v>57</v>
      </c>
      <c r="G11" s="59">
        <v>46110</v>
      </c>
      <c r="H11" s="190">
        <v>5075</v>
      </c>
      <c r="I11" s="141">
        <v>4698.1059999999989</v>
      </c>
      <c r="J11" s="60">
        <f t="shared" si="1"/>
        <v>0.92573517241379288</v>
      </c>
    </row>
    <row r="12" spans="1:11" ht="15" customHeight="1" x14ac:dyDescent="0.25">
      <c r="A12" s="164"/>
      <c r="B12" s="169" t="s">
        <v>196</v>
      </c>
      <c r="C12" s="177">
        <v>1296</v>
      </c>
      <c r="D12" s="173">
        <v>32.902000000000001</v>
      </c>
      <c r="E12" s="80">
        <f t="shared" si="0"/>
        <v>7.0032476917293923E-3</v>
      </c>
      <c r="H12" s="139">
        <f>+SUM(H5:H11)</f>
        <v>51573</v>
      </c>
      <c r="I12" s="142">
        <f>+SUM(I5:I11)</f>
        <v>55317.928</v>
      </c>
      <c r="J12" s="140">
        <f t="shared" si="1"/>
        <v>1.0726141197913637</v>
      </c>
    </row>
    <row r="13" spans="1:11" ht="15" customHeight="1" x14ac:dyDescent="0.25">
      <c r="A13" s="164"/>
      <c r="B13" s="169" t="s">
        <v>95</v>
      </c>
      <c r="C13" s="177">
        <v>6272</v>
      </c>
      <c r="D13" s="173">
        <v>157.69999999999999</v>
      </c>
      <c r="E13" s="80">
        <f t="shared" si="0"/>
        <v>3.3566718162595738E-2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85</v>
      </c>
      <c r="C14" s="177">
        <v>304</v>
      </c>
      <c r="D14" s="173">
        <v>458.26</v>
      </c>
      <c r="E14" s="245">
        <f t="shared" si="0"/>
        <v>9.7541434782442135E-2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49</v>
      </c>
      <c r="C15" s="177">
        <v>21</v>
      </c>
      <c r="D15" s="173">
        <v>31.58</v>
      </c>
      <c r="E15" s="80">
        <f t="shared" si="0"/>
        <v>6.7218577018057927E-3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41</v>
      </c>
      <c r="C16" s="177">
        <v>106</v>
      </c>
      <c r="D16" s="173">
        <v>159.29</v>
      </c>
      <c r="E16" s="80">
        <f t="shared" si="0"/>
        <v>3.3905152416739859E-2</v>
      </c>
      <c r="F16" s="112" t="s">
        <v>110</v>
      </c>
      <c r="G16" s="190">
        <v>199570.19199999989</v>
      </c>
      <c r="H16" s="190">
        <v>197224.22099999999</v>
      </c>
      <c r="I16" s="190">
        <f>+D23</f>
        <v>231718.64200000005</v>
      </c>
      <c r="J16" s="456">
        <f t="shared" si="2"/>
        <v>0.98824488278289624</v>
      </c>
      <c r="K16" s="456">
        <f t="shared" si="2"/>
        <v>1.1748995170324443</v>
      </c>
    </row>
    <row r="17" spans="1:11" ht="15" customHeight="1" x14ac:dyDescent="0.25">
      <c r="A17" s="164"/>
      <c r="B17" s="169" t="s">
        <v>88</v>
      </c>
      <c r="C17" s="177">
        <v>82</v>
      </c>
      <c r="D17" s="173">
        <v>124.148</v>
      </c>
      <c r="E17" s="80">
        <f t="shared" si="0"/>
        <v>2.642511684495838E-2</v>
      </c>
      <c r="F17" s="112" t="s">
        <v>111</v>
      </c>
      <c r="G17" s="190">
        <v>205343.72800000012</v>
      </c>
      <c r="H17" s="190">
        <v>198970.75799999986</v>
      </c>
      <c r="I17" s="190"/>
      <c r="J17" s="456">
        <f t="shared" si="2"/>
        <v>0.96896437956945902</v>
      </c>
      <c r="K17" s="456">
        <f t="shared" si="2"/>
        <v>0</v>
      </c>
    </row>
    <row r="18" spans="1:11" ht="15" customHeight="1" x14ac:dyDescent="0.25">
      <c r="A18" s="164"/>
      <c r="B18" s="169" t="s">
        <v>40</v>
      </c>
      <c r="C18" s="177"/>
      <c r="D18" s="173">
        <v>171.69</v>
      </c>
      <c r="E18" s="80">
        <f t="shared" si="0"/>
        <v>3.6544513895599637E-2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265</v>
      </c>
      <c r="C19" s="177"/>
      <c r="D19" s="173">
        <v>32.19</v>
      </c>
      <c r="E19" s="80">
        <f t="shared" si="0"/>
        <v>6.8516972584271203E-3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9</v>
      </c>
      <c r="C20" s="177"/>
      <c r="D20" s="173">
        <v>30.21</v>
      </c>
      <c r="E20" s="80">
        <f t="shared" si="0"/>
        <v>6.4302508287382206E-3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thickBot="1" x14ac:dyDescent="0.3">
      <c r="A21" s="164"/>
      <c r="B21" s="169" t="s">
        <v>46</v>
      </c>
      <c r="C21" s="177"/>
      <c r="D21" s="173">
        <v>120.45</v>
      </c>
      <c r="E21" s="80">
        <f t="shared" si="0"/>
        <v>2.5637991139408099E-2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thickBot="1" x14ac:dyDescent="0.3">
      <c r="A22" s="164"/>
      <c r="B22" s="178" t="s">
        <v>0</v>
      </c>
      <c r="C22" s="170"/>
      <c r="D22" s="171">
        <f>SUM(D5:D21)</f>
        <v>4698.1059999999989</v>
      </c>
      <c r="E22" s="80">
        <f t="shared" si="0"/>
        <v>1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6" t="s">
        <v>1</v>
      </c>
      <c r="C23" s="167"/>
      <c r="D23" s="233">
        <v>231718.64200000005</v>
      </c>
      <c r="E23" s="80"/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x14ac:dyDescent="0.25">
      <c r="D25" s="163">
        <f>+D14+'30.03'!D19</f>
        <v>492.88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D26" s="163">
        <f>77*1.5</f>
        <v>115.5</v>
      </c>
      <c r="E26" s="80"/>
      <c r="G26" s="68">
        <f>+SUM(G14:G25)</f>
        <v>2547596.0290000001</v>
      </c>
      <c r="H26" s="377">
        <f>+SUM(H14:H16)</f>
        <v>570727.63399999996</v>
      </c>
      <c r="I26" s="377">
        <f>+SUM(I14:I25)</f>
        <v>663066.24799999991</v>
      </c>
      <c r="J26" s="378"/>
      <c r="K26" s="378">
        <f>+I26/H26</f>
        <v>1.1617910339347612</v>
      </c>
    </row>
    <row r="27" spans="1:11" ht="19.5" thickBot="1" x14ac:dyDescent="0.3">
      <c r="E27" s="313">
        <f>+D23/J2</f>
        <v>1.1045582635598679</v>
      </c>
      <c r="G27" s="379" t="s">
        <v>229</v>
      </c>
      <c r="H27" s="380"/>
      <c r="I27" s="380">
        <v>2726927.1277059279</v>
      </c>
      <c r="J27" s="381">
        <f>+I26/H26</f>
        <v>1.1617910339347612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61">
        <v>29</v>
      </c>
      <c r="D29" s="108">
        <f>J3*C29</f>
        <v>196249.54096574863</v>
      </c>
      <c r="E29" s="314">
        <f>+D29/J2</f>
        <v>0.93548387096774199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+D23-D29</f>
        <v>35469.10103425142</v>
      </c>
      <c r="E30" s="99">
        <f>E27-E29</f>
        <v>0.16907439259212587</v>
      </c>
      <c r="H30" s="420" t="s">
        <v>278</v>
      </c>
      <c r="I30" s="421">
        <f>+I16/H16</f>
        <v>1.1748995170324443</v>
      </c>
      <c r="J30" s="422">
        <f>+I16-H16</f>
        <v>34494.42100000006</v>
      </c>
      <c r="K30" s="459">
        <f>+J30+J29+J28</f>
        <v>92338.614000000001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1699</v>
      </c>
      <c r="I32" s="88">
        <f>+H32*0.025</f>
        <v>42.475000000000001</v>
      </c>
      <c r="J32" s="224"/>
    </row>
    <row r="33" spans="1:11" x14ac:dyDescent="0.25">
      <c r="B33" s="162" t="s">
        <v>61</v>
      </c>
      <c r="C33" s="162">
        <v>762</v>
      </c>
      <c r="D33" s="108">
        <v>2142</v>
      </c>
      <c r="E33" s="57">
        <f>+C33/D33</f>
        <v>0.35574229691876752</v>
      </c>
      <c r="G33" s="86" t="s">
        <v>259</v>
      </c>
      <c r="H33" s="87">
        <v>1116</v>
      </c>
      <c r="I33" s="88">
        <f>+H33*0.025</f>
        <v>27.900000000000002</v>
      </c>
      <c r="J33" s="224"/>
      <c r="K33" s="68"/>
    </row>
    <row r="34" spans="1:11" ht="15" customHeight="1" x14ac:dyDescent="0.25">
      <c r="B34" s="162" t="s">
        <v>62</v>
      </c>
      <c r="C34" s="162">
        <v>1328</v>
      </c>
      <c r="D34" s="108">
        <v>1890</v>
      </c>
      <c r="E34" s="57">
        <f>+C34/D34</f>
        <v>0.70264550264550263</v>
      </c>
      <c r="G34" s="86" t="s">
        <v>171</v>
      </c>
      <c r="H34" s="87">
        <v>121</v>
      </c>
      <c r="I34" s="88">
        <f>+H34*0.025</f>
        <v>3.0250000000000004</v>
      </c>
      <c r="J34" s="297" t="s">
        <v>188</v>
      </c>
    </row>
    <row r="35" spans="1:11" x14ac:dyDescent="0.25">
      <c r="B35" s="162" t="s">
        <v>63</v>
      </c>
      <c r="C35" s="67">
        <v>971</v>
      </c>
      <c r="D35" s="108">
        <v>3006</v>
      </c>
      <c r="E35" s="57">
        <f>+C35/D35</f>
        <v>0.32302062541583498</v>
      </c>
      <c r="G35" s="89" t="s">
        <v>169</v>
      </c>
      <c r="H35" s="87">
        <v>121</v>
      </c>
      <c r="I35" s="88">
        <f>+H35*1.5</f>
        <v>181.5</v>
      </c>
      <c r="J35" s="298">
        <f>+I35+I32+I33</f>
        <v>251.875</v>
      </c>
    </row>
    <row r="36" spans="1:11" x14ac:dyDescent="0.25">
      <c r="C36" s="162">
        <f>+SUM(C33:C35)</f>
        <v>3061</v>
      </c>
      <c r="D36" s="110">
        <f>+SUM(D33:D35)</f>
        <v>7038</v>
      </c>
      <c r="E36" s="57">
        <f>+C36/D36</f>
        <v>0.43492469451548738</v>
      </c>
      <c r="G36" s="89" t="s">
        <v>168</v>
      </c>
      <c r="H36" s="87">
        <v>92</v>
      </c>
      <c r="I36" s="88">
        <f>+H36*1.5</f>
        <v>138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28</v>
      </c>
      <c r="C40" s="74">
        <v>0</v>
      </c>
      <c r="D40" s="74">
        <v>4</v>
      </c>
      <c r="E40" s="75">
        <f>+SUM(B40:D40)</f>
        <v>32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5.57</v>
      </c>
      <c r="C44" s="199">
        <v>2119</v>
      </c>
      <c r="D44" s="200">
        <v>3600</v>
      </c>
      <c r="E44" s="201">
        <f t="shared" si="3"/>
        <v>0.58861111111111108</v>
      </c>
      <c r="F44" s="201">
        <f t="shared" si="4"/>
        <v>0.23208333333333334</v>
      </c>
      <c r="G44" s="202">
        <v>12</v>
      </c>
      <c r="H44" s="71"/>
    </row>
    <row r="45" spans="1:11" x14ac:dyDescent="0.25">
      <c r="A45" s="207" t="s">
        <v>72</v>
      </c>
      <c r="B45" s="199">
        <v>5.85</v>
      </c>
      <c r="C45" s="199">
        <v>2651</v>
      </c>
      <c r="D45" s="200">
        <v>3900</v>
      </c>
      <c r="E45" s="201">
        <f t="shared" si="3"/>
        <v>0.67974358974358973</v>
      </c>
      <c r="F45" s="201">
        <f t="shared" si="4"/>
        <v>0.24374999999999999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13.05</v>
      </c>
      <c r="C46" s="199">
        <v>2517</v>
      </c>
      <c r="D46" s="200">
        <v>3900</v>
      </c>
      <c r="E46" s="201">
        <f t="shared" si="3"/>
        <v>0.64538461538461533</v>
      </c>
      <c r="F46" s="201">
        <f t="shared" si="4"/>
        <v>0.54375000000000007</v>
      </c>
      <c r="G46" s="202">
        <v>12</v>
      </c>
      <c r="H46" s="301">
        <v>46083</v>
      </c>
      <c r="I46" s="129" t="s">
        <v>175</v>
      </c>
      <c r="J46" s="162">
        <v>133</v>
      </c>
      <c r="K46" s="318">
        <f t="shared" ref="K46:K53" si="5">+J46*1.5</f>
        <v>199.5</v>
      </c>
    </row>
    <row r="47" spans="1:11" x14ac:dyDescent="0.25">
      <c r="A47" s="207" t="s">
        <v>74</v>
      </c>
      <c r="B47" s="199">
        <v>6.45</v>
      </c>
      <c r="C47" s="199">
        <v>2156</v>
      </c>
      <c r="D47" s="200">
        <v>3900</v>
      </c>
      <c r="E47" s="201">
        <f t="shared" si="3"/>
        <v>0.55282051282051281</v>
      </c>
      <c r="F47" s="201">
        <f t="shared" si="4"/>
        <v>0.26874999999999999</v>
      </c>
      <c r="G47" s="202">
        <v>12</v>
      </c>
      <c r="H47" s="301">
        <v>46083</v>
      </c>
      <c r="I47" s="129" t="s">
        <v>176</v>
      </c>
      <c r="J47" s="162">
        <v>42</v>
      </c>
      <c r="K47" s="318">
        <f t="shared" si="5"/>
        <v>63</v>
      </c>
    </row>
    <row r="48" spans="1:11" x14ac:dyDescent="0.25">
      <c r="A48" s="259" t="s">
        <v>75</v>
      </c>
      <c r="B48" s="260">
        <v>1.1399999999999999</v>
      </c>
      <c r="C48" s="261">
        <v>4300</v>
      </c>
      <c r="D48" s="262">
        <v>4300</v>
      </c>
      <c r="E48" s="263">
        <f t="shared" si="3"/>
        <v>1</v>
      </c>
      <c r="F48" s="201">
        <f t="shared" si="4"/>
        <v>4.7499999999999994E-2</v>
      </c>
      <c r="G48" s="202">
        <v>16</v>
      </c>
      <c r="H48" s="301">
        <v>46085</v>
      </c>
      <c r="I48" s="129" t="s">
        <v>175</v>
      </c>
      <c r="J48" s="162">
        <v>60</v>
      </c>
      <c r="K48" s="318">
        <f t="shared" si="5"/>
        <v>90</v>
      </c>
    </row>
    <row r="49" spans="2:11" x14ac:dyDescent="0.25">
      <c r="B49" s="113">
        <f>+SUM(B43:B48)</f>
        <v>32.059999999999995</v>
      </c>
      <c r="C49" s="71"/>
      <c r="D49" s="72"/>
      <c r="H49" s="301">
        <v>46085</v>
      </c>
      <c r="I49" s="129" t="s">
        <v>176</v>
      </c>
      <c r="J49" s="162">
        <v>104</v>
      </c>
      <c r="K49" s="318">
        <f t="shared" si="5"/>
        <v>156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46093</v>
      </c>
      <c r="I50" s="129" t="s">
        <v>176</v>
      </c>
      <c r="J50" s="162">
        <v>46</v>
      </c>
      <c r="K50" s="318">
        <f t="shared" si="5"/>
        <v>69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46098</v>
      </c>
      <c r="I51" s="129" t="s">
        <v>176</v>
      </c>
      <c r="J51" s="162">
        <v>40</v>
      </c>
      <c r="K51" s="318">
        <f t="shared" si="5"/>
        <v>60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46106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46106</v>
      </c>
      <c r="I53" s="129" t="s">
        <v>176</v>
      </c>
      <c r="J53" s="162">
        <v>48</v>
      </c>
      <c r="K53" s="318">
        <f t="shared" si="5"/>
        <v>72</v>
      </c>
    </row>
    <row r="54" spans="2:11" x14ac:dyDescent="0.25">
      <c r="C54" s="71">
        <v>4</v>
      </c>
      <c r="D54" s="108">
        <v>0</v>
      </c>
      <c r="H54" s="301">
        <v>46109</v>
      </c>
      <c r="I54" s="129" t="s">
        <v>175</v>
      </c>
      <c r="J54" s="162">
        <v>55</v>
      </c>
      <c r="K54" s="318">
        <f t="shared" ref="K54:K57" si="6">+J54*1.5</f>
        <v>82.5</v>
      </c>
    </row>
    <row r="55" spans="2:11" x14ac:dyDescent="0.25">
      <c r="C55" s="71">
        <v>5</v>
      </c>
      <c r="D55" s="108">
        <v>1</v>
      </c>
      <c r="H55" s="301">
        <v>46109</v>
      </c>
      <c r="I55" s="129" t="s">
        <v>176</v>
      </c>
      <c r="K55" s="318">
        <f t="shared" si="6"/>
        <v>0</v>
      </c>
    </row>
    <row r="56" spans="2:11" x14ac:dyDescent="0.25">
      <c r="C56" s="71">
        <v>6</v>
      </c>
      <c r="D56" s="108">
        <v>0</v>
      </c>
      <c r="F56" s="461" t="s">
        <v>271</v>
      </c>
      <c r="G56" s="461" t="s">
        <v>267</v>
      </c>
      <c r="H56" s="301">
        <v>46110</v>
      </c>
      <c r="I56" s="129" t="s">
        <v>175</v>
      </c>
      <c r="J56" s="162">
        <v>6</v>
      </c>
      <c r="K56" s="318">
        <f t="shared" si="6"/>
        <v>9</v>
      </c>
    </row>
    <row r="57" spans="2:11" x14ac:dyDescent="0.25">
      <c r="C57" s="71">
        <v>7</v>
      </c>
      <c r="D57" s="225">
        <v>0</v>
      </c>
      <c r="E57" s="225" t="s">
        <v>250</v>
      </c>
      <c r="F57" s="461">
        <v>1230</v>
      </c>
      <c r="G57" s="461">
        <v>784.3</v>
      </c>
      <c r="H57" s="301">
        <v>46110</v>
      </c>
      <c r="I57" s="129" t="s">
        <v>176</v>
      </c>
      <c r="J57" s="162">
        <v>42</v>
      </c>
      <c r="K57" s="318">
        <f t="shared" si="6"/>
        <v>63</v>
      </c>
    </row>
    <row r="58" spans="2:11" x14ac:dyDescent="0.25">
      <c r="C58" s="71">
        <v>8</v>
      </c>
      <c r="D58" s="108">
        <v>2</v>
      </c>
      <c r="F58" s="432">
        <f>+G57/F57</f>
        <v>0.63764227642276416</v>
      </c>
      <c r="G58" s="461" t="s">
        <v>269</v>
      </c>
    </row>
    <row r="59" spans="2:11" x14ac:dyDescent="0.25">
      <c r="F59" s="461"/>
      <c r="G59" s="461">
        <v>140</v>
      </c>
      <c r="H59" s="359" t="s">
        <v>224</v>
      </c>
      <c r="I59" s="345"/>
      <c r="J59" s="199">
        <f>+J54+J55+J56+J57</f>
        <v>103</v>
      </c>
      <c r="K59" s="346">
        <f>+J59*1.5</f>
        <v>154.5</v>
      </c>
    </row>
    <row r="60" spans="2:11" x14ac:dyDescent="0.25">
      <c r="B60" s="364" t="s">
        <v>231</v>
      </c>
      <c r="C60" s="199">
        <v>978</v>
      </c>
      <c r="D60" s="384" t="s">
        <v>92</v>
      </c>
      <c r="F60" s="432">
        <f>(G59+G57)/F57</f>
        <v>0.75146341463414634</v>
      </c>
      <c r="G60" s="461" t="s">
        <v>270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162" t="s">
        <v>177</v>
      </c>
      <c r="G62" s="215" t="s">
        <v>92</v>
      </c>
      <c r="H62" s="301"/>
      <c r="I62" s="129"/>
      <c r="K62" s="318"/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>
        <v>46082</v>
      </c>
      <c r="I63" s="129" t="s">
        <v>176</v>
      </c>
      <c r="J63" s="162">
        <v>11032</v>
      </c>
      <c r="K63" s="318">
        <f t="shared" ref="K63:K75" si="7">+J63*0.025</f>
        <v>275.8</v>
      </c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>
        <v>46090</v>
      </c>
      <c r="I64" s="129" t="s">
        <v>175</v>
      </c>
      <c r="J64" s="162">
        <v>1278</v>
      </c>
      <c r="K64" s="318">
        <f t="shared" si="7"/>
        <v>31.950000000000003</v>
      </c>
    </row>
    <row r="65" spans="2:11" x14ac:dyDescent="0.25">
      <c r="B65" s="66"/>
      <c r="C65" s="391"/>
      <c r="D65" s="301">
        <v>46089</v>
      </c>
      <c r="E65" s="129" t="s">
        <v>175</v>
      </c>
      <c r="F65" s="108">
        <v>55</v>
      </c>
      <c r="G65" s="297">
        <f t="shared" ref="G65:G73" si="8">+F65*1.5</f>
        <v>82.5</v>
      </c>
      <c r="H65" s="301">
        <v>46094</v>
      </c>
      <c r="I65" s="129" t="s">
        <v>175</v>
      </c>
      <c r="J65" s="162">
        <v>8756</v>
      </c>
      <c r="K65" s="318">
        <f t="shared" si="7"/>
        <v>218.9</v>
      </c>
    </row>
    <row r="66" spans="2:11" x14ac:dyDescent="0.25">
      <c r="C66" s="389"/>
      <c r="D66" s="301">
        <v>46089</v>
      </c>
      <c r="E66" s="129" t="s">
        <v>176</v>
      </c>
      <c r="F66" s="71">
        <v>162</v>
      </c>
      <c r="G66" s="297">
        <f t="shared" si="8"/>
        <v>243</v>
      </c>
      <c r="H66" s="301">
        <v>46099</v>
      </c>
      <c r="I66" s="129" t="s">
        <v>175</v>
      </c>
      <c r="J66" s="162">
        <v>3456</v>
      </c>
      <c r="K66" s="318">
        <f t="shared" si="7"/>
        <v>86.4</v>
      </c>
    </row>
    <row r="67" spans="2:11" x14ac:dyDescent="0.25">
      <c r="C67" s="389"/>
      <c r="D67" s="301">
        <v>46090</v>
      </c>
      <c r="E67" s="129" t="s">
        <v>175</v>
      </c>
      <c r="F67" s="108">
        <f>36+36+37</f>
        <v>109</v>
      </c>
      <c r="G67" s="297">
        <f t="shared" si="8"/>
        <v>163.5</v>
      </c>
      <c r="H67" s="301">
        <v>46099</v>
      </c>
      <c r="I67" s="129" t="s">
        <v>176</v>
      </c>
      <c r="J67" s="162">
        <v>7192</v>
      </c>
      <c r="K67" s="318">
        <f t="shared" si="7"/>
        <v>179.8</v>
      </c>
    </row>
    <row r="68" spans="2:11" x14ac:dyDescent="0.25">
      <c r="C68" s="389"/>
      <c r="D68" s="301">
        <v>46102</v>
      </c>
      <c r="E68" s="129" t="s">
        <v>175</v>
      </c>
      <c r="F68" s="71"/>
      <c r="G68" s="297">
        <f t="shared" si="8"/>
        <v>0</v>
      </c>
      <c r="H68" s="301">
        <v>46100</v>
      </c>
      <c r="I68" s="129" t="s">
        <v>175</v>
      </c>
      <c r="J68" s="162">
        <v>4721</v>
      </c>
      <c r="K68" s="318">
        <f t="shared" si="7"/>
        <v>118.02500000000001</v>
      </c>
    </row>
    <row r="69" spans="2:11" x14ac:dyDescent="0.25">
      <c r="C69" s="389"/>
      <c r="D69" s="301">
        <v>46102</v>
      </c>
      <c r="E69" s="129" t="s">
        <v>176</v>
      </c>
      <c r="F69" s="108">
        <v>173</v>
      </c>
      <c r="G69" s="297">
        <f t="shared" si="8"/>
        <v>259.5</v>
      </c>
      <c r="H69" s="301">
        <v>46100</v>
      </c>
      <c r="I69" s="129" t="s">
        <v>176</v>
      </c>
      <c r="K69" s="318">
        <f t="shared" si="7"/>
        <v>0</v>
      </c>
    </row>
    <row r="70" spans="2:11" x14ac:dyDescent="0.25">
      <c r="D70" s="301">
        <v>46103</v>
      </c>
      <c r="E70" s="129" t="s">
        <v>175</v>
      </c>
      <c r="F70" s="71">
        <v>218</v>
      </c>
      <c r="G70" s="297">
        <f t="shared" si="8"/>
        <v>327</v>
      </c>
      <c r="H70" s="301">
        <v>46103</v>
      </c>
      <c r="I70" s="129" t="s">
        <v>175</v>
      </c>
      <c r="J70" s="162">
        <v>1257</v>
      </c>
      <c r="K70" s="318">
        <f t="shared" si="7"/>
        <v>31.425000000000001</v>
      </c>
    </row>
    <row r="71" spans="2:11" x14ac:dyDescent="0.25">
      <c r="D71" s="301">
        <v>46103</v>
      </c>
      <c r="E71" s="129" t="s">
        <v>176</v>
      </c>
      <c r="F71" s="108">
        <v>230</v>
      </c>
      <c r="G71" s="297">
        <f t="shared" si="8"/>
        <v>345</v>
      </c>
      <c r="H71" s="301">
        <v>46103</v>
      </c>
      <c r="I71" s="129" t="s">
        <v>176</v>
      </c>
      <c r="J71" s="162">
        <v>2880</v>
      </c>
      <c r="K71" s="318">
        <f t="shared" si="7"/>
        <v>72</v>
      </c>
    </row>
    <row r="72" spans="2:11" x14ac:dyDescent="0.25">
      <c r="D72" s="301">
        <v>46110</v>
      </c>
      <c r="E72" s="129" t="s">
        <v>175</v>
      </c>
      <c r="F72" s="71">
        <v>177</v>
      </c>
      <c r="G72" s="297">
        <f t="shared" si="8"/>
        <v>265.5</v>
      </c>
      <c r="H72" s="301">
        <v>46109</v>
      </c>
      <c r="I72" s="129" t="s">
        <v>175</v>
      </c>
      <c r="J72" s="162">
        <v>8835</v>
      </c>
      <c r="K72" s="318">
        <f t="shared" si="7"/>
        <v>220.875</v>
      </c>
    </row>
    <row r="73" spans="2:11" x14ac:dyDescent="0.25">
      <c r="B73" s="162" t="s">
        <v>254</v>
      </c>
      <c r="C73" s="389">
        <v>0.8</v>
      </c>
      <c r="D73" s="301">
        <v>46110</v>
      </c>
      <c r="E73" s="129" t="s">
        <v>176</v>
      </c>
      <c r="F73" s="71">
        <v>201</v>
      </c>
      <c r="G73" s="297">
        <f t="shared" si="8"/>
        <v>301.5</v>
      </c>
      <c r="H73" s="301">
        <v>46109</v>
      </c>
      <c r="I73" s="129" t="s">
        <v>176</v>
      </c>
      <c r="K73" s="318">
        <f t="shared" si="7"/>
        <v>0</v>
      </c>
    </row>
    <row r="74" spans="2:11" x14ac:dyDescent="0.25">
      <c r="H74" s="301">
        <v>46110</v>
      </c>
      <c r="I74" s="129" t="s">
        <v>175</v>
      </c>
      <c r="K74" s="318">
        <f t="shared" si="7"/>
        <v>0</v>
      </c>
    </row>
    <row r="75" spans="2:11" x14ac:dyDescent="0.25">
      <c r="H75" s="301">
        <v>46110</v>
      </c>
      <c r="I75" s="129" t="s">
        <v>176</v>
      </c>
      <c r="K75" s="318">
        <f t="shared" si="7"/>
        <v>0</v>
      </c>
    </row>
    <row r="76" spans="2:11" x14ac:dyDescent="0.25">
      <c r="D76" s="344"/>
      <c r="E76" s="345"/>
      <c r="F76" s="435">
        <f>+F73+F72</f>
        <v>378</v>
      </c>
      <c r="G76" s="436">
        <f>+F76*1.5</f>
        <v>567</v>
      </c>
      <c r="H76" s="431" t="s">
        <v>275</v>
      </c>
      <c r="I76" s="345"/>
      <c r="J76" s="200">
        <f>+J75+J74+J73+J72</f>
        <v>8835</v>
      </c>
      <c r="K76" s="346">
        <f>+J76*0.025</f>
        <v>220.875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51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1.85546875" style="162" bestFit="1" customWidth="1"/>
    <col min="6" max="6" width="11.42578125" style="162"/>
    <col min="7" max="7" width="11.85546875" style="162" bestFit="1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2026'!F6</f>
        <v>212218.80403018088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7073.9601343393624</v>
      </c>
    </row>
    <row r="4" spans="1:11" ht="19.5" customHeight="1" thickBot="1" x14ac:dyDescent="0.4">
      <c r="A4" s="164"/>
      <c r="B4" s="462"/>
      <c r="C4" s="462"/>
      <c r="D4" s="165">
        <f>D25</f>
        <v>6224.6010000000006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5360</v>
      </c>
      <c r="D5" s="172">
        <v>228.5</v>
      </c>
      <c r="E5" s="80">
        <f t="shared" ref="E5:E24" si="0">+D5/$D$4</f>
        <v>3.6709180235006224E-2</v>
      </c>
      <c r="F5" s="58" t="s">
        <v>51</v>
      </c>
      <c r="G5" s="59">
        <v>46111</v>
      </c>
      <c r="H5" s="190">
        <v>6469</v>
      </c>
      <c r="I5" s="141">
        <v>6224.6010000000006</v>
      </c>
      <c r="J5" s="60">
        <f t="shared" ref="J5:J12" si="1">+I5/H5</f>
        <v>0.96221997217498845</v>
      </c>
    </row>
    <row r="6" spans="1:11" ht="15" customHeight="1" x14ac:dyDescent="0.25">
      <c r="A6" s="164"/>
      <c r="B6" s="169" t="s">
        <v>10</v>
      </c>
      <c r="C6" s="177">
        <v>9474</v>
      </c>
      <c r="D6" s="173">
        <v>404.57400000000007</v>
      </c>
      <c r="E6" s="80">
        <f t="shared" si="0"/>
        <v>6.4995973235874888E-2</v>
      </c>
      <c r="F6" s="58" t="s">
        <v>52</v>
      </c>
      <c r="G6" s="59">
        <v>46112</v>
      </c>
      <c r="H6" s="190">
        <v>8258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16097</v>
      </c>
      <c r="D7" s="173">
        <v>686.33899999999994</v>
      </c>
      <c r="E7" s="245">
        <f t="shared" si="0"/>
        <v>0.1102623284608925</v>
      </c>
      <c r="F7" s="58" t="s">
        <v>53</v>
      </c>
      <c r="G7" s="59">
        <v>46113</v>
      </c>
      <c r="H7" s="190">
        <v>9007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37</v>
      </c>
      <c r="C8" s="177">
        <v>30149</v>
      </c>
      <c r="D8" s="173">
        <v>1287.1700000000003</v>
      </c>
      <c r="E8" s="245">
        <f t="shared" si="0"/>
        <v>0.20678755152338282</v>
      </c>
      <c r="F8" s="58" t="s">
        <v>54</v>
      </c>
      <c r="G8" s="59">
        <v>46114</v>
      </c>
      <c r="H8" s="190">
        <v>4264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38</v>
      </c>
      <c r="C9" s="177">
        <v>24210</v>
      </c>
      <c r="D9" s="173">
        <v>1034.1200000000001</v>
      </c>
      <c r="E9" s="245">
        <f t="shared" si="0"/>
        <v>0.16613434339004218</v>
      </c>
      <c r="F9" s="58" t="s">
        <v>55</v>
      </c>
      <c r="G9" s="59">
        <v>46115</v>
      </c>
      <c r="H9" s="190">
        <v>2159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42</v>
      </c>
      <c r="C10" s="177">
        <v>11010</v>
      </c>
      <c r="D10" s="173">
        <v>469.96200000000005</v>
      </c>
      <c r="E10" s="80">
        <f t="shared" si="0"/>
        <v>7.5500742939185989E-2</v>
      </c>
      <c r="F10" s="58" t="s">
        <v>56</v>
      </c>
      <c r="G10" s="59">
        <v>46116</v>
      </c>
      <c r="H10" s="190">
        <v>7968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196</v>
      </c>
      <c r="C11" s="177">
        <v>9216</v>
      </c>
      <c r="D11" s="173">
        <v>232.96200000000002</v>
      </c>
      <c r="E11" s="80">
        <f t="shared" si="0"/>
        <v>3.7426013330011033E-2</v>
      </c>
      <c r="F11" s="58" t="s">
        <v>57</v>
      </c>
      <c r="G11" s="59">
        <v>46117</v>
      </c>
      <c r="H11" s="190">
        <v>5008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1272</v>
      </c>
      <c r="D12" s="173">
        <v>31.954000000000001</v>
      </c>
      <c r="E12" s="80">
        <f t="shared" si="0"/>
        <v>5.1335017296690981E-3</v>
      </c>
      <c r="H12" s="139">
        <f>+SUM(H5:H11)</f>
        <v>43133</v>
      </c>
      <c r="I12" s="142">
        <f>+SUM(I5:I11)</f>
        <v>6224.6010000000006</v>
      </c>
      <c r="J12" s="140">
        <f t="shared" si="1"/>
        <v>0.14431180302784413</v>
      </c>
    </row>
    <row r="13" spans="1:11" ht="15" customHeight="1" x14ac:dyDescent="0.25">
      <c r="A13" s="164"/>
      <c r="B13" s="169" t="s">
        <v>260</v>
      </c>
      <c r="C13" s="177">
        <v>5</v>
      </c>
      <c r="D13" s="173">
        <v>9.07</v>
      </c>
      <c r="E13" s="80">
        <f t="shared" si="0"/>
        <v>1.4571215086718007E-3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44</v>
      </c>
      <c r="C14" s="177">
        <v>22</v>
      </c>
      <c r="D14" s="173">
        <v>33.24</v>
      </c>
      <c r="E14" s="80">
        <f t="shared" si="0"/>
        <v>5.3401013173374487E-3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425</v>
      </c>
      <c r="D15" s="173">
        <v>641.76</v>
      </c>
      <c r="E15" s="245">
        <f t="shared" si="0"/>
        <v>0.10310058427841398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114</v>
      </c>
      <c r="D16" s="173">
        <v>172.46</v>
      </c>
      <c r="E16" s="80">
        <f t="shared" si="0"/>
        <v>2.770619353754562E-2</v>
      </c>
      <c r="F16" s="112" t="s">
        <v>110</v>
      </c>
      <c r="G16" s="190">
        <v>199570.19199999989</v>
      </c>
      <c r="H16" s="190">
        <v>197224.22099999999</v>
      </c>
      <c r="I16" s="190">
        <f>+D26</f>
        <v>237943.24300000005</v>
      </c>
      <c r="J16" s="456">
        <f t="shared" si="2"/>
        <v>0.98824488278289624</v>
      </c>
      <c r="K16" s="456">
        <f t="shared" si="2"/>
        <v>1.2064605543555427</v>
      </c>
    </row>
    <row r="17" spans="1:11" ht="15" customHeight="1" x14ac:dyDescent="0.25">
      <c r="A17" s="164"/>
      <c r="B17" s="169" t="s">
        <v>49</v>
      </c>
      <c r="C17" s="177">
        <v>84</v>
      </c>
      <c r="D17" s="173">
        <v>126.33999999999999</v>
      </c>
      <c r="E17" s="80">
        <f t="shared" si="0"/>
        <v>2.029688328617368E-2</v>
      </c>
      <c r="F17" s="112" t="s">
        <v>111</v>
      </c>
      <c r="G17" s="190">
        <v>205343.72800000012</v>
      </c>
      <c r="H17" s="190">
        <v>198970.75799999986</v>
      </c>
      <c r="I17" s="190"/>
      <c r="J17" s="456">
        <f t="shared" si="2"/>
        <v>0.96896437956945902</v>
      </c>
      <c r="K17" s="456">
        <f t="shared" si="2"/>
        <v>0</v>
      </c>
    </row>
    <row r="18" spans="1:11" ht="15" customHeight="1" x14ac:dyDescent="0.25">
      <c r="A18" s="164"/>
      <c r="B18" s="169" t="s">
        <v>41</v>
      </c>
      <c r="C18" s="177">
        <v>130</v>
      </c>
      <c r="D18" s="173">
        <v>195.81</v>
      </c>
      <c r="E18" s="80">
        <f t="shared" si="0"/>
        <v>3.1457437994820869E-2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85</v>
      </c>
      <c r="C19" s="177">
        <v>23</v>
      </c>
      <c r="D19" s="173">
        <v>34.619999999999997</v>
      </c>
      <c r="E19" s="80">
        <f t="shared" si="0"/>
        <v>5.5618022745554281E-3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88</v>
      </c>
      <c r="C20" s="177">
        <v>20</v>
      </c>
      <c r="D20" s="173">
        <v>30.87</v>
      </c>
      <c r="E20" s="80">
        <f t="shared" si="0"/>
        <v>4.9593540212456988E-3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391.53</v>
      </c>
      <c r="E21" s="80">
        <f t="shared" si="0"/>
        <v>6.2900417231562297E-2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32.01</v>
      </c>
      <c r="E22" s="80">
        <f t="shared" si="0"/>
        <v>5.1424982902518561E-3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90.78</v>
      </c>
      <c r="E23" s="80">
        <f t="shared" si="0"/>
        <v>1.4584067316121947E-2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90.53</v>
      </c>
      <c r="E24" s="80">
        <f t="shared" si="0"/>
        <v>1.4543904099234633E-2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thickBot="1" x14ac:dyDescent="0.3">
      <c r="A25" s="164"/>
      <c r="B25" s="178" t="s">
        <v>0</v>
      </c>
      <c r="C25" s="170"/>
      <c r="D25" s="171">
        <f>SUM(D5:D24)</f>
        <v>6224.6010000000006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A26" s="164"/>
      <c r="B26" s="166" t="s">
        <v>1</v>
      </c>
      <c r="C26" s="167"/>
      <c r="D26" s="233">
        <v>237943.24300000005</v>
      </c>
      <c r="E26" s="80"/>
      <c r="G26" s="68">
        <f>+SUM(G14:G25)</f>
        <v>2547596.0290000001</v>
      </c>
      <c r="H26" s="377">
        <f>+SUM(H14:H16)</f>
        <v>570727.63399999996</v>
      </c>
      <c r="I26" s="377">
        <f>+SUM(I14:I25)</f>
        <v>669290.84899999993</v>
      </c>
      <c r="J26" s="378"/>
      <c r="K26" s="378">
        <f>+I26/H26</f>
        <v>1.1726974639535326</v>
      </c>
    </row>
    <row r="27" spans="1:11" ht="19.5" thickBot="1" x14ac:dyDescent="0.3">
      <c r="E27" s="313">
        <f>+D26/J2</f>
        <v>1.1342297410576214</v>
      </c>
      <c r="G27" s="379" t="s">
        <v>229</v>
      </c>
      <c r="H27" s="380"/>
      <c r="I27" s="380">
        <v>2726927.1277059279</v>
      </c>
      <c r="J27" s="381">
        <f>+I26/H26</f>
        <v>1.1726974639535326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63">
        <v>30</v>
      </c>
      <c r="D29" s="108">
        <f>J3*C29</f>
        <v>203016.76651629168</v>
      </c>
      <c r="E29" s="314">
        <f>+D29/J2</f>
        <v>0.967741935483871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5" customHeight="1" thickBot="1" x14ac:dyDescent="0.3">
      <c r="D30" s="183">
        <f>+D26-D29</f>
        <v>34926.476483708364</v>
      </c>
      <c r="E30" s="99">
        <f>E27-E29</f>
        <v>0.16648780557375042</v>
      </c>
      <c r="H30" s="420" t="s">
        <v>278</v>
      </c>
      <c r="I30" s="421">
        <f>+I16/H16</f>
        <v>1.2064605543555427</v>
      </c>
      <c r="J30" s="422">
        <f>+I16-H16</f>
        <v>40719.022000000055</v>
      </c>
      <c r="K30" s="459">
        <f>+J30+J29+J28</f>
        <v>98563.214999999997</v>
      </c>
    </row>
    <row r="31" spans="1:1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1237</v>
      </c>
      <c r="I32" s="88">
        <f>+H32*0.025</f>
        <v>30.925000000000001</v>
      </c>
      <c r="J32" s="224"/>
    </row>
    <row r="33" spans="1:11" ht="15" customHeight="1" x14ac:dyDescent="0.25">
      <c r="B33" s="162" t="s">
        <v>61</v>
      </c>
      <c r="C33" s="162">
        <v>762</v>
      </c>
      <c r="D33" s="108">
        <v>2142</v>
      </c>
      <c r="E33" s="57">
        <f>+C33/D33</f>
        <v>0.35574229691876752</v>
      </c>
      <c r="G33" s="86" t="s">
        <v>259</v>
      </c>
      <c r="H33" s="87">
        <v>720</v>
      </c>
      <c r="I33" s="88">
        <f>+H33*0.025</f>
        <v>18</v>
      </c>
      <c r="J33" s="224"/>
      <c r="K33" s="68"/>
    </row>
    <row r="34" spans="1:11" x14ac:dyDescent="0.25">
      <c r="B34" s="162" t="s">
        <v>62</v>
      </c>
      <c r="C34" s="162">
        <v>851</v>
      </c>
      <c r="D34" s="108">
        <v>1890</v>
      </c>
      <c r="E34" s="57">
        <f>+C34/D34</f>
        <v>0.45026455026455026</v>
      </c>
      <c r="G34" s="86" t="s">
        <v>171</v>
      </c>
      <c r="H34" s="87">
        <v>121</v>
      </c>
      <c r="I34" s="88">
        <f>+H34*0.025</f>
        <v>3.0250000000000004</v>
      </c>
      <c r="J34" s="297" t="s">
        <v>188</v>
      </c>
    </row>
    <row r="35" spans="1:11" x14ac:dyDescent="0.25">
      <c r="B35" s="162" t="s">
        <v>63</v>
      </c>
      <c r="C35" s="67">
        <v>767</v>
      </c>
      <c r="D35" s="108">
        <v>3006</v>
      </c>
      <c r="E35" s="57">
        <f>+C35/D35</f>
        <v>0.25515635395874919</v>
      </c>
      <c r="G35" s="89" t="s">
        <v>169</v>
      </c>
      <c r="H35" s="87">
        <v>68</v>
      </c>
      <c r="I35" s="88">
        <f>+H35*1.5</f>
        <v>102</v>
      </c>
      <c r="J35" s="298">
        <f>+I35+I32+I33</f>
        <v>150.92500000000001</v>
      </c>
    </row>
    <row r="36" spans="1:11" ht="15" customHeight="1" x14ac:dyDescent="0.25">
      <c r="C36" s="162">
        <f>+SUM(C33:C35)</f>
        <v>2380</v>
      </c>
      <c r="D36" s="110">
        <f>+SUM(D33:D35)</f>
        <v>7038</v>
      </c>
      <c r="E36" s="57">
        <f>+C36/D36</f>
        <v>0.33816425120772947</v>
      </c>
      <c r="G36" s="89" t="s">
        <v>168</v>
      </c>
      <c r="H36" s="87">
        <v>77</v>
      </c>
      <c r="I36" s="88">
        <f>+H36*1.5</f>
        <v>115.5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ht="15" customHeight="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81</v>
      </c>
      <c r="C40" s="74">
        <v>5</v>
      </c>
      <c r="D40" s="74">
        <v>30</v>
      </c>
      <c r="E40" s="75">
        <f>+SUM(B40:D40)</f>
        <v>116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7.5</v>
      </c>
      <c r="C44" s="199">
        <v>2199</v>
      </c>
      <c r="D44" s="200">
        <v>3600</v>
      </c>
      <c r="E44" s="201">
        <f t="shared" si="3"/>
        <v>0.61083333333333334</v>
      </c>
      <c r="F44" s="201">
        <f t="shared" si="4"/>
        <v>0.3125</v>
      </c>
      <c r="G44" s="202">
        <v>12</v>
      </c>
      <c r="H44" s="71"/>
    </row>
    <row r="45" spans="1:11" x14ac:dyDescent="0.25">
      <c r="A45" s="207" t="s">
        <v>72</v>
      </c>
      <c r="B45" s="199">
        <v>8.39</v>
      </c>
      <c r="C45" s="199">
        <v>1259</v>
      </c>
      <c r="D45" s="200">
        <v>3900</v>
      </c>
      <c r="E45" s="201">
        <f t="shared" si="3"/>
        <v>0.32282051282051283</v>
      </c>
      <c r="F45" s="201">
        <f t="shared" si="4"/>
        <v>0.34958333333333336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11.61</v>
      </c>
      <c r="C46" s="199">
        <v>1955</v>
      </c>
      <c r="D46" s="200">
        <v>3900</v>
      </c>
      <c r="E46" s="201">
        <f t="shared" si="3"/>
        <v>0.50128205128205128</v>
      </c>
      <c r="F46" s="201">
        <f t="shared" si="4"/>
        <v>0.48374999999999996</v>
      </c>
      <c r="G46" s="202">
        <v>12</v>
      </c>
      <c r="H46" s="301">
        <v>46083</v>
      </c>
      <c r="I46" s="129" t="s">
        <v>175</v>
      </c>
      <c r="J46" s="162">
        <v>133</v>
      </c>
      <c r="K46" s="318">
        <f t="shared" ref="K46:K57" si="5">+J46*1.5</f>
        <v>199.5</v>
      </c>
    </row>
    <row r="47" spans="1:11" x14ac:dyDescent="0.25">
      <c r="A47" s="207" t="s">
        <v>74</v>
      </c>
      <c r="B47" s="199">
        <v>12.29</v>
      </c>
      <c r="C47" s="199">
        <v>2280</v>
      </c>
      <c r="D47" s="200">
        <v>3900</v>
      </c>
      <c r="E47" s="201">
        <f t="shared" si="3"/>
        <v>0.58461538461538465</v>
      </c>
      <c r="F47" s="201">
        <f t="shared" si="4"/>
        <v>0.51208333333333333</v>
      </c>
      <c r="G47" s="202">
        <v>12</v>
      </c>
      <c r="H47" s="301">
        <v>46083</v>
      </c>
      <c r="I47" s="129" t="s">
        <v>176</v>
      </c>
      <c r="J47" s="162">
        <v>42</v>
      </c>
      <c r="K47" s="318">
        <f t="shared" si="5"/>
        <v>63</v>
      </c>
    </row>
    <row r="48" spans="1:11" x14ac:dyDescent="0.25">
      <c r="A48" s="259" t="s">
        <v>75</v>
      </c>
      <c r="B48" s="260">
        <v>0.96</v>
      </c>
      <c r="C48" s="261">
        <v>2503</v>
      </c>
      <c r="D48" s="262">
        <v>4300</v>
      </c>
      <c r="E48" s="263">
        <f t="shared" si="3"/>
        <v>0.58209302325581391</v>
      </c>
      <c r="F48" s="201">
        <f t="shared" si="4"/>
        <v>0.04</v>
      </c>
      <c r="G48" s="202">
        <v>16</v>
      </c>
      <c r="H48" s="301">
        <v>46085</v>
      </c>
      <c r="I48" s="129" t="s">
        <v>175</v>
      </c>
      <c r="J48" s="162">
        <v>60</v>
      </c>
      <c r="K48" s="318">
        <f t="shared" si="5"/>
        <v>90</v>
      </c>
    </row>
    <row r="49" spans="2:11" x14ac:dyDescent="0.25">
      <c r="B49" s="113">
        <f>+SUM(B43:B48)</f>
        <v>40.75</v>
      </c>
      <c r="C49" s="71"/>
      <c r="D49" s="72"/>
      <c r="H49" s="301">
        <v>46085</v>
      </c>
      <c r="I49" s="129" t="s">
        <v>176</v>
      </c>
      <c r="J49" s="162">
        <v>104</v>
      </c>
      <c r="K49" s="318">
        <f t="shared" si="5"/>
        <v>156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46093</v>
      </c>
      <c r="I50" s="129" t="s">
        <v>176</v>
      </c>
      <c r="J50" s="162">
        <v>46</v>
      </c>
      <c r="K50" s="318">
        <f t="shared" si="5"/>
        <v>69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46098</v>
      </c>
      <c r="I51" s="129" t="s">
        <v>176</v>
      </c>
      <c r="J51" s="162">
        <v>40</v>
      </c>
      <c r="K51" s="318">
        <f t="shared" si="5"/>
        <v>60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46106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46106</v>
      </c>
      <c r="I53" s="129" t="s">
        <v>176</v>
      </c>
      <c r="J53" s="162">
        <v>48</v>
      </c>
      <c r="K53" s="318">
        <f t="shared" si="5"/>
        <v>72</v>
      </c>
    </row>
    <row r="54" spans="2:11" x14ac:dyDescent="0.25">
      <c r="C54" s="71">
        <v>4</v>
      </c>
      <c r="D54" s="108">
        <v>0</v>
      </c>
      <c r="H54" s="301">
        <v>46109</v>
      </c>
      <c r="I54" s="129" t="s">
        <v>175</v>
      </c>
      <c r="J54" s="162">
        <v>55</v>
      </c>
      <c r="K54" s="318">
        <f t="shared" si="5"/>
        <v>82.5</v>
      </c>
    </row>
    <row r="55" spans="2:11" x14ac:dyDescent="0.25">
      <c r="C55" s="71">
        <v>5</v>
      </c>
      <c r="D55" s="108">
        <v>4</v>
      </c>
      <c r="H55" s="301">
        <v>46109</v>
      </c>
      <c r="I55" s="129" t="s">
        <v>176</v>
      </c>
      <c r="K55" s="318">
        <f t="shared" si="5"/>
        <v>0</v>
      </c>
    </row>
    <row r="56" spans="2:11" x14ac:dyDescent="0.25">
      <c r="C56" s="71">
        <v>6</v>
      </c>
      <c r="D56" s="108">
        <v>0</v>
      </c>
      <c r="F56" s="463" t="s">
        <v>271</v>
      </c>
      <c r="G56" s="463" t="s">
        <v>267</v>
      </c>
      <c r="H56" s="301">
        <v>46110</v>
      </c>
      <c r="I56" s="129" t="s">
        <v>175</v>
      </c>
      <c r="J56" s="162">
        <v>6</v>
      </c>
      <c r="K56" s="318">
        <f t="shared" si="5"/>
        <v>9</v>
      </c>
    </row>
    <row r="57" spans="2:11" x14ac:dyDescent="0.25">
      <c r="C57" s="71">
        <v>7</v>
      </c>
      <c r="D57" s="225">
        <v>0</v>
      </c>
      <c r="E57" s="225" t="s">
        <v>250</v>
      </c>
      <c r="F57" s="463">
        <v>1230</v>
      </c>
      <c r="G57" s="463">
        <v>784.3</v>
      </c>
      <c r="H57" s="301">
        <v>46110</v>
      </c>
      <c r="I57" s="129" t="s">
        <v>176</v>
      </c>
      <c r="J57" s="162">
        <v>42</v>
      </c>
      <c r="K57" s="318">
        <f t="shared" si="5"/>
        <v>63</v>
      </c>
    </row>
    <row r="58" spans="2:11" x14ac:dyDescent="0.25">
      <c r="C58" s="71">
        <v>8</v>
      </c>
      <c r="D58" s="108">
        <v>4</v>
      </c>
      <c r="F58" s="432">
        <f>+G57/F57</f>
        <v>0.63764227642276416</v>
      </c>
      <c r="G58" s="463" t="s">
        <v>269</v>
      </c>
    </row>
    <row r="59" spans="2:11" x14ac:dyDescent="0.25">
      <c r="F59" s="463"/>
      <c r="G59" s="463">
        <v>140</v>
      </c>
      <c r="H59" s="359" t="s">
        <v>224</v>
      </c>
      <c r="I59" s="345"/>
      <c r="J59" s="199">
        <f>+J54+J55+J56+J57</f>
        <v>103</v>
      </c>
      <c r="K59" s="346">
        <f>+J59*1.5</f>
        <v>154.5</v>
      </c>
    </row>
    <row r="60" spans="2:11" x14ac:dyDescent="0.25">
      <c r="B60" s="364" t="s">
        <v>231</v>
      </c>
      <c r="C60" s="199">
        <v>2046</v>
      </c>
      <c r="D60" s="384" t="s">
        <v>92</v>
      </c>
      <c r="F60" s="432">
        <f>(G59+G57)/F57</f>
        <v>0.75146341463414634</v>
      </c>
      <c r="G60" s="463" t="s">
        <v>270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162" t="s">
        <v>177</v>
      </c>
      <c r="G62" s="215" t="s">
        <v>92</v>
      </c>
      <c r="H62" s="301"/>
      <c r="I62" s="129"/>
      <c r="K62" s="318"/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>
        <v>46082</v>
      </c>
      <c r="I63" s="129" t="s">
        <v>176</v>
      </c>
      <c r="J63" s="162">
        <v>11032</v>
      </c>
      <c r="K63" s="318">
        <f t="shared" ref="K63:K75" si="6">+J63*0.025</f>
        <v>275.8</v>
      </c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>
        <v>46090</v>
      </c>
      <c r="I64" s="129" t="s">
        <v>175</v>
      </c>
      <c r="J64" s="162">
        <v>1278</v>
      </c>
      <c r="K64" s="318">
        <f t="shared" si="6"/>
        <v>31.950000000000003</v>
      </c>
    </row>
    <row r="65" spans="2:11" x14ac:dyDescent="0.25">
      <c r="B65" s="66"/>
      <c r="C65" s="391"/>
      <c r="D65" s="301">
        <v>46089</v>
      </c>
      <c r="E65" s="129" t="s">
        <v>175</v>
      </c>
      <c r="F65" s="108">
        <v>55</v>
      </c>
      <c r="G65" s="297">
        <f t="shared" ref="G65:G73" si="7">+F65*1.5</f>
        <v>82.5</v>
      </c>
      <c r="H65" s="301">
        <v>46094</v>
      </c>
      <c r="I65" s="129" t="s">
        <v>175</v>
      </c>
      <c r="J65" s="162">
        <v>8756</v>
      </c>
      <c r="K65" s="318">
        <f t="shared" si="6"/>
        <v>218.9</v>
      </c>
    </row>
    <row r="66" spans="2:11" x14ac:dyDescent="0.25">
      <c r="C66" s="389"/>
      <c r="D66" s="301">
        <v>46089</v>
      </c>
      <c r="E66" s="129" t="s">
        <v>176</v>
      </c>
      <c r="F66" s="71">
        <v>162</v>
      </c>
      <c r="G66" s="297">
        <f t="shared" si="7"/>
        <v>243</v>
      </c>
      <c r="H66" s="301">
        <v>46099</v>
      </c>
      <c r="I66" s="129" t="s">
        <v>175</v>
      </c>
      <c r="J66" s="162">
        <v>3456</v>
      </c>
      <c r="K66" s="318">
        <f t="shared" si="6"/>
        <v>86.4</v>
      </c>
    </row>
    <row r="67" spans="2:11" x14ac:dyDescent="0.25">
      <c r="B67" s="71"/>
      <c r="C67" s="467" t="s">
        <v>80</v>
      </c>
      <c r="D67" s="301">
        <v>46090</v>
      </c>
      <c r="E67" s="129" t="s">
        <v>175</v>
      </c>
      <c r="F67" s="108">
        <f>36+36+37</f>
        <v>109</v>
      </c>
      <c r="G67" s="297">
        <f t="shared" si="7"/>
        <v>163.5</v>
      </c>
      <c r="H67" s="301">
        <v>46099</v>
      </c>
      <c r="I67" s="129" t="s">
        <v>176</v>
      </c>
      <c r="J67" s="162">
        <v>7192</v>
      </c>
      <c r="K67" s="318">
        <f t="shared" si="6"/>
        <v>179.8</v>
      </c>
    </row>
    <row r="68" spans="2:11" x14ac:dyDescent="0.25">
      <c r="B68" s="71" t="s">
        <v>254</v>
      </c>
      <c r="C68" s="466">
        <v>0.8</v>
      </c>
      <c r="D68" s="301">
        <v>46102</v>
      </c>
      <c r="E68" s="129" t="s">
        <v>175</v>
      </c>
      <c r="F68" s="71"/>
      <c r="G68" s="297">
        <f t="shared" si="7"/>
        <v>0</v>
      </c>
      <c r="H68" s="301">
        <v>46100</v>
      </c>
      <c r="I68" s="129" t="s">
        <v>175</v>
      </c>
      <c r="J68" s="162">
        <v>4721</v>
      </c>
      <c r="K68" s="318">
        <f t="shared" si="6"/>
        <v>118.02500000000001</v>
      </c>
    </row>
    <row r="69" spans="2:11" x14ac:dyDescent="0.25">
      <c r="B69" s="71" t="s">
        <v>279</v>
      </c>
      <c r="C69" s="466"/>
      <c r="D69" s="301">
        <v>46102</v>
      </c>
      <c r="E69" s="129" t="s">
        <v>176</v>
      </c>
      <c r="F69" s="108">
        <v>173</v>
      </c>
      <c r="G69" s="297">
        <f t="shared" si="7"/>
        <v>259.5</v>
      </c>
      <c r="H69" s="301">
        <v>46100</v>
      </c>
      <c r="I69" s="129" t="s">
        <v>176</v>
      </c>
      <c r="K69" s="318">
        <f t="shared" si="6"/>
        <v>0</v>
      </c>
    </row>
    <row r="70" spans="2:11" x14ac:dyDescent="0.25">
      <c r="B70" s="71" t="s">
        <v>280</v>
      </c>
      <c r="C70" s="71"/>
      <c r="D70" s="301">
        <v>46103</v>
      </c>
      <c r="E70" s="129" t="s">
        <v>175</v>
      </c>
      <c r="F70" s="71">
        <v>218</v>
      </c>
      <c r="G70" s="297">
        <f t="shared" si="7"/>
        <v>327</v>
      </c>
      <c r="H70" s="301">
        <v>46103</v>
      </c>
      <c r="I70" s="129" t="s">
        <v>175</v>
      </c>
      <c r="J70" s="162">
        <v>1257</v>
      </c>
      <c r="K70" s="318">
        <f t="shared" si="6"/>
        <v>31.425000000000001</v>
      </c>
    </row>
    <row r="71" spans="2:11" x14ac:dyDescent="0.25">
      <c r="B71" s="71" t="s">
        <v>281</v>
      </c>
      <c r="C71" s="71"/>
      <c r="D71" s="301">
        <v>46103</v>
      </c>
      <c r="E71" s="129" t="s">
        <v>176</v>
      </c>
      <c r="F71" s="108">
        <v>230</v>
      </c>
      <c r="G71" s="297">
        <f t="shared" si="7"/>
        <v>345</v>
      </c>
      <c r="H71" s="301">
        <v>46103</v>
      </c>
      <c r="I71" s="129" t="s">
        <v>176</v>
      </c>
      <c r="J71" s="162">
        <v>2880</v>
      </c>
      <c r="K71" s="318">
        <f t="shared" si="6"/>
        <v>72</v>
      </c>
    </row>
    <row r="72" spans="2:11" x14ac:dyDescent="0.25">
      <c r="B72" s="71" t="s">
        <v>282</v>
      </c>
      <c r="C72" s="71"/>
      <c r="D72" s="301">
        <v>46110</v>
      </c>
      <c r="E72" s="129" t="s">
        <v>175</v>
      </c>
      <c r="F72" s="71">
        <v>177</v>
      </c>
      <c r="G72" s="297">
        <f t="shared" si="7"/>
        <v>265.5</v>
      </c>
      <c r="H72" s="301">
        <v>46109</v>
      </c>
      <c r="I72" s="129" t="s">
        <v>175</v>
      </c>
      <c r="J72" s="162">
        <v>8835</v>
      </c>
      <c r="K72" s="318">
        <f t="shared" si="6"/>
        <v>220.875</v>
      </c>
    </row>
    <row r="73" spans="2:11" x14ac:dyDescent="0.25">
      <c r="B73" s="71" t="s">
        <v>283</v>
      </c>
      <c r="C73" s="71"/>
      <c r="D73" s="301">
        <v>46110</v>
      </c>
      <c r="E73" s="129" t="s">
        <v>176</v>
      </c>
      <c r="F73" s="71">
        <v>201</v>
      </c>
      <c r="G73" s="297">
        <f t="shared" si="7"/>
        <v>301.5</v>
      </c>
      <c r="H73" s="301">
        <v>46109</v>
      </c>
      <c r="I73" s="129" t="s">
        <v>176</v>
      </c>
      <c r="K73" s="318">
        <f t="shared" si="6"/>
        <v>0</v>
      </c>
    </row>
    <row r="74" spans="2:11" x14ac:dyDescent="0.25">
      <c r="H74" s="301">
        <v>46110</v>
      </c>
      <c r="I74" s="129" t="s">
        <v>175</v>
      </c>
      <c r="K74" s="318">
        <f t="shared" si="6"/>
        <v>0</v>
      </c>
    </row>
    <row r="75" spans="2:11" x14ac:dyDescent="0.25">
      <c r="H75" s="301">
        <v>46110</v>
      </c>
      <c r="I75" s="129" t="s">
        <v>176</v>
      </c>
      <c r="K75" s="318">
        <f t="shared" si="6"/>
        <v>0</v>
      </c>
    </row>
    <row r="76" spans="2:11" x14ac:dyDescent="0.25">
      <c r="D76" s="344"/>
      <c r="E76" s="345"/>
      <c r="F76" s="435">
        <v>406</v>
      </c>
      <c r="G76" s="436">
        <f>+F76*1.5</f>
        <v>609</v>
      </c>
      <c r="H76" s="431" t="s">
        <v>275</v>
      </c>
      <c r="I76" s="345"/>
      <c r="J76" s="200">
        <f>+J75+J74+J73+J72</f>
        <v>8835</v>
      </c>
      <c r="K76" s="346">
        <f>+J76*0.025</f>
        <v>220.875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11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11.85546875" style="162" bestFit="1" customWidth="1"/>
    <col min="6" max="6" width="11.42578125" style="162"/>
    <col min="7" max="7" width="11.85546875" style="162" bestFit="1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64"/>
      <c r="C4" s="464"/>
      <c r="D4" s="165">
        <f>D21</f>
        <v>8759.7870000000003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5443</v>
      </c>
      <c r="D5" s="172">
        <v>232.52</v>
      </c>
      <c r="E5" s="80">
        <f t="shared" ref="E5:E21" si="0">+D5/$D$4</f>
        <v>2.6544024415205529E-2</v>
      </c>
      <c r="F5" s="58" t="s">
        <v>51</v>
      </c>
      <c r="G5" s="59">
        <v>46111</v>
      </c>
      <c r="H5" s="190">
        <v>6469</v>
      </c>
      <c r="I5" s="141">
        <v>6224.6010000000006</v>
      </c>
      <c r="J5" s="60">
        <f t="shared" ref="J5:J12" si="1">+I5/H5</f>
        <v>0.96221997217498845</v>
      </c>
    </row>
    <row r="6" spans="1:11" ht="15" customHeight="1" x14ac:dyDescent="0.25">
      <c r="A6" s="164"/>
      <c r="B6" s="169" t="s">
        <v>10</v>
      </c>
      <c r="C6" s="177">
        <v>12560</v>
      </c>
      <c r="D6" s="173">
        <v>536.01600000000008</v>
      </c>
      <c r="E6" s="80">
        <f t="shared" si="0"/>
        <v>6.1190528947792915E-2</v>
      </c>
      <c r="F6" s="58" t="s">
        <v>52</v>
      </c>
      <c r="G6" s="59">
        <v>46112</v>
      </c>
      <c r="H6" s="190">
        <v>8258</v>
      </c>
      <c r="I6" s="141">
        <v>8759.7870000000003</v>
      </c>
      <c r="J6" s="60">
        <f t="shared" si="1"/>
        <v>1.060763744248002</v>
      </c>
    </row>
    <row r="7" spans="1:11" ht="15" customHeight="1" x14ac:dyDescent="0.25">
      <c r="A7" s="164"/>
      <c r="B7" s="169" t="s">
        <v>35</v>
      </c>
      <c r="C7" s="177">
        <v>28231</v>
      </c>
      <c r="D7" s="173">
        <v>1203.7709999999997</v>
      </c>
      <c r="E7" s="245">
        <f t="shared" si="0"/>
        <v>0.13742012220160144</v>
      </c>
      <c r="F7" s="58" t="s">
        <v>53</v>
      </c>
      <c r="G7" s="59">
        <v>46113</v>
      </c>
      <c r="H7" s="190">
        <v>9007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37</v>
      </c>
      <c r="C8" s="177">
        <v>34355</v>
      </c>
      <c r="D8" s="173">
        <v>1465.8779999999999</v>
      </c>
      <c r="E8" s="245">
        <f t="shared" si="0"/>
        <v>0.16734174015875042</v>
      </c>
      <c r="F8" s="58" t="s">
        <v>54</v>
      </c>
      <c r="G8" s="59">
        <v>46114</v>
      </c>
      <c r="H8" s="190">
        <v>4264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38</v>
      </c>
      <c r="C9" s="177">
        <v>54785</v>
      </c>
      <c r="D9" s="173">
        <v>2337.288</v>
      </c>
      <c r="E9" s="245">
        <f t="shared" si="0"/>
        <v>0.26682018638124422</v>
      </c>
      <c r="F9" s="58" t="s">
        <v>55</v>
      </c>
      <c r="G9" s="59">
        <v>46115</v>
      </c>
      <c r="H9" s="190">
        <v>2159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42</v>
      </c>
      <c r="C10" s="177">
        <v>12340</v>
      </c>
      <c r="D10" s="173">
        <v>527.31200000000001</v>
      </c>
      <c r="E10" s="80">
        <f t="shared" si="0"/>
        <v>6.0196897481639679E-2</v>
      </c>
      <c r="F10" s="58" t="s">
        <v>56</v>
      </c>
      <c r="G10" s="59">
        <v>46116</v>
      </c>
      <c r="H10" s="190">
        <v>7968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95</v>
      </c>
      <c r="C11" s="177">
        <v>2480</v>
      </c>
      <c r="D11" s="173">
        <v>62.281999999999996</v>
      </c>
      <c r="E11" s="80">
        <f t="shared" si="0"/>
        <v>7.1099902314976371E-3</v>
      </c>
      <c r="F11" s="58" t="s">
        <v>57</v>
      </c>
      <c r="G11" s="59">
        <v>46117</v>
      </c>
      <c r="H11" s="190">
        <v>5008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39</v>
      </c>
      <c r="C12" s="177">
        <v>554</v>
      </c>
      <c r="D12" s="173">
        <v>836.31000000000006</v>
      </c>
      <c r="E12" s="245">
        <f t="shared" si="0"/>
        <v>9.547149947824074E-2</v>
      </c>
      <c r="H12" s="139">
        <f>+SUM(H5:H11)</f>
        <v>43133</v>
      </c>
      <c r="I12" s="142">
        <f>+SUM(I5:I11)</f>
        <v>14984.388000000001</v>
      </c>
      <c r="J12" s="140">
        <f t="shared" si="1"/>
        <v>0.34739962441749939</v>
      </c>
    </row>
    <row r="13" spans="1:11" ht="15" customHeight="1" x14ac:dyDescent="0.25">
      <c r="A13" s="164"/>
      <c r="B13" s="169" t="s">
        <v>43</v>
      </c>
      <c r="C13" s="177">
        <v>232</v>
      </c>
      <c r="D13" s="173">
        <v>350.34000000000003</v>
      </c>
      <c r="E13" s="80">
        <f t="shared" si="0"/>
        <v>3.9994123144775101E-2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85</v>
      </c>
      <c r="C14" s="177">
        <v>22</v>
      </c>
      <c r="D14" s="173">
        <v>33.25</v>
      </c>
      <c r="E14" s="80">
        <f t="shared" si="0"/>
        <v>3.7957543944847059E-3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49</v>
      </c>
      <c r="C15" s="177">
        <v>64</v>
      </c>
      <c r="D15" s="173">
        <v>96.259999999999991</v>
      </c>
      <c r="E15" s="80">
        <f t="shared" si="0"/>
        <v>1.0988851669566851E-2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41</v>
      </c>
      <c r="C16" s="177">
        <v>215</v>
      </c>
      <c r="D16" s="173">
        <v>323.01</v>
      </c>
      <c r="E16" s="80">
        <f t="shared" si="0"/>
        <v>3.6874184269549019E-2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88</v>
      </c>
      <c r="C17" s="177">
        <v>20</v>
      </c>
      <c r="D17" s="173">
        <v>30.41</v>
      </c>
      <c r="E17" s="80">
        <f t="shared" si="0"/>
        <v>3.4715455980836064E-3</v>
      </c>
      <c r="F17" s="112" t="s">
        <v>111</v>
      </c>
      <c r="G17" s="190">
        <v>205343.72800000012</v>
      </c>
      <c r="H17" s="190">
        <v>198970.75799999986</v>
      </c>
      <c r="I17" s="190"/>
      <c r="J17" s="456">
        <f t="shared" si="2"/>
        <v>0.96896437956945902</v>
      </c>
      <c r="K17" s="456">
        <f t="shared" si="2"/>
        <v>0</v>
      </c>
    </row>
    <row r="18" spans="1:11" ht="15" customHeight="1" x14ac:dyDescent="0.25">
      <c r="A18" s="164"/>
      <c r="B18" s="169" t="s">
        <v>40</v>
      </c>
      <c r="C18" s="177"/>
      <c r="D18" s="173">
        <v>510.06000000000006</v>
      </c>
      <c r="E18" s="80">
        <f t="shared" si="0"/>
        <v>5.8227443201529908E-2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9</v>
      </c>
      <c r="C19" s="177"/>
      <c r="D19" s="173">
        <v>61.099999999999994</v>
      </c>
      <c r="E19" s="80">
        <f t="shared" si="0"/>
        <v>6.975055443699715E-3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thickBot="1" x14ac:dyDescent="0.3">
      <c r="A20" s="164"/>
      <c r="B20" s="169" t="s">
        <v>46</v>
      </c>
      <c r="C20" s="177"/>
      <c r="D20" s="173">
        <v>153.98000000000002</v>
      </c>
      <c r="E20" s="80">
        <f t="shared" si="0"/>
        <v>1.7578052982338499E-2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thickBot="1" x14ac:dyDescent="0.3">
      <c r="A21" s="164"/>
      <c r="B21" s="178" t="s">
        <v>0</v>
      </c>
      <c r="C21" s="170"/>
      <c r="D21" s="171">
        <f>SUM(D5:D20)</f>
        <v>8759.7870000000003</v>
      </c>
      <c r="E21" s="80">
        <f t="shared" si="0"/>
        <v>1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6" t="s">
        <v>1</v>
      </c>
      <c r="C22" s="167"/>
      <c r="D22" s="233">
        <v>246703.03000000009</v>
      </c>
      <c r="E22" s="80"/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x14ac:dyDescent="0.25">
      <c r="E23" s="80"/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+SUM(H14:H16)</f>
        <v>570727.63399999996</v>
      </c>
      <c r="I26" s="377">
        <f>+SUM(I14:I25)</f>
        <v>678050.63599999994</v>
      </c>
      <c r="J26" s="378"/>
      <c r="K26" s="378">
        <f>+I26/H26</f>
        <v>1.1880459182391718</v>
      </c>
    </row>
    <row r="27" spans="1:11" ht="19.5" thickBot="1" x14ac:dyDescent="0.3">
      <c r="E27" s="313">
        <f>+D22/J2</f>
        <v>1.1759859633208019</v>
      </c>
      <c r="G27" s="379" t="s">
        <v>229</v>
      </c>
      <c r="H27" s="380"/>
      <c r="I27" s="380">
        <v>2726927.1277059279</v>
      </c>
      <c r="J27" s="381">
        <f>+I26/H26</f>
        <v>1.1880459182391718</v>
      </c>
      <c r="K27" s="179"/>
    </row>
    <row r="28" spans="1:11" ht="15" customHeight="1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65">
        <v>31</v>
      </c>
      <c r="D29" s="108">
        <f>J3*C29</f>
        <v>209783.99206683473</v>
      </c>
      <c r="E29" s="314">
        <f>+D29/J2</f>
        <v>1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+D22-D29</f>
        <v>36919.037933165353</v>
      </c>
      <c r="E30" s="99">
        <f>E27-E29</f>
        <v>0.17598596332080185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5" customHeight="1" x14ac:dyDescent="0.25">
      <c r="G31" s="163"/>
      <c r="H31" s="237" t="s">
        <v>157</v>
      </c>
      <c r="I31" s="237" t="s">
        <v>92</v>
      </c>
      <c r="J31" s="71"/>
    </row>
    <row r="32" spans="1:11" x14ac:dyDescent="0.25">
      <c r="B32" s="66" t="s">
        <v>60</v>
      </c>
      <c r="D32" s="109" t="s">
        <v>105</v>
      </c>
      <c r="E32" s="109" t="s">
        <v>80</v>
      </c>
      <c r="G32" s="86" t="s">
        <v>86</v>
      </c>
      <c r="H32" s="87">
        <v>1237</v>
      </c>
      <c r="I32" s="88">
        <f>+H32*0.025</f>
        <v>30.925000000000001</v>
      </c>
      <c r="J32" s="224"/>
    </row>
    <row r="33" spans="1:11" ht="15" customHeight="1" x14ac:dyDescent="0.25">
      <c r="B33" s="162" t="s">
        <v>61</v>
      </c>
      <c r="C33" s="162">
        <v>1056</v>
      </c>
      <c r="D33" s="108">
        <v>2142</v>
      </c>
      <c r="E33" s="57">
        <f>+C33/D33</f>
        <v>0.49299719887955185</v>
      </c>
      <c r="G33" s="86" t="s">
        <v>259</v>
      </c>
      <c r="H33" s="87">
        <v>720</v>
      </c>
      <c r="I33" s="88">
        <f>+H33*0.025</f>
        <v>18</v>
      </c>
      <c r="J33" s="224"/>
      <c r="K33" s="68"/>
    </row>
    <row r="34" spans="1:11" x14ac:dyDescent="0.25">
      <c r="B34" s="162" t="s">
        <v>62</v>
      </c>
      <c r="C34" s="162">
        <v>762</v>
      </c>
      <c r="D34" s="108">
        <v>1890</v>
      </c>
      <c r="E34" s="57">
        <f>+C34/D34</f>
        <v>0.40317460317460319</v>
      </c>
      <c r="G34" s="86" t="s">
        <v>171</v>
      </c>
      <c r="H34" s="87">
        <v>121</v>
      </c>
      <c r="I34" s="88">
        <f>+H34*0.025</f>
        <v>3.0250000000000004</v>
      </c>
      <c r="J34" s="297" t="s">
        <v>188</v>
      </c>
    </row>
    <row r="35" spans="1:11" x14ac:dyDescent="0.25">
      <c r="B35" s="162" t="s">
        <v>63</v>
      </c>
      <c r="C35" s="67">
        <v>758</v>
      </c>
      <c r="D35" s="108">
        <v>3006</v>
      </c>
      <c r="E35" s="57">
        <f>+C35/D35</f>
        <v>0.25216234198270127</v>
      </c>
      <c r="G35" s="89" t="s">
        <v>169</v>
      </c>
      <c r="H35" s="87">
        <v>55</v>
      </c>
      <c r="I35" s="88">
        <f>+H35*1.5</f>
        <v>82.5</v>
      </c>
      <c r="J35" s="298">
        <f>+I35+I32+I33</f>
        <v>131.42500000000001</v>
      </c>
    </row>
    <row r="36" spans="1:11" x14ac:dyDescent="0.25">
      <c r="C36" s="162">
        <f>+SUM(C33:C35)</f>
        <v>2576</v>
      </c>
      <c r="D36" s="110">
        <f>+SUM(D33:D35)</f>
        <v>7038</v>
      </c>
      <c r="E36" s="57">
        <f>+C36/D36</f>
        <v>0.36601307189542481</v>
      </c>
      <c r="G36" s="89" t="s">
        <v>168</v>
      </c>
      <c r="H36" s="87">
        <v>77</v>
      </c>
      <c r="I36" s="88">
        <f>+H36*1.5</f>
        <v>115.5</v>
      </c>
      <c r="J36" s="228" t="s">
        <v>193</v>
      </c>
    </row>
    <row r="37" spans="1:11" x14ac:dyDescent="0.25">
      <c r="G37" s="231" t="s">
        <v>123</v>
      </c>
      <c r="H37" s="138">
        <v>274</v>
      </c>
      <c r="I37" s="232">
        <v>346.5</v>
      </c>
      <c r="J37" s="218" t="s">
        <v>146</v>
      </c>
    </row>
    <row r="38" spans="1:11" x14ac:dyDescent="0.25">
      <c r="B38" s="162" t="s">
        <v>66</v>
      </c>
      <c r="D38" s="162"/>
      <c r="G38" s="89" t="s">
        <v>170</v>
      </c>
      <c r="H38" s="87">
        <v>36</v>
      </c>
      <c r="I38" s="88">
        <f>+H38*1.5</f>
        <v>54</v>
      </c>
      <c r="J38" s="224" t="s">
        <v>213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107</v>
      </c>
      <c r="H39" s="87">
        <v>223</v>
      </c>
      <c r="I39" s="88">
        <f>+H39*1.5</f>
        <v>334.5</v>
      </c>
      <c r="J39" s="224" t="s">
        <v>152</v>
      </c>
    </row>
    <row r="40" spans="1:11" x14ac:dyDescent="0.25">
      <c r="B40" s="73">
        <v>55</v>
      </c>
      <c r="C40" s="74">
        <v>5</v>
      </c>
      <c r="D40" s="74">
        <v>25</v>
      </c>
      <c r="E40" s="75">
        <f>+SUM(B40:D40)</f>
        <v>85</v>
      </c>
      <c r="J40" s="218"/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10.52</v>
      </c>
      <c r="C44" s="199">
        <v>2169</v>
      </c>
      <c r="D44" s="200">
        <v>3600</v>
      </c>
      <c r="E44" s="201">
        <f t="shared" si="3"/>
        <v>0.60250000000000004</v>
      </c>
      <c r="F44" s="201">
        <f t="shared" si="4"/>
        <v>0.4383333333333333</v>
      </c>
      <c r="G44" s="202">
        <v>12</v>
      </c>
      <c r="H44" s="71"/>
    </row>
    <row r="45" spans="1:11" x14ac:dyDescent="0.25">
      <c r="A45" s="207" t="s">
        <v>72</v>
      </c>
      <c r="B45" s="199">
        <v>11.66</v>
      </c>
      <c r="C45" s="199">
        <v>0</v>
      </c>
      <c r="D45" s="200">
        <v>3900</v>
      </c>
      <c r="E45" s="201">
        <f t="shared" si="3"/>
        <v>0</v>
      </c>
      <c r="F45" s="201">
        <f t="shared" si="4"/>
        <v>0.48583333333333334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17.75</v>
      </c>
      <c r="C46" s="199">
        <v>2844</v>
      </c>
      <c r="D46" s="200">
        <v>3900</v>
      </c>
      <c r="E46" s="201">
        <f t="shared" si="3"/>
        <v>0.72923076923076924</v>
      </c>
      <c r="F46" s="201">
        <f t="shared" si="4"/>
        <v>0.73958333333333337</v>
      </c>
      <c r="G46" s="202">
        <v>12</v>
      </c>
      <c r="H46" s="301">
        <v>46083</v>
      </c>
      <c r="I46" s="129" t="s">
        <v>175</v>
      </c>
      <c r="J46" s="162">
        <v>133</v>
      </c>
      <c r="K46" s="318">
        <f t="shared" ref="K46:K57" si="5">+J46*1.5</f>
        <v>199.5</v>
      </c>
    </row>
    <row r="47" spans="1:11" x14ac:dyDescent="0.25">
      <c r="A47" s="207" t="s">
        <v>74</v>
      </c>
      <c r="B47" s="199">
        <v>11.51</v>
      </c>
      <c r="C47" s="199">
        <v>2335</v>
      </c>
      <c r="D47" s="200">
        <v>3900</v>
      </c>
      <c r="E47" s="201">
        <f t="shared" si="3"/>
        <v>0.5987179487179487</v>
      </c>
      <c r="F47" s="201">
        <f t="shared" si="4"/>
        <v>0.47958333333333331</v>
      </c>
      <c r="G47" s="202">
        <v>12</v>
      </c>
      <c r="H47" s="301">
        <v>46083</v>
      </c>
      <c r="I47" s="129" t="s">
        <v>176</v>
      </c>
      <c r="J47" s="162">
        <v>42</v>
      </c>
      <c r="K47" s="318">
        <f t="shared" si="5"/>
        <v>63</v>
      </c>
    </row>
    <row r="48" spans="1:11" x14ac:dyDescent="0.25">
      <c r="A48" s="259" t="s">
        <v>75</v>
      </c>
      <c r="B48" s="260">
        <v>5.76</v>
      </c>
      <c r="C48" s="261">
        <v>2761</v>
      </c>
      <c r="D48" s="262">
        <v>4300</v>
      </c>
      <c r="E48" s="263">
        <f t="shared" si="3"/>
        <v>0.64209302325581397</v>
      </c>
      <c r="F48" s="201">
        <f t="shared" si="4"/>
        <v>0.24</v>
      </c>
      <c r="G48" s="202">
        <v>16</v>
      </c>
      <c r="H48" s="301">
        <v>46085</v>
      </c>
      <c r="I48" s="129" t="s">
        <v>175</v>
      </c>
      <c r="J48" s="162">
        <v>60</v>
      </c>
      <c r="K48" s="318">
        <f t="shared" si="5"/>
        <v>90</v>
      </c>
    </row>
    <row r="49" spans="2:11" x14ac:dyDescent="0.25">
      <c r="B49" s="113">
        <f>+SUM(B43:B48)</f>
        <v>57.199999999999996</v>
      </c>
      <c r="C49" s="71"/>
      <c r="D49" s="72"/>
      <c r="H49" s="301">
        <v>46085</v>
      </c>
      <c r="I49" s="129" t="s">
        <v>176</v>
      </c>
      <c r="J49" s="162">
        <v>104</v>
      </c>
      <c r="K49" s="318">
        <f t="shared" si="5"/>
        <v>156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46093</v>
      </c>
      <c r="I50" s="129" t="s">
        <v>176</v>
      </c>
      <c r="J50" s="162">
        <v>46</v>
      </c>
      <c r="K50" s="318">
        <f t="shared" si="5"/>
        <v>69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46098</v>
      </c>
      <c r="I51" s="129" t="s">
        <v>176</v>
      </c>
      <c r="J51" s="162">
        <v>40</v>
      </c>
      <c r="K51" s="318">
        <f t="shared" si="5"/>
        <v>60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46106</v>
      </c>
      <c r="I52" s="129" t="s">
        <v>175</v>
      </c>
      <c r="J52" s="162">
        <v>66</v>
      </c>
      <c r="K52" s="318">
        <f t="shared" si="5"/>
        <v>99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46106</v>
      </c>
      <c r="I53" s="129" t="s">
        <v>176</v>
      </c>
      <c r="J53" s="162">
        <v>48</v>
      </c>
      <c r="K53" s="318">
        <f t="shared" si="5"/>
        <v>72</v>
      </c>
    </row>
    <row r="54" spans="2:11" x14ac:dyDescent="0.25">
      <c r="C54" s="71">
        <v>4</v>
      </c>
      <c r="D54" s="108">
        <v>0</v>
      </c>
      <c r="H54" s="301">
        <v>46109</v>
      </c>
      <c r="I54" s="129" t="s">
        <v>175</v>
      </c>
      <c r="J54" s="162">
        <v>55</v>
      </c>
      <c r="K54" s="318">
        <f t="shared" si="5"/>
        <v>82.5</v>
      </c>
    </row>
    <row r="55" spans="2:11" x14ac:dyDescent="0.25">
      <c r="C55" s="71">
        <v>5</v>
      </c>
      <c r="D55" s="108">
        <v>4</v>
      </c>
      <c r="H55" s="301">
        <v>46109</v>
      </c>
      <c r="I55" s="129" t="s">
        <v>176</v>
      </c>
      <c r="K55" s="318">
        <f t="shared" si="5"/>
        <v>0</v>
      </c>
    </row>
    <row r="56" spans="2:11" x14ac:dyDescent="0.25">
      <c r="C56" s="71">
        <v>6</v>
      </c>
      <c r="D56" s="108">
        <v>0</v>
      </c>
      <c r="F56" s="465" t="s">
        <v>271</v>
      </c>
      <c r="G56" s="465" t="s">
        <v>267</v>
      </c>
      <c r="H56" s="301">
        <v>46110</v>
      </c>
      <c r="I56" s="129" t="s">
        <v>175</v>
      </c>
      <c r="J56" s="162">
        <v>6</v>
      </c>
      <c r="K56" s="318">
        <f t="shared" si="5"/>
        <v>9</v>
      </c>
    </row>
    <row r="57" spans="2:11" x14ac:dyDescent="0.25">
      <c r="C57" s="71">
        <v>7</v>
      </c>
      <c r="D57" s="225">
        <v>0</v>
      </c>
      <c r="E57" s="225" t="s">
        <v>250</v>
      </c>
      <c r="F57" s="465">
        <v>1230</v>
      </c>
      <c r="G57" s="465">
        <v>784.3</v>
      </c>
      <c r="H57" s="301">
        <v>46110</v>
      </c>
      <c r="I57" s="129" t="s">
        <v>176</v>
      </c>
      <c r="J57" s="162">
        <v>42</v>
      </c>
      <c r="K57" s="318">
        <f t="shared" si="5"/>
        <v>63</v>
      </c>
    </row>
    <row r="58" spans="2:11" x14ac:dyDescent="0.25">
      <c r="C58" s="71">
        <v>8</v>
      </c>
      <c r="D58" s="108">
        <v>4</v>
      </c>
      <c r="F58" s="432">
        <f>+G57/F57</f>
        <v>0.63764227642276416</v>
      </c>
      <c r="G58" s="465" t="s">
        <v>269</v>
      </c>
    </row>
    <row r="59" spans="2:11" x14ac:dyDescent="0.25">
      <c r="F59" s="465"/>
      <c r="G59" s="465">
        <v>140</v>
      </c>
      <c r="H59" s="359" t="s">
        <v>224</v>
      </c>
      <c r="I59" s="345"/>
      <c r="J59" s="199">
        <f>+J54+J55+J56+J57</f>
        <v>103</v>
      </c>
      <c r="K59" s="346">
        <f>+J59*1.5</f>
        <v>154.5</v>
      </c>
    </row>
    <row r="60" spans="2:11" x14ac:dyDescent="0.25">
      <c r="B60" s="364" t="s">
        <v>231</v>
      </c>
      <c r="C60" s="199">
        <v>2740</v>
      </c>
      <c r="D60" s="384" t="s">
        <v>92</v>
      </c>
      <c r="F60" s="432">
        <f>(G59+G57)/F57</f>
        <v>0.75146341463414634</v>
      </c>
      <c r="G60" s="465" t="s">
        <v>270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162" t="s">
        <v>177</v>
      </c>
      <c r="G62" s="215" t="s">
        <v>92</v>
      </c>
      <c r="H62" s="301"/>
      <c r="I62" s="129"/>
      <c r="K62" s="318"/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>
        <v>46082</v>
      </c>
      <c r="I63" s="129" t="s">
        <v>176</v>
      </c>
      <c r="J63" s="162">
        <v>11032</v>
      </c>
      <c r="K63" s="318">
        <f t="shared" ref="K63:K75" si="6">+J63*0.025</f>
        <v>275.8</v>
      </c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>
        <v>46090</v>
      </c>
      <c r="I64" s="129" t="s">
        <v>175</v>
      </c>
      <c r="J64" s="162">
        <v>1278</v>
      </c>
      <c r="K64" s="318">
        <f t="shared" si="6"/>
        <v>31.950000000000003</v>
      </c>
    </row>
    <row r="65" spans="2:11" x14ac:dyDescent="0.25">
      <c r="B65" s="66"/>
      <c r="C65" s="391"/>
      <c r="D65" s="301">
        <v>46089</v>
      </c>
      <c r="E65" s="129" t="s">
        <v>175</v>
      </c>
      <c r="F65" s="108">
        <v>55</v>
      </c>
      <c r="G65" s="297">
        <f t="shared" ref="G65:G73" si="7">+F65*1.5</f>
        <v>82.5</v>
      </c>
      <c r="H65" s="301">
        <v>46094</v>
      </c>
      <c r="I65" s="129" t="s">
        <v>175</v>
      </c>
      <c r="J65" s="162">
        <v>8756</v>
      </c>
      <c r="K65" s="318">
        <f t="shared" si="6"/>
        <v>218.9</v>
      </c>
    </row>
    <row r="66" spans="2:11" x14ac:dyDescent="0.25">
      <c r="C66" s="389"/>
      <c r="D66" s="301">
        <v>46089</v>
      </c>
      <c r="E66" s="129" t="s">
        <v>176</v>
      </c>
      <c r="F66" s="71">
        <v>162</v>
      </c>
      <c r="G66" s="297">
        <f t="shared" si="7"/>
        <v>243</v>
      </c>
      <c r="H66" s="301">
        <v>46099</v>
      </c>
      <c r="I66" s="129" t="s">
        <v>175</v>
      </c>
      <c r="J66" s="162">
        <v>3456</v>
      </c>
      <c r="K66" s="318">
        <f t="shared" si="6"/>
        <v>86.4</v>
      </c>
    </row>
    <row r="67" spans="2:11" x14ac:dyDescent="0.25">
      <c r="B67" s="71"/>
      <c r="C67" s="467" t="s">
        <v>80</v>
      </c>
      <c r="D67" s="301">
        <v>46090</v>
      </c>
      <c r="E67" s="129" t="s">
        <v>175</v>
      </c>
      <c r="F67" s="108">
        <f>36+36+37</f>
        <v>109</v>
      </c>
      <c r="G67" s="297">
        <f t="shared" si="7"/>
        <v>163.5</v>
      </c>
      <c r="H67" s="301">
        <v>46099</v>
      </c>
      <c r="I67" s="129" t="s">
        <v>176</v>
      </c>
      <c r="J67" s="162">
        <v>7192</v>
      </c>
      <c r="K67" s="318">
        <f t="shared" si="6"/>
        <v>179.8</v>
      </c>
    </row>
    <row r="68" spans="2:11" x14ac:dyDescent="0.25">
      <c r="B68" s="71" t="s">
        <v>254</v>
      </c>
      <c r="C68" s="466">
        <v>0.8</v>
      </c>
      <c r="D68" s="301">
        <v>46102</v>
      </c>
      <c r="E68" s="129" t="s">
        <v>175</v>
      </c>
      <c r="F68" s="71"/>
      <c r="G68" s="297">
        <f t="shared" si="7"/>
        <v>0</v>
      </c>
      <c r="H68" s="301">
        <v>46100</v>
      </c>
      <c r="I68" s="129" t="s">
        <v>175</v>
      </c>
      <c r="J68" s="162">
        <v>4721</v>
      </c>
      <c r="K68" s="318">
        <f t="shared" si="6"/>
        <v>118.02500000000001</v>
      </c>
    </row>
    <row r="69" spans="2:11" x14ac:dyDescent="0.25">
      <c r="B69" s="71" t="s">
        <v>279</v>
      </c>
      <c r="C69" s="466"/>
      <c r="D69" s="301">
        <v>46102</v>
      </c>
      <c r="E69" s="129" t="s">
        <v>176</v>
      </c>
      <c r="F69" s="108">
        <v>173</v>
      </c>
      <c r="G69" s="297">
        <f t="shared" si="7"/>
        <v>259.5</v>
      </c>
      <c r="H69" s="301">
        <v>46100</v>
      </c>
      <c r="I69" s="129" t="s">
        <v>176</v>
      </c>
      <c r="K69" s="318">
        <f t="shared" si="6"/>
        <v>0</v>
      </c>
    </row>
    <row r="70" spans="2:11" x14ac:dyDescent="0.25">
      <c r="B70" s="71" t="s">
        <v>280</v>
      </c>
      <c r="C70" s="71"/>
      <c r="D70" s="301">
        <v>46103</v>
      </c>
      <c r="E70" s="129" t="s">
        <v>175</v>
      </c>
      <c r="F70" s="71">
        <v>218</v>
      </c>
      <c r="G70" s="297">
        <f t="shared" si="7"/>
        <v>327</v>
      </c>
      <c r="H70" s="301">
        <v>46103</v>
      </c>
      <c r="I70" s="129" t="s">
        <v>175</v>
      </c>
      <c r="J70" s="162">
        <v>1257</v>
      </c>
      <c r="K70" s="318">
        <f t="shared" si="6"/>
        <v>31.425000000000001</v>
      </c>
    </row>
    <row r="71" spans="2:11" x14ac:dyDescent="0.25">
      <c r="B71" s="71" t="s">
        <v>281</v>
      </c>
      <c r="C71" s="71"/>
      <c r="D71" s="301">
        <v>46103</v>
      </c>
      <c r="E71" s="129" t="s">
        <v>176</v>
      </c>
      <c r="F71" s="108">
        <v>230</v>
      </c>
      <c r="G71" s="297">
        <f t="shared" si="7"/>
        <v>345</v>
      </c>
      <c r="H71" s="301">
        <v>46103</v>
      </c>
      <c r="I71" s="129" t="s">
        <v>176</v>
      </c>
      <c r="J71" s="162">
        <v>2880</v>
      </c>
      <c r="K71" s="318">
        <f t="shared" si="6"/>
        <v>72</v>
      </c>
    </row>
    <row r="72" spans="2:11" x14ac:dyDescent="0.25">
      <c r="B72" s="71" t="s">
        <v>282</v>
      </c>
      <c r="C72" s="71"/>
      <c r="D72" s="301">
        <v>46110</v>
      </c>
      <c r="E72" s="129" t="s">
        <v>175</v>
      </c>
      <c r="F72" s="71">
        <v>177</v>
      </c>
      <c r="G72" s="297">
        <f t="shared" si="7"/>
        <v>265.5</v>
      </c>
      <c r="H72" s="301">
        <v>46109</v>
      </c>
      <c r="I72" s="129" t="s">
        <v>175</v>
      </c>
      <c r="J72" s="162">
        <v>8835</v>
      </c>
      <c r="K72" s="318">
        <f t="shared" si="6"/>
        <v>220.875</v>
      </c>
    </row>
    <row r="73" spans="2:11" x14ac:dyDescent="0.25">
      <c r="B73" s="71" t="s">
        <v>283</v>
      </c>
      <c r="C73" s="71"/>
      <c r="D73" s="301">
        <v>46110</v>
      </c>
      <c r="E73" s="129" t="s">
        <v>176</v>
      </c>
      <c r="F73" s="71">
        <v>201</v>
      </c>
      <c r="G73" s="297">
        <f t="shared" si="7"/>
        <v>301.5</v>
      </c>
      <c r="H73" s="301">
        <v>46109</v>
      </c>
      <c r="I73" s="129" t="s">
        <v>176</v>
      </c>
      <c r="K73" s="318">
        <f t="shared" si="6"/>
        <v>0</v>
      </c>
    </row>
    <row r="74" spans="2:11" x14ac:dyDescent="0.25">
      <c r="H74" s="301">
        <v>46110</v>
      </c>
      <c r="I74" s="129" t="s">
        <v>175</v>
      </c>
      <c r="K74" s="318">
        <f t="shared" si="6"/>
        <v>0</v>
      </c>
    </row>
    <row r="75" spans="2:11" x14ac:dyDescent="0.25">
      <c r="H75" s="301">
        <v>46110</v>
      </c>
      <c r="I75" s="129" t="s">
        <v>176</v>
      </c>
      <c r="K75" s="318">
        <f t="shared" si="6"/>
        <v>0</v>
      </c>
    </row>
    <row r="76" spans="2:11" x14ac:dyDescent="0.25">
      <c r="D76" s="344"/>
      <c r="E76" s="345"/>
      <c r="F76" s="435">
        <v>406</v>
      </c>
      <c r="G76" s="436">
        <f>+F76*1.5</f>
        <v>609</v>
      </c>
      <c r="H76" s="431" t="s">
        <v>275</v>
      </c>
      <c r="I76" s="345"/>
      <c r="J76" s="200">
        <f>+J75+J74+J73+J72</f>
        <v>8835</v>
      </c>
      <c r="K76" s="346">
        <f>+J76*0.025</f>
        <v>220.875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19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42.85546875" style="162" customWidth="1"/>
    <col min="3" max="3" width="13.28515625" style="162" customWidth="1"/>
    <col min="4" max="4" width="14.5703125" style="163" customWidth="1"/>
    <col min="5" max="5" width="13.7109375" style="162" customWidth="1"/>
    <col min="6" max="6" width="14.7109375" style="162" customWidth="1"/>
    <col min="7" max="7" width="15.140625" style="162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68"/>
      <c r="C4" s="468"/>
      <c r="D4" s="165">
        <f>D24</f>
        <v>5436.4019999999991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1519</v>
      </c>
      <c r="D5" s="172">
        <v>64.739999999999995</v>
      </c>
      <c r="E5" s="80">
        <f t="shared" ref="E5:E21" si="0">+D5/$D$4</f>
        <v>1.1908611614814359E-2</v>
      </c>
      <c r="F5" s="58" t="s">
        <v>51</v>
      </c>
      <c r="G5" s="59">
        <v>46111</v>
      </c>
      <c r="H5" s="190">
        <v>6469</v>
      </c>
      <c r="I5" s="141">
        <v>6224.6010000000006</v>
      </c>
      <c r="J5" s="60">
        <f t="shared" ref="J5:J12" si="1">+I5/H5</f>
        <v>0.96221997217498845</v>
      </c>
    </row>
    <row r="6" spans="1:11" ht="15" customHeight="1" x14ac:dyDescent="0.25">
      <c r="A6" s="164"/>
      <c r="B6" s="169" t="s">
        <v>10</v>
      </c>
      <c r="C6" s="177">
        <v>5491</v>
      </c>
      <c r="D6" s="173">
        <v>234.352</v>
      </c>
      <c r="E6" s="80">
        <f t="shared" si="0"/>
        <v>4.3107923218334489E-2</v>
      </c>
      <c r="F6" s="58" t="s">
        <v>52</v>
      </c>
      <c r="G6" s="59">
        <v>46112</v>
      </c>
      <c r="H6" s="190">
        <v>8258</v>
      </c>
      <c r="I6" s="141">
        <v>8759.7870000000003</v>
      </c>
      <c r="J6" s="60">
        <f t="shared" si="1"/>
        <v>1.060763744248002</v>
      </c>
    </row>
    <row r="7" spans="1:11" ht="15" customHeight="1" x14ac:dyDescent="0.25">
      <c r="A7" s="164"/>
      <c r="B7" s="169" t="s">
        <v>35</v>
      </c>
      <c r="C7" s="177">
        <v>16547</v>
      </c>
      <c r="D7" s="173">
        <v>705.09</v>
      </c>
      <c r="E7" s="245">
        <f t="shared" si="0"/>
        <v>0.12969791417191004</v>
      </c>
      <c r="F7" s="58" t="s">
        <v>53</v>
      </c>
      <c r="G7" s="59">
        <v>46113</v>
      </c>
      <c r="H7" s="190">
        <v>9007</v>
      </c>
      <c r="I7" s="141">
        <v>9455.6</v>
      </c>
      <c r="J7" s="60">
        <f t="shared" si="1"/>
        <v>1.0498057066725881</v>
      </c>
    </row>
    <row r="8" spans="1:11" ht="15" customHeight="1" x14ac:dyDescent="0.25">
      <c r="A8" s="164"/>
      <c r="B8" s="169" t="s">
        <v>37</v>
      </c>
      <c r="C8" s="177">
        <v>12304</v>
      </c>
      <c r="D8" s="173">
        <v>525.14800000000002</v>
      </c>
      <c r="E8" s="245">
        <f t="shared" si="0"/>
        <v>9.6598448753421856E-2</v>
      </c>
      <c r="F8" s="58" t="s">
        <v>54</v>
      </c>
      <c r="G8" s="59">
        <v>46114</v>
      </c>
      <c r="H8" s="190">
        <v>4264</v>
      </c>
      <c r="I8" s="141">
        <v>7820.59</v>
      </c>
      <c r="J8" s="60">
        <f t="shared" si="1"/>
        <v>1.8340970919324577</v>
      </c>
    </row>
    <row r="9" spans="1:11" ht="15" customHeight="1" x14ac:dyDescent="0.25">
      <c r="A9" s="164"/>
      <c r="B9" s="169" t="s">
        <v>38</v>
      </c>
      <c r="C9" s="177">
        <v>29765</v>
      </c>
      <c r="D9" s="173">
        <v>1269.316</v>
      </c>
      <c r="E9" s="245">
        <f t="shared" si="0"/>
        <v>0.23348457306873191</v>
      </c>
      <c r="F9" s="58" t="s">
        <v>55</v>
      </c>
      <c r="G9" s="59">
        <v>46115</v>
      </c>
      <c r="H9" s="190">
        <v>2159</v>
      </c>
      <c r="I9" s="141">
        <v>3802.08</v>
      </c>
      <c r="J9" s="60">
        <f t="shared" si="1"/>
        <v>1.7610375173691524</v>
      </c>
    </row>
    <row r="10" spans="1:11" ht="15" customHeight="1" x14ac:dyDescent="0.25">
      <c r="A10" s="164"/>
      <c r="B10" s="169" t="s">
        <v>42</v>
      </c>
      <c r="C10" s="177">
        <v>10427</v>
      </c>
      <c r="D10" s="173">
        <v>445.30599999999998</v>
      </c>
      <c r="E10" s="80">
        <f t="shared" si="0"/>
        <v>8.1911896875911688E-2</v>
      </c>
      <c r="F10" s="58" t="s">
        <v>56</v>
      </c>
      <c r="G10" s="59">
        <v>46116</v>
      </c>
      <c r="H10" s="190">
        <v>7968</v>
      </c>
      <c r="I10" s="141">
        <v>5046.37</v>
      </c>
      <c r="J10" s="60">
        <f t="shared" si="1"/>
        <v>0.63332956827309239</v>
      </c>
    </row>
    <row r="11" spans="1:11" ht="15" customHeight="1" x14ac:dyDescent="0.25">
      <c r="A11" s="164"/>
      <c r="B11" s="169" t="s">
        <v>4</v>
      </c>
      <c r="C11" s="177">
        <v>2315</v>
      </c>
      <c r="D11" s="173">
        <v>98.64</v>
      </c>
      <c r="E11" s="80">
        <f t="shared" si="0"/>
        <v>1.8144353563257467E-2</v>
      </c>
      <c r="F11" s="58" t="s">
        <v>57</v>
      </c>
      <c r="G11" s="59">
        <v>46117</v>
      </c>
      <c r="H11" s="190">
        <v>5008</v>
      </c>
      <c r="I11" s="141">
        <v>5436.4019999999991</v>
      </c>
      <c r="J11" s="60">
        <f t="shared" si="1"/>
        <v>1.0855435303514376</v>
      </c>
    </row>
    <row r="12" spans="1:11" ht="15" customHeight="1" x14ac:dyDescent="0.25">
      <c r="A12" s="164"/>
      <c r="B12" s="169" t="s">
        <v>196</v>
      </c>
      <c r="C12" s="177">
        <v>12076</v>
      </c>
      <c r="D12" s="173">
        <v>306.036</v>
      </c>
      <c r="E12" s="80">
        <f t="shared" si="0"/>
        <v>5.6293850234033473E-2</v>
      </c>
      <c r="H12" s="139">
        <f>+SUM(H5:H11)</f>
        <v>43133</v>
      </c>
      <c r="I12" s="142">
        <f>+SUM(I5:I11)</f>
        <v>46545.430000000008</v>
      </c>
      <c r="J12" s="140">
        <f t="shared" si="1"/>
        <v>1.079114135348805</v>
      </c>
    </row>
    <row r="13" spans="1:11" ht="15" customHeight="1" x14ac:dyDescent="0.25">
      <c r="A13" s="164"/>
      <c r="B13" s="169" t="s">
        <v>186</v>
      </c>
      <c r="C13" s="177">
        <v>3946</v>
      </c>
      <c r="D13" s="173">
        <v>99.534000000000006</v>
      </c>
      <c r="E13" s="80">
        <f t="shared" si="0"/>
        <v>1.8308800563313753E-2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39</v>
      </c>
      <c r="C14" s="177">
        <v>394</v>
      </c>
      <c r="D14" s="173">
        <v>595.29</v>
      </c>
      <c r="E14" s="245">
        <f t="shared" si="0"/>
        <v>0.10950073228580227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43</v>
      </c>
      <c r="C15" s="177">
        <v>159</v>
      </c>
      <c r="D15" s="173">
        <v>239.83</v>
      </c>
      <c r="E15" s="80">
        <f t="shared" si="0"/>
        <v>4.4115574970357244E-2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49</v>
      </c>
      <c r="C16" s="177">
        <v>20</v>
      </c>
      <c r="D16" s="173">
        <v>30.01</v>
      </c>
      <c r="E16" s="80">
        <f t="shared" si="0"/>
        <v>5.5201951584890165E-3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41</v>
      </c>
      <c r="C17" s="177">
        <v>153</v>
      </c>
      <c r="D17" s="173">
        <v>229.85</v>
      </c>
      <c r="E17" s="80">
        <f t="shared" si="0"/>
        <v>4.227980197196602E-2</v>
      </c>
      <c r="F17" s="112" t="s">
        <v>111</v>
      </c>
      <c r="G17" s="190">
        <v>205343.72800000012</v>
      </c>
      <c r="H17" s="190">
        <v>198970.75799999986</v>
      </c>
      <c r="I17" s="190">
        <f>+D25</f>
        <v>31730.094000000001</v>
      </c>
      <c r="J17" s="456">
        <f t="shared" si="2"/>
        <v>0.96896437956945902</v>
      </c>
      <c r="K17" s="456">
        <f t="shared" si="2"/>
        <v>0.15947114198559784</v>
      </c>
    </row>
    <row r="18" spans="1:11" ht="15" customHeight="1" x14ac:dyDescent="0.25">
      <c r="A18" s="164"/>
      <c r="B18" s="169" t="s">
        <v>44</v>
      </c>
      <c r="C18" s="177">
        <v>22</v>
      </c>
      <c r="D18" s="173">
        <v>33.24</v>
      </c>
      <c r="E18" s="80">
        <f t="shared" si="0"/>
        <v>6.1143381228981972E-3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88</v>
      </c>
      <c r="C19" s="177"/>
      <c r="D19" s="173"/>
      <c r="E19" s="80">
        <f t="shared" si="0"/>
        <v>0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345.8</v>
      </c>
      <c r="E20" s="80">
        <f t="shared" si="0"/>
        <v>6.3608246777924093E-2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285</v>
      </c>
      <c r="C21" s="177"/>
      <c r="D21" s="173">
        <v>30.66</v>
      </c>
      <c r="E21" s="80">
        <f t="shared" si="0"/>
        <v>5.6397595321317304E-3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9</v>
      </c>
      <c r="C22" s="177"/>
      <c r="D22" s="173">
        <v>152.74</v>
      </c>
      <c r="E22" s="80"/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thickBot="1" x14ac:dyDescent="0.3">
      <c r="A23" s="164"/>
      <c r="B23" s="169" t="s">
        <v>46</v>
      </c>
      <c r="C23" s="177"/>
      <c r="D23" s="173">
        <v>30.82</v>
      </c>
      <c r="E23" s="80"/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78" t="s">
        <v>0</v>
      </c>
      <c r="C24" s="170"/>
      <c r="D24" s="171">
        <f>SUM(D5:D23)</f>
        <v>5436.4019999999991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x14ac:dyDescent="0.25">
      <c r="A25" s="164"/>
      <c r="B25" s="166" t="s">
        <v>1</v>
      </c>
      <c r="C25" s="167"/>
      <c r="D25" s="233">
        <v>31730.094000000001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+SUM(H14:H16)</f>
        <v>570727.63399999996</v>
      </c>
      <c r="I26" s="377">
        <f>+SUM(I14:I25)</f>
        <v>709780.73</v>
      </c>
      <c r="J26" s="378"/>
      <c r="K26" s="378">
        <f>+I26/H26</f>
        <v>1.2436417788734582</v>
      </c>
    </row>
    <row r="27" spans="1:11" ht="15" customHeight="1" thickBot="1" x14ac:dyDescent="0.3">
      <c r="E27" s="313">
        <f>+D25/K2</f>
        <v>0.1425578315331105</v>
      </c>
      <c r="G27" s="379" t="s">
        <v>229</v>
      </c>
      <c r="H27" s="380"/>
      <c r="I27" s="380">
        <v>2726927.1277059279</v>
      </c>
      <c r="J27" s="381">
        <f>+I26/H26</f>
        <v>1.2436417788734582</v>
      </c>
      <c r="K27" s="179"/>
    </row>
    <row r="28" spans="1:11" ht="15" customHeight="1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69">
        <v>5</v>
      </c>
      <c r="D29" s="108">
        <f>K3*C29</f>
        <v>37096.1661181815</v>
      </c>
      <c r="E29" s="314">
        <f>+D29/J2</f>
        <v>0.17683029936032058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+D25-D29</f>
        <v>-5366.0721181814988</v>
      </c>
      <c r="E30" s="99">
        <f>E27-E29</f>
        <v>-3.4272467827210079E-2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0.15947114198559784</v>
      </c>
      <c r="J31" s="422">
        <f>+I17-H17</f>
        <v>-167240.66399999984</v>
      </c>
      <c r="K31" s="459">
        <f>J28+J31+J30+J29</f>
        <v>-59917.661999999807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1152</v>
      </c>
      <c r="D33" s="108">
        <v>2142</v>
      </c>
      <c r="E33" s="57">
        <f>+C33/D33</f>
        <v>0.53781512605042014</v>
      </c>
      <c r="G33" s="86" t="s">
        <v>86</v>
      </c>
      <c r="H33" s="87">
        <v>13775</v>
      </c>
      <c r="I33" s="88">
        <f>+H33*0.025</f>
        <v>344.375</v>
      </c>
      <c r="J33" s="224"/>
      <c r="K33" s="68"/>
    </row>
    <row r="34" spans="1:11" x14ac:dyDescent="0.25">
      <c r="B34" s="162" t="s">
        <v>62</v>
      </c>
      <c r="C34" s="162">
        <v>1080</v>
      </c>
      <c r="D34" s="108">
        <v>1890</v>
      </c>
      <c r="E34" s="57">
        <f>+C34/D34</f>
        <v>0.5714285714285714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1536</v>
      </c>
      <c r="D35" s="108">
        <v>3006</v>
      </c>
      <c r="E35" s="57">
        <f>+C35/D35</f>
        <v>0.51097804391217561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3768</v>
      </c>
      <c r="D36" s="110">
        <f>+SUM(D33:D35)</f>
        <v>7038</v>
      </c>
      <c r="E36" s="57">
        <f>+C36/D36</f>
        <v>0.53537936913895989</v>
      </c>
      <c r="G36" s="89" t="s">
        <v>169</v>
      </c>
      <c r="H36" s="87">
        <v>441</v>
      </c>
      <c r="I36" s="88">
        <f>+H36*1.5</f>
        <v>661.5</v>
      </c>
      <c r="J36" s="298">
        <f>+I36+I33+I34+I35</f>
        <v>1030.1750000000002</v>
      </c>
    </row>
    <row r="37" spans="1:11" x14ac:dyDescent="0.25">
      <c r="G37" s="89" t="s">
        <v>168</v>
      </c>
      <c r="H37" s="87">
        <v>55</v>
      </c>
      <c r="I37" s="88">
        <f>+H37*1.5</f>
        <v>82.5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28</v>
      </c>
      <c r="C40" s="74">
        <v>0</v>
      </c>
      <c r="D40" s="74">
        <v>4</v>
      </c>
      <c r="E40" s="75">
        <f>+SUM(B40:D40)</f>
        <v>32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2.2000000000000002</v>
      </c>
      <c r="C43" s="199">
        <v>1837</v>
      </c>
      <c r="D43" s="200">
        <v>2400</v>
      </c>
      <c r="E43" s="201">
        <f t="shared" ref="E43:E48" si="3">+C43/D43</f>
        <v>0.76541666666666663</v>
      </c>
      <c r="F43" s="201">
        <f t="shared" ref="F43:F48" si="4">+B43/24</f>
        <v>9.1666666666666674E-2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6.66</v>
      </c>
      <c r="C44" s="199">
        <v>2134</v>
      </c>
      <c r="D44" s="200">
        <v>3600</v>
      </c>
      <c r="E44" s="201">
        <f t="shared" si="3"/>
        <v>0.59277777777777774</v>
      </c>
      <c r="F44" s="201">
        <f t="shared" si="4"/>
        <v>0.27750000000000002</v>
      </c>
      <c r="G44" s="202">
        <v>12</v>
      </c>
      <c r="H44" s="71"/>
    </row>
    <row r="45" spans="1:11" x14ac:dyDescent="0.25">
      <c r="A45" s="207" t="s">
        <v>72</v>
      </c>
      <c r="B45" s="199">
        <v>6.46</v>
      </c>
      <c r="C45" s="199">
        <v>0</v>
      </c>
      <c r="D45" s="200">
        <v>3900</v>
      </c>
      <c r="E45" s="201">
        <f t="shared" si="3"/>
        <v>0</v>
      </c>
      <c r="F45" s="201">
        <f t="shared" si="4"/>
        <v>0.26916666666666667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6.07</v>
      </c>
      <c r="C46" s="199">
        <v>2339</v>
      </c>
      <c r="D46" s="200">
        <v>3900</v>
      </c>
      <c r="E46" s="201">
        <f t="shared" si="3"/>
        <v>0.59974358974358977</v>
      </c>
      <c r="F46" s="201">
        <f t="shared" si="4"/>
        <v>0.25291666666666668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9.4499999999999993</v>
      </c>
      <c r="C47" s="199">
        <v>2368</v>
      </c>
      <c r="D47" s="200">
        <v>3900</v>
      </c>
      <c r="E47" s="201">
        <f t="shared" si="3"/>
        <v>0.60717948717948722</v>
      </c>
      <c r="F47" s="201">
        <f t="shared" si="4"/>
        <v>0.39374999999999999</v>
      </c>
      <c r="G47" s="202">
        <v>12</v>
      </c>
      <c r="H47" s="301"/>
      <c r="I47" s="129"/>
      <c r="K47" s="318"/>
    </row>
    <row r="48" spans="1:11" x14ac:dyDescent="0.25">
      <c r="A48" s="259" t="s">
        <v>75</v>
      </c>
      <c r="B48" s="260">
        <v>0.51</v>
      </c>
      <c r="C48" s="261">
        <v>2170</v>
      </c>
      <c r="D48" s="262">
        <v>4300</v>
      </c>
      <c r="E48" s="263">
        <f t="shared" si="3"/>
        <v>0.50465116279069766</v>
      </c>
      <c r="F48" s="201">
        <f t="shared" si="4"/>
        <v>2.1250000000000002E-2</v>
      </c>
      <c r="G48" s="202">
        <v>16</v>
      </c>
      <c r="H48" s="301"/>
      <c r="I48" s="129"/>
      <c r="K48" s="318"/>
    </row>
    <row r="49" spans="2:11" x14ac:dyDescent="0.25">
      <c r="B49" s="113">
        <f>+SUM(B43:B48)</f>
        <v>31.35</v>
      </c>
      <c r="C49" s="71"/>
      <c r="D49" s="72"/>
      <c r="H49" s="301"/>
      <c r="I49" s="129"/>
      <c r="K49" s="318"/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6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F56" s="469" t="s">
        <v>271</v>
      </c>
      <c r="G56" s="469" t="s">
        <v>267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F57" s="469">
        <v>1230</v>
      </c>
      <c r="G57" s="469">
        <v>784.3</v>
      </c>
      <c r="H57" s="301"/>
      <c r="I57" s="129"/>
      <c r="K57" s="318"/>
    </row>
    <row r="58" spans="2:11" x14ac:dyDescent="0.25">
      <c r="C58" s="71">
        <v>8</v>
      </c>
      <c r="D58" s="108">
        <v>2</v>
      </c>
      <c r="F58" s="432">
        <f>+G57/F57</f>
        <v>0.63764227642276416</v>
      </c>
      <c r="G58" s="469" t="s">
        <v>269</v>
      </c>
    </row>
    <row r="59" spans="2:11" x14ac:dyDescent="0.25">
      <c r="F59" s="469"/>
      <c r="G59" s="469">
        <v>140</v>
      </c>
      <c r="H59" s="359" t="s">
        <v>288</v>
      </c>
      <c r="I59" s="345"/>
      <c r="J59" s="199">
        <f>+J46</f>
        <v>346</v>
      </c>
      <c r="K59" s="346">
        <f>+J59*1.5</f>
        <v>519</v>
      </c>
    </row>
    <row r="60" spans="2:11" x14ac:dyDescent="0.25">
      <c r="B60" s="364" t="s">
        <v>231</v>
      </c>
      <c r="C60" s="199">
        <v>1135</v>
      </c>
      <c r="D60" s="384" t="s">
        <v>92</v>
      </c>
      <c r="F60" s="432">
        <f>(G59+G57)/F57</f>
        <v>0.75146341463414634</v>
      </c>
      <c r="G60" s="469" t="s">
        <v>270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162" t="s">
        <v>177</v>
      </c>
      <c r="G62" s="215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46089</v>
      </c>
      <c r="E65" s="129" t="s">
        <v>175</v>
      </c>
      <c r="F65" s="108">
        <v>55</v>
      </c>
      <c r="G65" s="297">
        <f t="shared" ref="G65:G73" si="5">+F65*1.5</f>
        <v>82.5</v>
      </c>
      <c r="H65" s="301"/>
      <c r="I65" s="129"/>
      <c r="K65" s="318"/>
    </row>
    <row r="66" spans="2:11" x14ac:dyDescent="0.25">
      <c r="C66" s="389"/>
      <c r="D66" s="301">
        <v>46089</v>
      </c>
      <c r="E66" s="129" t="s">
        <v>176</v>
      </c>
      <c r="F66" s="71">
        <v>162</v>
      </c>
      <c r="G66" s="297">
        <f t="shared" si="5"/>
        <v>243</v>
      </c>
      <c r="H66" s="301"/>
      <c r="I66" s="129"/>
      <c r="K66" s="318"/>
    </row>
    <row r="67" spans="2:11" x14ac:dyDescent="0.25">
      <c r="B67" s="71"/>
      <c r="C67" s="467" t="s">
        <v>80</v>
      </c>
      <c r="D67" s="301">
        <v>46090</v>
      </c>
      <c r="E67" s="129" t="s">
        <v>175</v>
      </c>
      <c r="F67" s="108">
        <f>36+36+37</f>
        <v>109</v>
      </c>
      <c r="G67" s="297">
        <f t="shared" si="5"/>
        <v>163.5</v>
      </c>
      <c r="H67" s="301"/>
      <c r="I67" s="129"/>
      <c r="K67" s="318"/>
    </row>
    <row r="68" spans="2:11" x14ac:dyDescent="0.25">
      <c r="B68" s="71" t="s">
        <v>254</v>
      </c>
      <c r="C68" s="466">
        <v>0.8</v>
      </c>
      <c r="D68" s="301">
        <v>46102</v>
      </c>
      <c r="E68" s="129" t="s">
        <v>175</v>
      </c>
      <c r="F68" s="71"/>
      <c r="G68" s="297">
        <f t="shared" si="5"/>
        <v>0</v>
      </c>
      <c r="H68" s="301"/>
      <c r="I68" s="129"/>
      <c r="K68" s="318"/>
    </row>
    <row r="69" spans="2:11" x14ac:dyDescent="0.25">
      <c r="B69" s="71" t="s">
        <v>279</v>
      </c>
      <c r="C69" s="466"/>
      <c r="D69" s="301">
        <v>46102</v>
      </c>
      <c r="E69" s="129" t="s">
        <v>176</v>
      </c>
      <c r="F69" s="108">
        <v>173</v>
      </c>
      <c r="G69" s="297">
        <f t="shared" si="5"/>
        <v>259.5</v>
      </c>
      <c r="H69" s="301"/>
      <c r="I69" s="129"/>
      <c r="K69" s="318"/>
    </row>
    <row r="70" spans="2:11" x14ac:dyDescent="0.25">
      <c r="B70" s="71" t="s">
        <v>280</v>
      </c>
      <c r="C70" s="71"/>
      <c r="D70" s="301">
        <v>46103</v>
      </c>
      <c r="E70" s="129" t="s">
        <v>175</v>
      </c>
      <c r="F70" s="71">
        <v>218</v>
      </c>
      <c r="G70" s="297">
        <f t="shared" si="5"/>
        <v>327</v>
      </c>
      <c r="H70" s="301"/>
      <c r="I70" s="129"/>
      <c r="K70" s="318"/>
    </row>
    <row r="71" spans="2:11" x14ac:dyDescent="0.25">
      <c r="B71" s="71" t="s">
        <v>281</v>
      </c>
      <c r="C71" s="71"/>
      <c r="D71" s="301">
        <v>46103</v>
      </c>
      <c r="E71" s="129" t="s">
        <v>176</v>
      </c>
      <c r="F71" s="108">
        <v>230</v>
      </c>
      <c r="G71" s="297">
        <f t="shared" si="5"/>
        <v>345</v>
      </c>
      <c r="H71" s="301"/>
      <c r="I71" s="129"/>
      <c r="K71" s="318"/>
    </row>
    <row r="72" spans="2:11" x14ac:dyDescent="0.25">
      <c r="B72" s="71" t="s">
        <v>282</v>
      </c>
      <c r="C72" s="71"/>
      <c r="D72" s="301">
        <v>46110</v>
      </c>
      <c r="E72" s="129" t="s">
        <v>175</v>
      </c>
      <c r="F72" s="71">
        <v>177</v>
      </c>
      <c r="G72" s="297">
        <f t="shared" si="5"/>
        <v>265.5</v>
      </c>
      <c r="H72" s="301"/>
      <c r="I72" s="129"/>
      <c r="K72" s="318"/>
    </row>
    <row r="73" spans="2:11" x14ac:dyDescent="0.25">
      <c r="B73" s="71" t="s">
        <v>283</v>
      </c>
      <c r="C73" s="71"/>
      <c r="D73" s="301">
        <v>46110</v>
      </c>
      <c r="E73" s="129" t="s">
        <v>176</v>
      </c>
      <c r="F73" s="71">
        <v>201</v>
      </c>
      <c r="G73" s="297">
        <f t="shared" si="5"/>
        <v>301.5</v>
      </c>
      <c r="H73" s="301"/>
      <c r="I73" s="129"/>
      <c r="K73" s="318"/>
    </row>
    <row r="74" spans="2:11" x14ac:dyDescent="0.25">
      <c r="H74" s="301"/>
      <c r="I74" s="129"/>
      <c r="K74" s="318"/>
    </row>
    <row r="75" spans="2:11" x14ac:dyDescent="0.25">
      <c r="H75" s="301"/>
      <c r="I75" s="129"/>
      <c r="K75" s="318"/>
    </row>
    <row r="76" spans="2:11" x14ac:dyDescent="0.25">
      <c r="D76" s="344"/>
      <c r="E76" s="345"/>
      <c r="F76" s="435">
        <v>406</v>
      </c>
      <c r="G76" s="436">
        <f>+F76*1.5</f>
        <v>609</v>
      </c>
      <c r="H76" s="431" t="s">
        <v>289</v>
      </c>
      <c r="I76" s="345"/>
      <c r="J76" s="200">
        <f>+J62+J63+J64</f>
        <v>22362</v>
      </c>
      <c r="K76" s="346">
        <f>+J76*0.025</f>
        <v>559.05000000000007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21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43.28515625" style="162" customWidth="1"/>
    <col min="3" max="3" width="13.28515625" style="162" customWidth="1"/>
    <col min="4" max="4" width="14.5703125" style="163" customWidth="1"/>
    <col min="5" max="5" width="13.7109375" style="162" customWidth="1"/>
    <col min="6" max="6" width="14.7109375" style="162" customWidth="1"/>
    <col min="7" max="7" width="15.140625" style="162" customWidth="1"/>
    <col min="8" max="16384" width="11.42578125" style="162"/>
  </cols>
  <sheetData>
    <row r="1" spans="1:11" ht="15" customHeight="1" x14ac:dyDescent="0.25">
      <c r="A1" s="161"/>
      <c r="B1" s="518">
        <v>46118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73"/>
      <c r="C4" s="473"/>
      <c r="D4" s="165">
        <f>D25</f>
        <v>4849.6220000000012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5470</v>
      </c>
      <c r="D5" s="172">
        <v>233.83600000000001</v>
      </c>
      <c r="E5" s="80">
        <f t="shared" ref="E5:E25" si="0">+D5/$D$4</f>
        <v>4.8217366219470294E-2</v>
      </c>
      <c r="F5" s="58" t="s">
        <v>51</v>
      </c>
      <c r="G5" s="59">
        <v>46118</v>
      </c>
      <c r="H5" s="190">
        <v>6009.9999999999991</v>
      </c>
      <c r="I5" s="141">
        <v>4849.6220000000012</v>
      </c>
      <c r="J5" s="60">
        <f t="shared" ref="J5:J12" si="1">+I5/H5</f>
        <v>0.80692545757071577</v>
      </c>
    </row>
    <row r="6" spans="1:11" ht="15" customHeight="1" x14ac:dyDescent="0.25">
      <c r="A6" s="164"/>
      <c r="B6" s="169" t="s">
        <v>10</v>
      </c>
      <c r="C6" s="177">
        <v>6142</v>
      </c>
      <c r="D6" s="173">
        <v>262.04399999999998</v>
      </c>
      <c r="E6" s="80">
        <f t="shared" si="0"/>
        <v>5.4033902023704096E-2</v>
      </c>
      <c r="F6" s="58" t="s">
        <v>52</v>
      </c>
      <c r="G6" s="59">
        <v>46119</v>
      </c>
      <c r="H6" s="190">
        <v>8104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17295</v>
      </c>
      <c r="D7" s="173">
        <v>737.36</v>
      </c>
      <c r="E7" s="245">
        <f t="shared" si="0"/>
        <v>0.15204483978338926</v>
      </c>
      <c r="F7" s="58" t="s">
        <v>53</v>
      </c>
      <c r="G7" s="59">
        <v>46120</v>
      </c>
      <c r="H7" s="190">
        <v>8942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37</v>
      </c>
      <c r="C8" s="177">
        <v>17563</v>
      </c>
      <c r="D8" s="173">
        <v>749.50199999999995</v>
      </c>
      <c r="E8" s="245">
        <f t="shared" si="0"/>
        <v>0.15454854007178287</v>
      </c>
      <c r="F8" s="58" t="s">
        <v>54</v>
      </c>
      <c r="G8" s="59">
        <v>46121</v>
      </c>
      <c r="H8" s="190">
        <v>8626.9999999999982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38</v>
      </c>
      <c r="C9" s="177">
        <v>23504</v>
      </c>
      <c r="D9" s="173">
        <v>1003.09</v>
      </c>
      <c r="E9" s="245">
        <f t="shared" si="0"/>
        <v>0.20683880104469993</v>
      </c>
      <c r="F9" s="58" t="s">
        <v>55</v>
      </c>
      <c r="G9" s="59">
        <v>46122</v>
      </c>
      <c r="H9" s="190">
        <v>7386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42</v>
      </c>
      <c r="C10" s="177">
        <v>7897</v>
      </c>
      <c r="D10" s="173">
        <v>337.52</v>
      </c>
      <c r="E10" s="80">
        <f t="shared" si="0"/>
        <v>6.9597176852134027E-2</v>
      </c>
      <c r="F10" s="58" t="s">
        <v>56</v>
      </c>
      <c r="G10" s="59">
        <v>46123</v>
      </c>
      <c r="H10" s="190">
        <v>7408.9999999999991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</v>
      </c>
      <c r="C11" s="177">
        <v>734</v>
      </c>
      <c r="D11" s="173">
        <v>31.31</v>
      </c>
      <c r="E11" s="80">
        <f t="shared" si="0"/>
        <v>6.456173285258107E-3</v>
      </c>
      <c r="F11" s="58" t="s">
        <v>57</v>
      </c>
      <c r="G11" s="59">
        <v>46124</v>
      </c>
      <c r="H11" s="190">
        <v>5113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196</v>
      </c>
      <c r="C12" s="177"/>
      <c r="D12" s="173"/>
      <c r="E12" s="80">
        <f t="shared" si="0"/>
        <v>0</v>
      </c>
      <c r="H12" s="139">
        <f>+SUM(H5:H11)</f>
        <v>51591</v>
      </c>
      <c r="I12" s="142">
        <f>+SUM(I5:I11)</f>
        <v>4849.6220000000012</v>
      </c>
      <c r="J12" s="140">
        <f t="shared" si="1"/>
        <v>9.4001318059351455E-2</v>
      </c>
    </row>
    <row r="13" spans="1:11" ht="15" customHeight="1" x14ac:dyDescent="0.25">
      <c r="A13" s="164"/>
      <c r="B13" s="169" t="s">
        <v>186</v>
      </c>
      <c r="C13" s="177">
        <v>1200</v>
      </c>
      <c r="D13" s="173">
        <v>30.07</v>
      </c>
      <c r="E13" s="80">
        <f t="shared" si="0"/>
        <v>6.2004832541587762E-3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194</v>
      </c>
      <c r="C14" s="177">
        <v>22</v>
      </c>
      <c r="D14" s="173">
        <v>33.26</v>
      </c>
      <c r="E14" s="80">
        <f t="shared" si="0"/>
        <v>6.8582664793256027E-3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221</v>
      </c>
      <c r="D15" s="173">
        <v>333.87</v>
      </c>
      <c r="E15" s="80">
        <f t="shared" si="0"/>
        <v>6.8844540873494869E-2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112</v>
      </c>
      <c r="D16" s="173">
        <v>169.08</v>
      </c>
      <c r="E16" s="80">
        <f t="shared" si="0"/>
        <v>3.4864572950221683E-2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49</v>
      </c>
      <c r="C17" s="177">
        <v>45</v>
      </c>
      <c r="D17" s="173">
        <v>67.680000000000007</v>
      </c>
      <c r="E17" s="80">
        <f t="shared" si="0"/>
        <v>1.3955726858711872E-2</v>
      </c>
      <c r="F17" s="112" t="s">
        <v>111</v>
      </c>
      <c r="G17" s="190">
        <v>205343.72800000012</v>
      </c>
      <c r="H17" s="190">
        <v>198970.75799999986</v>
      </c>
      <c r="I17" s="190">
        <f>+D26</f>
        <v>36673.896000000001</v>
      </c>
      <c r="J17" s="456">
        <f t="shared" si="2"/>
        <v>0.96896437956945902</v>
      </c>
      <c r="K17" s="456">
        <f t="shared" si="2"/>
        <v>0.18431801923376112</v>
      </c>
    </row>
    <row r="18" spans="1:11" ht="15" customHeight="1" x14ac:dyDescent="0.25">
      <c r="A18" s="164"/>
      <c r="B18" s="169" t="s">
        <v>41</v>
      </c>
      <c r="C18" s="177">
        <v>86</v>
      </c>
      <c r="D18" s="173">
        <v>129.29</v>
      </c>
      <c r="E18" s="80">
        <f t="shared" si="0"/>
        <v>2.6659809774864918E-2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44</v>
      </c>
      <c r="C19" s="177">
        <v>41</v>
      </c>
      <c r="D19" s="173">
        <v>62.14</v>
      </c>
      <c r="E19" s="80">
        <f t="shared" si="0"/>
        <v>1.2813369784284215E-2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88</v>
      </c>
      <c r="C20" s="177"/>
      <c r="D20" s="173">
        <v>90.63</v>
      </c>
      <c r="E20" s="80">
        <f t="shared" si="0"/>
        <v>1.8688054450429328E-2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355.46</v>
      </c>
      <c r="E21" s="80">
        <f t="shared" si="0"/>
        <v>7.3296434237554983E-2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285</v>
      </c>
      <c r="C22" s="177"/>
      <c r="D22" s="173">
        <v>63.92</v>
      </c>
      <c r="E22" s="80">
        <f t="shared" si="0"/>
        <v>1.3180408699894546E-2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/>
      <c r="E23" s="80">
        <f t="shared" si="0"/>
        <v>0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159.56</v>
      </c>
      <c r="E24" s="80">
        <f t="shared" si="0"/>
        <v>3.2901533356620362E-2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thickBot="1" x14ac:dyDescent="0.3">
      <c r="A25" s="164"/>
      <c r="B25" s="178" t="s">
        <v>0</v>
      </c>
      <c r="C25" s="170"/>
      <c r="D25" s="171">
        <f>SUM(D5:D24)</f>
        <v>4849.6220000000012</v>
      </c>
      <c r="E25" s="80">
        <f t="shared" si="0"/>
        <v>1</v>
      </c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A26" s="164"/>
      <c r="B26" s="166" t="s">
        <v>1</v>
      </c>
      <c r="C26" s="167"/>
      <c r="D26" s="233">
        <v>36673.896000000001</v>
      </c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714724.53199999989</v>
      </c>
      <c r="J26" s="378"/>
      <c r="K26" s="378">
        <f>+I26/H26</f>
        <v>0.92857740048390291</v>
      </c>
    </row>
    <row r="27" spans="1:11" ht="15" customHeight="1" thickBot="1" x14ac:dyDescent="0.3">
      <c r="E27" s="313">
        <f>+D26/K2</f>
        <v>0.16476947996532298</v>
      </c>
      <c r="G27" s="379" t="s">
        <v>229</v>
      </c>
      <c r="H27" s="380"/>
      <c r="I27" s="380">
        <v>2726927.1277059279</v>
      </c>
      <c r="J27" s="381">
        <f>+I26/H26</f>
        <v>0.92857740048390291</v>
      </c>
      <c r="K27" s="179"/>
    </row>
    <row r="28" spans="1:11" ht="15" customHeight="1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74">
        <v>6</v>
      </c>
      <c r="D29" s="108">
        <f>K3*C29</f>
        <v>44515.3993418178</v>
      </c>
      <c r="E29" s="314">
        <f>+D29/K2</f>
        <v>0.2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+D26-D29</f>
        <v>-7841.5033418177991</v>
      </c>
      <c r="E30" s="99">
        <f>E27-E29</f>
        <v>-3.5230520034677026E-2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0.18431801923376112</v>
      </c>
      <c r="J31" s="422">
        <f>+I17-H17</f>
        <v>-162296.86199999985</v>
      </c>
      <c r="K31" s="459">
        <f>J28+J31+J30+J29</f>
        <v>-54973.859999999811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1419</v>
      </c>
      <c r="D33" s="108">
        <v>2142</v>
      </c>
      <c r="E33" s="57">
        <f>+C33/D33</f>
        <v>0.66246498599439774</v>
      </c>
      <c r="G33" s="86" t="s">
        <v>86</v>
      </c>
      <c r="H33" s="87">
        <v>12333</v>
      </c>
      <c r="I33" s="88">
        <f>+H33*0.025</f>
        <v>308.32500000000005</v>
      </c>
      <c r="J33" s="224"/>
      <c r="K33" s="68"/>
    </row>
    <row r="34" spans="1:11" x14ac:dyDescent="0.25">
      <c r="B34" s="162" t="s">
        <v>62</v>
      </c>
      <c r="C34" s="162">
        <v>1132</v>
      </c>
      <c r="D34" s="108">
        <v>1890</v>
      </c>
      <c r="E34" s="57">
        <f>+C34/D34</f>
        <v>0.59894179894179889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1006</v>
      </c>
      <c r="D35" s="108">
        <v>3006</v>
      </c>
      <c r="E35" s="57">
        <f>+C35/D35</f>
        <v>0.33466400532268797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3557</v>
      </c>
      <c r="D36" s="110">
        <f>+SUM(D33:D35)</f>
        <v>7038</v>
      </c>
      <c r="E36" s="57">
        <f>+C36/D36</f>
        <v>0.5053992611537369</v>
      </c>
      <c r="G36" s="89" t="s">
        <v>169</v>
      </c>
      <c r="H36" s="87">
        <v>417</v>
      </c>
      <c r="I36" s="88">
        <f>+H36*1.5</f>
        <v>625.5</v>
      </c>
      <c r="J36" s="298">
        <f>+I36+I33+I34+I35</f>
        <v>958.125</v>
      </c>
    </row>
    <row r="37" spans="1:11" x14ac:dyDescent="0.25">
      <c r="G37" s="89" t="s">
        <v>168</v>
      </c>
      <c r="H37" s="87">
        <v>55</v>
      </c>
      <c r="I37" s="88">
        <f>+H37*1.5</f>
        <v>82.5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65</v>
      </c>
      <c r="C40" s="74">
        <v>5</v>
      </c>
      <c r="D40" s="74">
        <v>11</v>
      </c>
      <c r="E40" s="75">
        <f>+SUM(B40:D40)</f>
        <v>81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5.33</v>
      </c>
      <c r="C44" s="199">
        <v>2040</v>
      </c>
      <c r="D44" s="200">
        <v>3600</v>
      </c>
      <c r="E44" s="201">
        <f t="shared" si="3"/>
        <v>0.56666666666666665</v>
      </c>
      <c r="F44" s="201">
        <f t="shared" si="4"/>
        <v>0.22208333333333333</v>
      </c>
      <c r="G44" s="202">
        <v>12</v>
      </c>
      <c r="H44" s="71"/>
    </row>
    <row r="45" spans="1:11" x14ac:dyDescent="0.25">
      <c r="A45" s="207" t="s">
        <v>72</v>
      </c>
      <c r="B45" s="199">
        <v>4.92</v>
      </c>
      <c r="C45" s="199">
        <v>0</v>
      </c>
      <c r="D45" s="200">
        <v>3900</v>
      </c>
      <c r="E45" s="201">
        <f t="shared" si="3"/>
        <v>0</v>
      </c>
      <c r="F45" s="201">
        <f t="shared" si="4"/>
        <v>0.20499999999999999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9.4</v>
      </c>
      <c r="C46" s="199">
        <v>3112</v>
      </c>
      <c r="D46" s="200">
        <v>3900</v>
      </c>
      <c r="E46" s="201">
        <f t="shared" si="3"/>
        <v>0.79794871794871791</v>
      </c>
      <c r="F46" s="201">
        <f t="shared" si="4"/>
        <v>0.39166666666666666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9.39</v>
      </c>
      <c r="C47" s="199">
        <v>2253</v>
      </c>
      <c r="D47" s="200">
        <v>3900</v>
      </c>
      <c r="E47" s="201">
        <f t="shared" si="3"/>
        <v>0.57769230769230773</v>
      </c>
      <c r="F47" s="201">
        <f t="shared" si="4"/>
        <v>0.39125000000000004</v>
      </c>
      <c r="G47" s="202">
        <v>12</v>
      </c>
      <c r="H47" s="301"/>
      <c r="I47" s="129"/>
      <c r="K47" s="318"/>
    </row>
    <row r="48" spans="1:11" x14ac:dyDescent="0.25">
      <c r="A48" s="259" t="s">
        <v>75</v>
      </c>
      <c r="B48" s="260">
        <v>4.53</v>
      </c>
      <c r="C48" s="261">
        <v>2129</v>
      </c>
      <c r="D48" s="262">
        <v>4300</v>
      </c>
      <c r="E48" s="263">
        <f t="shared" si="3"/>
        <v>0.49511627906976746</v>
      </c>
      <c r="F48" s="201">
        <f t="shared" si="4"/>
        <v>0.18875</v>
      </c>
      <c r="G48" s="202">
        <v>16</v>
      </c>
      <c r="H48" s="301"/>
      <c r="I48" s="129"/>
      <c r="K48" s="318"/>
    </row>
    <row r="49" spans="2:11" x14ac:dyDescent="0.25">
      <c r="B49" s="113">
        <f>+SUM(B43:B48)</f>
        <v>33.57</v>
      </c>
      <c r="C49" s="71"/>
      <c r="D49" s="72"/>
      <c r="H49" s="301"/>
      <c r="I49" s="129"/>
      <c r="K49" s="318"/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6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F56" s="474" t="s">
        <v>271</v>
      </c>
      <c r="G56" s="474" t="s">
        <v>267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F57" s="474">
        <v>1230</v>
      </c>
      <c r="G57" s="474">
        <v>784.3</v>
      </c>
      <c r="H57" s="301"/>
      <c r="I57" s="129"/>
      <c r="K57" s="318"/>
    </row>
    <row r="58" spans="2:11" x14ac:dyDescent="0.25">
      <c r="C58" s="71">
        <v>8</v>
      </c>
      <c r="D58" s="108">
        <v>4</v>
      </c>
      <c r="F58" s="432">
        <f>+G57/F57</f>
        <v>0.63764227642276416</v>
      </c>
      <c r="G58" s="474" t="s">
        <v>269</v>
      </c>
    </row>
    <row r="59" spans="2:11" x14ac:dyDescent="0.25">
      <c r="F59" s="474"/>
      <c r="G59" s="474">
        <v>140</v>
      </c>
      <c r="H59" s="359" t="s">
        <v>288</v>
      </c>
      <c r="I59" s="345"/>
      <c r="J59" s="199">
        <f>+J46</f>
        <v>346</v>
      </c>
      <c r="K59" s="346">
        <f>+J59*1.5</f>
        <v>519</v>
      </c>
    </row>
    <row r="60" spans="2:11" x14ac:dyDescent="0.25">
      <c r="B60" s="364" t="s">
        <v>231</v>
      </c>
      <c r="C60" s="199">
        <v>1991</v>
      </c>
      <c r="D60" s="384" t="s">
        <v>92</v>
      </c>
      <c r="F60" s="432">
        <f>(G59+G57)/F57</f>
        <v>0.75146341463414634</v>
      </c>
      <c r="G60" s="474" t="s">
        <v>270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162" t="s">
        <v>177</v>
      </c>
      <c r="G62" s="215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46089</v>
      </c>
      <c r="E65" s="129" t="s">
        <v>175</v>
      </c>
      <c r="F65" s="108">
        <v>55</v>
      </c>
      <c r="G65" s="297">
        <f t="shared" ref="G65:G73" si="5">+F65*1.5</f>
        <v>82.5</v>
      </c>
      <c r="H65" s="301"/>
      <c r="I65" s="129"/>
      <c r="K65" s="318"/>
    </row>
    <row r="66" spans="2:11" x14ac:dyDescent="0.25">
      <c r="C66" s="389"/>
      <c r="D66" s="301">
        <v>46089</v>
      </c>
      <c r="E66" s="129" t="s">
        <v>176</v>
      </c>
      <c r="F66" s="71">
        <v>162</v>
      </c>
      <c r="G66" s="297">
        <f t="shared" si="5"/>
        <v>243</v>
      </c>
      <c r="H66" s="301"/>
      <c r="I66" s="129"/>
      <c r="K66" s="318"/>
    </row>
    <row r="67" spans="2:11" x14ac:dyDescent="0.25">
      <c r="B67" s="71"/>
      <c r="C67" s="467" t="s">
        <v>80</v>
      </c>
      <c r="D67" s="301">
        <v>46090</v>
      </c>
      <c r="E67" s="129" t="s">
        <v>175</v>
      </c>
      <c r="F67" s="108">
        <f>36+36+37</f>
        <v>109</v>
      </c>
      <c r="G67" s="297">
        <f t="shared" si="5"/>
        <v>163.5</v>
      </c>
      <c r="H67" s="301"/>
      <c r="I67" s="129"/>
      <c r="K67" s="318"/>
    </row>
    <row r="68" spans="2:11" x14ac:dyDescent="0.25">
      <c r="B68" s="71" t="s">
        <v>254</v>
      </c>
      <c r="C68" s="466">
        <v>0.8</v>
      </c>
      <c r="D68" s="301">
        <v>46102</v>
      </c>
      <c r="E68" s="129" t="s">
        <v>175</v>
      </c>
      <c r="F68" s="71"/>
      <c r="G68" s="297">
        <f t="shared" si="5"/>
        <v>0</v>
      </c>
      <c r="H68" s="301"/>
      <c r="I68" s="129"/>
      <c r="K68" s="318"/>
    </row>
    <row r="69" spans="2:11" x14ac:dyDescent="0.25">
      <c r="B69" s="71" t="s">
        <v>279</v>
      </c>
      <c r="C69" s="466"/>
      <c r="D69" s="301">
        <v>46102</v>
      </c>
      <c r="E69" s="129" t="s">
        <v>176</v>
      </c>
      <c r="F69" s="108">
        <v>173</v>
      </c>
      <c r="G69" s="297">
        <f t="shared" si="5"/>
        <v>259.5</v>
      </c>
      <c r="H69" s="301"/>
      <c r="I69" s="129"/>
      <c r="K69" s="318"/>
    </row>
    <row r="70" spans="2:11" x14ac:dyDescent="0.25">
      <c r="B70" s="71" t="s">
        <v>280</v>
      </c>
      <c r="C70" s="71"/>
      <c r="D70" s="301">
        <v>46103</v>
      </c>
      <c r="E70" s="129" t="s">
        <v>175</v>
      </c>
      <c r="F70" s="71">
        <v>218</v>
      </c>
      <c r="G70" s="297">
        <f t="shared" si="5"/>
        <v>327</v>
      </c>
      <c r="H70" s="301"/>
      <c r="I70" s="129"/>
      <c r="K70" s="318"/>
    </row>
    <row r="71" spans="2:11" x14ac:dyDescent="0.25">
      <c r="B71" s="71" t="s">
        <v>281</v>
      </c>
      <c r="C71" s="71"/>
      <c r="D71" s="301">
        <v>46103</v>
      </c>
      <c r="E71" s="129" t="s">
        <v>176</v>
      </c>
      <c r="F71" s="108">
        <v>230</v>
      </c>
      <c r="G71" s="297">
        <f t="shared" si="5"/>
        <v>345</v>
      </c>
      <c r="H71" s="301"/>
      <c r="I71" s="129"/>
      <c r="K71" s="318"/>
    </row>
    <row r="72" spans="2:11" x14ac:dyDescent="0.25">
      <c r="B72" s="71" t="s">
        <v>282</v>
      </c>
      <c r="C72" s="71"/>
      <c r="D72" s="301">
        <v>46110</v>
      </c>
      <c r="E72" s="129" t="s">
        <v>175</v>
      </c>
      <c r="F72" s="71">
        <v>177</v>
      </c>
      <c r="G72" s="297">
        <f t="shared" si="5"/>
        <v>265.5</v>
      </c>
      <c r="H72" s="301"/>
      <c r="I72" s="129"/>
      <c r="K72" s="318"/>
    </row>
    <row r="73" spans="2:11" x14ac:dyDescent="0.25">
      <c r="B73" s="71" t="s">
        <v>283</v>
      </c>
      <c r="C73" s="71"/>
      <c r="D73" s="301">
        <v>46110</v>
      </c>
      <c r="E73" s="129" t="s">
        <v>176</v>
      </c>
      <c r="F73" s="71">
        <v>201</v>
      </c>
      <c r="G73" s="297">
        <f t="shared" si="5"/>
        <v>301.5</v>
      </c>
      <c r="H73" s="301"/>
      <c r="I73" s="129"/>
      <c r="K73" s="318"/>
    </row>
    <row r="74" spans="2:11" x14ac:dyDescent="0.25">
      <c r="H74" s="301"/>
      <c r="I74" s="129"/>
      <c r="K74" s="318"/>
    </row>
    <row r="75" spans="2:11" x14ac:dyDescent="0.25">
      <c r="H75" s="301"/>
      <c r="I75" s="129"/>
      <c r="K75" s="318"/>
    </row>
    <row r="76" spans="2:11" x14ac:dyDescent="0.25">
      <c r="D76" s="344"/>
      <c r="E76" s="345"/>
      <c r="F76" s="435">
        <v>406</v>
      </c>
      <c r="G76" s="436">
        <f>+F76*1.5</f>
        <v>609</v>
      </c>
      <c r="H76" s="431" t="s">
        <v>289</v>
      </c>
      <c r="I76" s="345"/>
      <c r="J76" s="200">
        <f>+J62+J63+J64</f>
        <v>22362</v>
      </c>
      <c r="K76" s="346">
        <f>+J76*0.025</f>
        <v>559.05000000000007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67" workbookViewId="0">
      <selection activeCell="A28" sqref="A28:K89"/>
    </sheetView>
  </sheetViews>
  <sheetFormatPr baseColWidth="10" defaultColWidth="11.42578125" defaultRowHeight="15.75" x14ac:dyDescent="0.25"/>
  <cols>
    <col min="1" max="1" width="2.42578125" style="162" customWidth="1"/>
    <col min="2" max="2" width="38.7109375" style="162" customWidth="1"/>
    <col min="3" max="3" width="13.28515625" style="162" customWidth="1"/>
    <col min="4" max="4" width="14.5703125" style="163" customWidth="1"/>
    <col min="5" max="5" width="13.7109375" style="162" customWidth="1"/>
    <col min="6" max="6" width="15.7109375" style="162" customWidth="1"/>
    <col min="7" max="7" width="15.140625" style="162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75"/>
      <c r="C4" s="475"/>
      <c r="D4" s="165">
        <f>D24</f>
        <v>8399.7560000000012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8596</v>
      </c>
      <c r="D5" s="172">
        <v>366.65600000000001</v>
      </c>
      <c r="E5" s="80">
        <f t="shared" ref="E5:E24" si="0">+D5/$D$4</f>
        <v>4.3650791761094009E-2</v>
      </c>
      <c r="F5" s="58" t="s">
        <v>51</v>
      </c>
      <c r="G5" s="59">
        <v>46118</v>
      </c>
      <c r="H5" s="190">
        <v>6009.9999999999991</v>
      </c>
      <c r="I5" s="141">
        <v>4849.6220000000012</v>
      </c>
      <c r="J5" s="60">
        <f t="shared" ref="J5:J12" si="1">+I5/H5</f>
        <v>0.80692545757071577</v>
      </c>
    </row>
    <row r="6" spans="1:11" ht="15" customHeight="1" x14ac:dyDescent="0.25">
      <c r="A6" s="164"/>
      <c r="B6" s="169" t="s">
        <v>10</v>
      </c>
      <c r="C6" s="177">
        <v>8510</v>
      </c>
      <c r="D6" s="173">
        <v>363.05</v>
      </c>
      <c r="E6" s="80">
        <f t="shared" si="0"/>
        <v>4.3221493576718173E-2</v>
      </c>
      <c r="F6" s="58" t="s">
        <v>52</v>
      </c>
      <c r="G6" s="59">
        <v>46119</v>
      </c>
      <c r="H6" s="190">
        <v>8104</v>
      </c>
      <c r="I6" s="141">
        <v>9669.1</v>
      </c>
      <c r="J6" s="60">
        <f t="shared" si="1"/>
        <v>1.1931268509378086</v>
      </c>
    </row>
    <row r="7" spans="1:11" ht="15" customHeight="1" x14ac:dyDescent="0.25">
      <c r="A7" s="164"/>
      <c r="B7" s="169" t="s">
        <v>35</v>
      </c>
      <c r="C7" s="177">
        <v>28570</v>
      </c>
      <c r="D7" s="173">
        <v>1217.56</v>
      </c>
      <c r="E7" s="245">
        <f t="shared" si="0"/>
        <v>0.14495182955314415</v>
      </c>
      <c r="F7" s="58" t="s">
        <v>53</v>
      </c>
      <c r="G7" s="59">
        <v>46120</v>
      </c>
      <c r="H7" s="190">
        <v>8942</v>
      </c>
      <c r="I7" s="141">
        <v>8399.7560000000012</v>
      </c>
      <c r="J7" s="60">
        <f t="shared" si="1"/>
        <v>0.93935987474837856</v>
      </c>
    </row>
    <row r="8" spans="1:11" ht="15" customHeight="1" x14ac:dyDescent="0.25">
      <c r="A8" s="164"/>
      <c r="B8" s="169" t="s">
        <v>37</v>
      </c>
      <c r="C8" s="177">
        <v>39551</v>
      </c>
      <c r="D8" s="173">
        <v>1687.748</v>
      </c>
      <c r="E8" s="245">
        <f t="shared" si="0"/>
        <v>0.20092821743869702</v>
      </c>
      <c r="F8" s="58" t="s">
        <v>54</v>
      </c>
      <c r="G8" s="59">
        <v>46121</v>
      </c>
      <c r="H8" s="190">
        <v>8626.9999999999982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38</v>
      </c>
      <c r="C9" s="177">
        <v>54795</v>
      </c>
      <c r="D9" s="173">
        <v>2338.402</v>
      </c>
      <c r="E9" s="245">
        <f t="shared" si="0"/>
        <v>0.27838927702185634</v>
      </c>
      <c r="F9" s="58" t="s">
        <v>55</v>
      </c>
      <c r="G9" s="59">
        <v>46122</v>
      </c>
      <c r="H9" s="190">
        <v>7386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42</v>
      </c>
      <c r="C10" s="177">
        <v>17140</v>
      </c>
      <c r="D10" s="173">
        <v>732.33</v>
      </c>
      <c r="E10" s="80">
        <f t="shared" si="0"/>
        <v>8.7184675364379627E-2</v>
      </c>
      <c r="F10" s="58" t="s">
        <v>56</v>
      </c>
      <c r="G10" s="59">
        <v>46123</v>
      </c>
      <c r="H10" s="190">
        <v>7408.9999999999991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</v>
      </c>
      <c r="C11" s="177">
        <v>790</v>
      </c>
      <c r="D11" s="173">
        <v>33.78</v>
      </c>
      <c r="E11" s="80">
        <f t="shared" si="0"/>
        <v>4.0215453877469774E-3</v>
      </c>
      <c r="F11" s="58" t="s">
        <v>57</v>
      </c>
      <c r="G11" s="59">
        <v>46124</v>
      </c>
      <c r="H11" s="190">
        <v>5113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44</v>
      </c>
      <c r="C12" s="177">
        <v>88</v>
      </c>
      <c r="D12" s="173">
        <v>133.04</v>
      </c>
      <c r="E12" s="80">
        <f t="shared" si="0"/>
        <v>1.5838555310416155E-2</v>
      </c>
      <c r="H12" s="139">
        <f>+SUM(H5:H11)</f>
        <v>51591</v>
      </c>
      <c r="I12" s="142">
        <f>+SUM(I5:I11)</f>
        <v>22918.478000000003</v>
      </c>
      <c r="J12" s="140">
        <f t="shared" si="1"/>
        <v>0.4442340330677832</v>
      </c>
    </row>
    <row r="13" spans="1:11" ht="15" customHeight="1" x14ac:dyDescent="0.25">
      <c r="A13" s="164"/>
      <c r="B13" s="169" t="s">
        <v>194</v>
      </c>
      <c r="C13" s="177">
        <v>20</v>
      </c>
      <c r="D13" s="173">
        <v>30.27</v>
      </c>
      <c r="E13" s="80">
        <f t="shared" si="0"/>
        <v>3.6036761067821488E-3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39</v>
      </c>
      <c r="C14" s="177">
        <v>271</v>
      </c>
      <c r="D14" s="173">
        <v>409.14</v>
      </c>
      <c r="E14" s="80">
        <f t="shared" si="0"/>
        <v>4.8708557724771999E-2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43</v>
      </c>
      <c r="C15" s="177">
        <v>45</v>
      </c>
      <c r="D15" s="173">
        <v>67.930000000000007</v>
      </c>
      <c r="E15" s="80">
        <f t="shared" si="0"/>
        <v>8.0871396740571991E-3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49</v>
      </c>
      <c r="C16" s="177">
        <v>21</v>
      </c>
      <c r="D16" s="173">
        <v>31.56</v>
      </c>
      <c r="E16" s="80">
        <f t="shared" si="0"/>
        <v>3.7572519963675129E-3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41</v>
      </c>
      <c r="C17" s="177">
        <v>171</v>
      </c>
      <c r="D17" s="173">
        <v>257.31</v>
      </c>
      <c r="E17" s="80">
        <f t="shared" si="0"/>
        <v>3.0633032673806234E-2</v>
      </c>
      <c r="F17" s="112" t="s">
        <v>111</v>
      </c>
      <c r="G17" s="190">
        <v>205343.72800000012</v>
      </c>
      <c r="H17" s="190">
        <v>198970.75799999986</v>
      </c>
      <c r="I17" s="190">
        <f>+D25</f>
        <v>54993.796000000002</v>
      </c>
      <c r="J17" s="456">
        <f t="shared" si="2"/>
        <v>0.96896437956945902</v>
      </c>
      <c r="K17" s="456">
        <f t="shared" si="2"/>
        <v>0.27639134791857223</v>
      </c>
    </row>
    <row r="18" spans="1:11" ht="15" customHeight="1" x14ac:dyDescent="0.25">
      <c r="A18" s="164"/>
      <c r="B18" s="169" t="s">
        <v>45</v>
      </c>
      <c r="C18" s="177"/>
      <c r="D18" s="173"/>
      <c r="E18" s="80">
        <f t="shared" si="0"/>
        <v>0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88</v>
      </c>
      <c r="C19" s="177"/>
      <c r="D19" s="173">
        <v>60.84</v>
      </c>
      <c r="E19" s="80">
        <f t="shared" si="0"/>
        <v>7.2430675367236852E-3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425.51</v>
      </c>
      <c r="E20" s="80">
        <f t="shared" si="0"/>
        <v>5.0657423858502547E-2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285</v>
      </c>
      <c r="C21" s="177"/>
      <c r="D21" s="173">
        <v>32.549999999999997</v>
      </c>
      <c r="E21" s="80">
        <f t="shared" si="0"/>
        <v>3.8751125627934898E-3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9</v>
      </c>
      <c r="C22" s="177"/>
      <c r="D22" s="173">
        <v>90.1</v>
      </c>
      <c r="E22" s="80">
        <f t="shared" si="0"/>
        <v>1.0726502055535896E-2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thickBot="1" x14ac:dyDescent="0.3">
      <c r="A23" s="164"/>
      <c r="B23" s="169" t="s">
        <v>46</v>
      </c>
      <c r="C23" s="177"/>
      <c r="D23" s="173">
        <v>121.98</v>
      </c>
      <c r="E23" s="80">
        <f t="shared" si="0"/>
        <v>1.4521850396606757E-2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78" t="s">
        <v>0</v>
      </c>
      <c r="C24" s="170"/>
      <c r="D24" s="171">
        <f>SUM(D5:D23)</f>
        <v>8399.7560000000012</v>
      </c>
      <c r="E24" s="80">
        <f t="shared" si="0"/>
        <v>1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x14ac:dyDescent="0.25">
      <c r="A25" s="164"/>
      <c r="B25" s="166" t="s">
        <v>1</v>
      </c>
      <c r="C25" s="167"/>
      <c r="D25" s="233">
        <v>54993.796000000002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733044.43199999991</v>
      </c>
      <c r="J26" s="378"/>
      <c r="K26" s="378">
        <f>+I26/H26</f>
        <v>0.95237880138380249</v>
      </c>
    </row>
    <row r="27" spans="1:11" ht="19.5" thickBot="1" x14ac:dyDescent="0.3">
      <c r="E27" s="313">
        <f>+D25/K2</f>
        <v>0.24707762622872301</v>
      </c>
      <c r="G27" s="379" t="s">
        <v>229</v>
      </c>
      <c r="H27" s="380"/>
      <c r="I27" s="380">
        <v>2726927.1277059279</v>
      </c>
      <c r="J27" s="381">
        <f>+I26/H26</f>
        <v>0.95237880138380249</v>
      </c>
      <c r="K27" s="179"/>
    </row>
    <row r="28" spans="1:11" ht="15" customHeight="1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5" customHeight="1" thickBot="1" x14ac:dyDescent="0.3">
      <c r="B29" s="397" t="s">
        <v>251</v>
      </c>
      <c r="C29" s="476">
        <v>8</v>
      </c>
      <c r="D29" s="108">
        <f>K3*C29</f>
        <v>59353.8657890904</v>
      </c>
      <c r="E29" s="314">
        <f>+D29/K2</f>
        <v>0.26666666666666666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+D25-D29</f>
        <v>-4360.0697890903975</v>
      </c>
      <c r="E30" s="99">
        <f>E27-E29</f>
        <v>-1.9589040437943656E-2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0.27639134791857223</v>
      </c>
      <c r="J31" s="422">
        <f>+I17-H17</f>
        <v>-143976.96199999985</v>
      </c>
      <c r="K31" s="459">
        <f>J28+J31+J30+J29</f>
        <v>-36653.959999999817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1511</v>
      </c>
      <c r="D33" s="108">
        <v>2142</v>
      </c>
      <c r="E33" s="57">
        <f>+C33/D33</f>
        <v>0.70541549953314664</v>
      </c>
      <c r="G33" s="86" t="s">
        <v>86</v>
      </c>
      <c r="H33" s="87">
        <v>9933</v>
      </c>
      <c r="I33" s="88">
        <f>+H33*0.025</f>
        <v>248.32500000000002</v>
      </c>
      <c r="J33" s="224"/>
      <c r="K33" s="68"/>
    </row>
    <row r="34" spans="1:11" x14ac:dyDescent="0.25">
      <c r="B34" s="162" t="s">
        <v>62</v>
      </c>
      <c r="C34" s="162">
        <v>985</v>
      </c>
      <c r="D34" s="108">
        <v>1890</v>
      </c>
      <c r="E34" s="57">
        <f>+C34/D34</f>
        <v>0.52116402116402116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686</v>
      </c>
      <c r="D35" s="108">
        <v>3006</v>
      </c>
      <c r="E35" s="57">
        <f>+C35/D35</f>
        <v>0.22821024617431804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3182</v>
      </c>
      <c r="D36" s="110">
        <f>+SUM(D33:D35)</f>
        <v>7038</v>
      </c>
      <c r="E36" s="57">
        <f>+C36/D36</f>
        <v>0.45211707871554419</v>
      </c>
      <c r="G36" s="89" t="s">
        <v>169</v>
      </c>
      <c r="H36" s="87">
        <v>337</v>
      </c>
      <c r="I36" s="88">
        <f>+H36*1.5</f>
        <v>505.5</v>
      </c>
      <c r="J36" s="298">
        <f>+I36+I33+I34+I35</f>
        <v>778.125</v>
      </c>
    </row>
    <row r="37" spans="1:11" x14ac:dyDescent="0.25">
      <c r="G37" s="89" t="s">
        <v>168</v>
      </c>
      <c r="H37" s="87">
        <v>55</v>
      </c>
      <c r="I37" s="88">
        <f>+H37*1.5</f>
        <v>82.5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79</v>
      </c>
      <c r="C40" s="74">
        <v>2</v>
      </c>
      <c r="D40" s="74">
        <v>14</v>
      </c>
      <c r="E40" s="75">
        <f>+SUM(B40:D40)</f>
        <v>95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8.5299999999999994</v>
      </c>
      <c r="C44" s="199">
        <v>2479</v>
      </c>
      <c r="D44" s="200">
        <v>3600</v>
      </c>
      <c r="E44" s="201">
        <f t="shared" si="3"/>
        <v>0.68861111111111106</v>
      </c>
      <c r="F44" s="201">
        <f t="shared" si="4"/>
        <v>0.35541666666666666</v>
      </c>
      <c r="G44" s="202">
        <v>12</v>
      </c>
      <c r="H44" s="71"/>
    </row>
    <row r="45" spans="1:11" x14ac:dyDescent="0.25">
      <c r="A45" s="207" t="s">
        <v>72</v>
      </c>
      <c r="B45" s="199">
        <v>9.75</v>
      </c>
      <c r="C45" s="199">
        <v>0</v>
      </c>
      <c r="D45" s="200">
        <v>3900</v>
      </c>
      <c r="E45" s="201">
        <f t="shared" si="3"/>
        <v>0</v>
      </c>
      <c r="F45" s="201">
        <f t="shared" si="4"/>
        <v>0.40625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6.32</v>
      </c>
      <c r="C46" s="199">
        <v>2829</v>
      </c>
      <c r="D46" s="200">
        <v>3900</v>
      </c>
      <c r="E46" s="201">
        <f t="shared" si="3"/>
        <v>0.72538461538461541</v>
      </c>
      <c r="F46" s="201">
        <f t="shared" si="4"/>
        <v>0.26333333333333336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16.57</v>
      </c>
      <c r="C47" s="199">
        <v>2721</v>
      </c>
      <c r="D47" s="200">
        <v>3900</v>
      </c>
      <c r="E47" s="201">
        <f t="shared" si="3"/>
        <v>0.69769230769230772</v>
      </c>
      <c r="F47" s="201">
        <f t="shared" si="4"/>
        <v>0.69041666666666668</v>
      </c>
      <c r="G47" s="202">
        <v>12</v>
      </c>
      <c r="H47" s="301"/>
      <c r="I47" s="129"/>
      <c r="K47" s="318"/>
    </row>
    <row r="48" spans="1:11" x14ac:dyDescent="0.25">
      <c r="A48" s="259" t="s">
        <v>75</v>
      </c>
      <c r="B48" s="260">
        <v>14.77</v>
      </c>
      <c r="C48" s="261">
        <v>2635</v>
      </c>
      <c r="D48" s="262">
        <v>4300</v>
      </c>
      <c r="E48" s="263">
        <f t="shared" si="3"/>
        <v>0.61279069767441863</v>
      </c>
      <c r="F48" s="201">
        <f t="shared" si="4"/>
        <v>0.61541666666666661</v>
      </c>
      <c r="G48" s="202">
        <v>16</v>
      </c>
      <c r="H48" s="301"/>
      <c r="I48" s="129"/>
      <c r="K48" s="318"/>
    </row>
    <row r="49" spans="2:11" x14ac:dyDescent="0.25">
      <c r="B49" s="113">
        <f>+SUM(B43:B48)</f>
        <v>55.94</v>
      </c>
      <c r="C49" s="71"/>
      <c r="D49" s="72"/>
      <c r="H49" s="301"/>
      <c r="I49" s="129"/>
      <c r="K49" s="318"/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10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F56" s="476" t="s">
        <v>271</v>
      </c>
      <c r="G56" s="476" t="s">
        <v>267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F57" s="476">
        <v>1230</v>
      </c>
      <c r="G57" s="476">
        <v>784.3</v>
      </c>
      <c r="H57" s="301"/>
      <c r="I57" s="129"/>
      <c r="K57" s="318"/>
    </row>
    <row r="58" spans="2:11" x14ac:dyDescent="0.25">
      <c r="C58" s="71">
        <v>8</v>
      </c>
      <c r="D58" s="108">
        <v>1</v>
      </c>
      <c r="F58" s="432">
        <f>+G57/F57</f>
        <v>0.63764227642276416</v>
      </c>
      <c r="G58" s="476" t="s">
        <v>269</v>
      </c>
    </row>
    <row r="59" spans="2:11" x14ac:dyDescent="0.25">
      <c r="F59" s="476"/>
      <c r="G59" s="476">
        <v>140</v>
      </c>
      <c r="H59" s="359" t="s">
        <v>288</v>
      </c>
      <c r="I59" s="345"/>
      <c r="J59" s="199">
        <f>+J46</f>
        <v>346</v>
      </c>
      <c r="K59" s="346">
        <f>+J59*1.5</f>
        <v>519</v>
      </c>
    </row>
    <row r="60" spans="2:11" x14ac:dyDescent="0.25">
      <c r="B60" s="364" t="s">
        <v>231</v>
      </c>
      <c r="C60" s="199">
        <v>2184</v>
      </c>
      <c r="D60" s="384" t="s">
        <v>92</v>
      </c>
      <c r="F60" s="432">
        <f>(G59+G57)/F57</f>
        <v>0.75146341463414634</v>
      </c>
      <c r="G60" s="476" t="s">
        <v>270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162" t="s">
        <v>177</v>
      </c>
      <c r="G62" s="215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46089</v>
      </c>
      <c r="E65" s="129" t="s">
        <v>175</v>
      </c>
      <c r="F65" s="108">
        <v>55</v>
      </c>
      <c r="G65" s="297">
        <f t="shared" ref="G65:G73" si="5">+F65*1.5</f>
        <v>82.5</v>
      </c>
      <c r="H65" s="301"/>
      <c r="I65" s="129"/>
      <c r="K65" s="318"/>
    </row>
    <row r="66" spans="2:11" x14ac:dyDescent="0.25">
      <c r="C66" s="389"/>
      <c r="D66" s="301">
        <v>46089</v>
      </c>
      <c r="E66" s="129" t="s">
        <v>176</v>
      </c>
      <c r="F66" s="71">
        <v>162</v>
      </c>
      <c r="G66" s="297">
        <f t="shared" si="5"/>
        <v>243</v>
      </c>
      <c r="H66" s="301"/>
      <c r="I66" s="129"/>
      <c r="K66" s="318"/>
    </row>
    <row r="67" spans="2:11" x14ac:dyDescent="0.25">
      <c r="B67" s="71"/>
      <c r="C67" s="467" t="s">
        <v>80</v>
      </c>
      <c r="D67" s="301">
        <v>46090</v>
      </c>
      <c r="E67" s="129" t="s">
        <v>175</v>
      </c>
      <c r="F67" s="108">
        <f>36+36+37</f>
        <v>109</v>
      </c>
      <c r="G67" s="297">
        <f t="shared" si="5"/>
        <v>163.5</v>
      </c>
      <c r="H67" s="301"/>
      <c r="I67" s="129"/>
      <c r="K67" s="318"/>
    </row>
    <row r="68" spans="2:11" x14ac:dyDescent="0.25">
      <c r="B68" s="71" t="s">
        <v>254</v>
      </c>
      <c r="C68" s="466">
        <v>0.8</v>
      </c>
      <c r="D68" s="301">
        <v>46102</v>
      </c>
      <c r="E68" s="129" t="s">
        <v>175</v>
      </c>
      <c r="F68" s="71"/>
      <c r="G68" s="297">
        <f t="shared" si="5"/>
        <v>0</v>
      </c>
      <c r="H68" s="301"/>
      <c r="I68" s="129"/>
      <c r="K68" s="318"/>
    </row>
    <row r="69" spans="2:11" x14ac:dyDescent="0.25">
      <c r="B69" s="71" t="s">
        <v>279</v>
      </c>
      <c r="C69" s="466"/>
      <c r="D69" s="301">
        <v>46102</v>
      </c>
      <c r="E69" s="129" t="s">
        <v>176</v>
      </c>
      <c r="F69" s="108">
        <v>173</v>
      </c>
      <c r="G69" s="297">
        <f t="shared" si="5"/>
        <v>259.5</v>
      </c>
      <c r="H69" s="301"/>
      <c r="I69" s="129"/>
      <c r="K69" s="318"/>
    </row>
    <row r="70" spans="2:11" x14ac:dyDescent="0.25">
      <c r="B70" s="71" t="s">
        <v>280</v>
      </c>
      <c r="C70" s="71"/>
      <c r="D70" s="301">
        <v>46103</v>
      </c>
      <c r="E70" s="129" t="s">
        <v>175</v>
      </c>
      <c r="F70" s="71">
        <v>218</v>
      </c>
      <c r="G70" s="297">
        <f t="shared" si="5"/>
        <v>327</v>
      </c>
      <c r="H70" s="301"/>
      <c r="I70" s="129"/>
      <c r="K70" s="318"/>
    </row>
    <row r="71" spans="2:11" x14ac:dyDescent="0.25">
      <c r="B71" s="71" t="s">
        <v>281</v>
      </c>
      <c r="C71" s="71"/>
      <c r="D71" s="301">
        <v>46103</v>
      </c>
      <c r="E71" s="129" t="s">
        <v>176</v>
      </c>
      <c r="F71" s="108">
        <v>230</v>
      </c>
      <c r="G71" s="297">
        <f t="shared" si="5"/>
        <v>345</v>
      </c>
      <c r="H71" s="301"/>
      <c r="I71" s="129"/>
      <c r="K71" s="318"/>
    </row>
    <row r="72" spans="2:11" x14ac:dyDescent="0.25">
      <c r="B72" s="71" t="s">
        <v>282</v>
      </c>
      <c r="C72" s="71"/>
      <c r="D72" s="301">
        <v>46110</v>
      </c>
      <c r="E72" s="129" t="s">
        <v>175</v>
      </c>
      <c r="F72" s="71">
        <v>177</v>
      </c>
      <c r="G72" s="297">
        <f t="shared" si="5"/>
        <v>265.5</v>
      </c>
      <c r="H72" s="301"/>
      <c r="I72" s="129"/>
      <c r="K72" s="318"/>
    </row>
    <row r="73" spans="2:11" x14ac:dyDescent="0.25">
      <c r="B73" s="71" t="s">
        <v>283</v>
      </c>
      <c r="C73" s="71"/>
      <c r="D73" s="301">
        <v>46110</v>
      </c>
      <c r="E73" s="129" t="s">
        <v>176</v>
      </c>
      <c r="F73" s="71">
        <v>201</v>
      </c>
      <c r="G73" s="297">
        <f t="shared" si="5"/>
        <v>301.5</v>
      </c>
      <c r="H73" s="301"/>
      <c r="I73" s="129"/>
      <c r="K73" s="318"/>
    </row>
    <row r="74" spans="2:11" x14ac:dyDescent="0.25">
      <c r="H74" s="301"/>
      <c r="I74" s="129"/>
      <c r="K74" s="318"/>
    </row>
    <row r="75" spans="2:11" x14ac:dyDescent="0.25">
      <c r="H75" s="301"/>
      <c r="I75" s="129"/>
      <c r="K75" s="318"/>
    </row>
    <row r="76" spans="2:11" x14ac:dyDescent="0.25">
      <c r="D76" s="344"/>
      <c r="E76" s="345"/>
      <c r="F76" s="435">
        <v>406</v>
      </c>
      <c r="G76" s="436">
        <f>+F76*1.5</f>
        <v>609</v>
      </c>
      <c r="H76" s="431" t="s">
        <v>289</v>
      </c>
      <c r="I76" s="345"/>
      <c r="J76" s="200">
        <f>+J62+J63+J64</f>
        <v>22362</v>
      </c>
      <c r="K76" s="346">
        <f>+J76*0.025</f>
        <v>559.05000000000007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54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43.42578125" style="162" customWidth="1"/>
    <col min="3" max="3" width="10.85546875" style="162" customWidth="1"/>
    <col min="4" max="4" width="13.140625" style="163" customWidth="1"/>
    <col min="5" max="5" width="15.5703125" style="162" customWidth="1"/>
    <col min="6" max="6" width="15.7109375" style="162" customWidth="1"/>
    <col min="7" max="7" width="15.140625" style="162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77"/>
      <c r="C4" s="477"/>
      <c r="D4" s="165">
        <f>D23</f>
        <v>8811.6620000000021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38</v>
      </c>
      <c r="C5" s="176">
        <v>50012</v>
      </c>
      <c r="D5" s="172">
        <v>2133.8340000000003</v>
      </c>
      <c r="E5" s="245">
        <f t="shared" ref="E5:E23" si="0">+D5/$D$4</f>
        <v>0.24216021903699889</v>
      </c>
      <c r="F5" s="58" t="s">
        <v>51</v>
      </c>
      <c r="G5" s="59">
        <v>46118</v>
      </c>
      <c r="H5" s="190">
        <v>6009.9999999999991</v>
      </c>
      <c r="I5" s="141">
        <v>4849.6220000000012</v>
      </c>
      <c r="J5" s="60">
        <f t="shared" ref="J5:J12" si="1">+I5/H5</f>
        <v>0.80692545757071577</v>
      </c>
    </row>
    <row r="6" spans="1:11" ht="15" customHeight="1" x14ac:dyDescent="0.25">
      <c r="A6" s="164"/>
      <c r="B6" s="169" t="s">
        <v>35</v>
      </c>
      <c r="C6" s="177">
        <v>32087</v>
      </c>
      <c r="D6" s="173">
        <v>1367.66</v>
      </c>
      <c r="E6" s="245">
        <f t="shared" si="0"/>
        <v>0.15521022027399595</v>
      </c>
      <c r="F6" s="58" t="s">
        <v>52</v>
      </c>
      <c r="G6" s="59">
        <v>46119</v>
      </c>
      <c r="H6" s="190">
        <v>8104</v>
      </c>
      <c r="I6" s="141">
        <v>9669.1</v>
      </c>
      <c r="J6" s="60">
        <f t="shared" si="1"/>
        <v>1.1931268509378086</v>
      </c>
    </row>
    <row r="7" spans="1:11" ht="15" customHeight="1" x14ac:dyDescent="0.25">
      <c r="A7" s="164"/>
      <c r="B7" s="169" t="s">
        <v>37</v>
      </c>
      <c r="C7" s="177">
        <v>29229</v>
      </c>
      <c r="D7" s="173">
        <v>1247.2139999999999</v>
      </c>
      <c r="E7" s="245">
        <f t="shared" si="0"/>
        <v>0.14154128925961976</v>
      </c>
      <c r="F7" s="58" t="s">
        <v>53</v>
      </c>
      <c r="G7" s="59">
        <v>46120</v>
      </c>
      <c r="H7" s="190">
        <v>8942</v>
      </c>
      <c r="I7" s="141">
        <v>8399.7560000000012</v>
      </c>
      <c r="J7" s="60">
        <f t="shared" si="1"/>
        <v>0.93935987474837856</v>
      </c>
    </row>
    <row r="8" spans="1:11" ht="15" customHeight="1" x14ac:dyDescent="0.25">
      <c r="A8" s="164"/>
      <c r="B8" s="169" t="s">
        <v>42</v>
      </c>
      <c r="C8" s="177">
        <v>13392</v>
      </c>
      <c r="D8" s="173">
        <v>572.0440000000001</v>
      </c>
      <c r="E8" s="80">
        <f t="shared" si="0"/>
        <v>6.491896761360115E-2</v>
      </c>
      <c r="F8" s="58" t="s">
        <v>54</v>
      </c>
      <c r="G8" s="59">
        <v>46121</v>
      </c>
      <c r="H8" s="190">
        <v>8626.9999999999982</v>
      </c>
      <c r="I8" s="141">
        <v>8811.6620000000021</v>
      </c>
      <c r="J8" s="60">
        <f t="shared" si="1"/>
        <v>1.0214051234496353</v>
      </c>
    </row>
    <row r="9" spans="1:11" ht="15" customHeight="1" x14ac:dyDescent="0.25">
      <c r="A9" s="164"/>
      <c r="B9" s="169" t="s">
        <v>10</v>
      </c>
      <c r="C9" s="177">
        <v>10849</v>
      </c>
      <c r="D9" s="173">
        <v>463.24200000000002</v>
      </c>
      <c r="E9" s="80">
        <f t="shared" si="0"/>
        <v>5.2571467221507122E-2</v>
      </c>
      <c r="F9" s="58" t="s">
        <v>55</v>
      </c>
      <c r="G9" s="59">
        <v>46122</v>
      </c>
      <c r="H9" s="190">
        <v>7386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6</v>
      </c>
      <c r="C10" s="177">
        <v>5380</v>
      </c>
      <c r="D10" s="173">
        <v>229.55799999999999</v>
      </c>
      <c r="E10" s="80">
        <f t="shared" si="0"/>
        <v>2.6051612056840121E-2</v>
      </c>
      <c r="F10" s="58" t="s">
        <v>56</v>
      </c>
      <c r="G10" s="59">
        <v>46123</v>
      </c>
      <c r="H10" s="190">
        <v>7408.9999999999991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95</v>
      </c>
      <c r="C11" s="177">
        <v>1200</v>
      </c>
      <c r="D11" s="173">
        <v>30.24</v>
      </c>
      <c r="E11" s="80">
        <f t="shared" si="0"/>
        <v>3.4318157006022238E-3</v>
      </c>
      <c r="F11" s="58" t="s">
        <v>57</v>
      </c>
      <c r="G11" s="59">
        <v>46124</v>
      </c>
      <c r="H11" s="190">
        <v>5113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218</v>
      </c>
      <c r="C12" s="177">
        <v>800</v>
      </c>
      <c r="D12" s="173">
        <v>34.18</v>
      </c>
      <c r="E12" s="80">
        <f t="shared" si="0"/>
        <v>3.8789504182071433E-3</v>
      </c>
      <c r="H12" s="139">
        <f>+SUM(H5:H11)</f>
        <v>51591</v>
      </c>
      <c r="I12" s="142">
        <f>+SUM(I5:I11)</f>
        <v>31730.140000000007</v>
      </c>
      <c r="J12" s="140">
        <f t="shared" si="1"/>
        <v>0.61503246690314217</v>
      </c>
    </row>
    <row r="13" spans="1:11" ht="15" customHeight="1" x14ac:dyDescent="0.25">
      <c r="A13" s="164"/>
      <c r="B13" s="169" t="s">
        <v>39</v>
      </c>
      <c r="C13" s="177">
        <v>840</v>
      </c>
      <c r="D13" s="173">
        <v>1269.3699999999999</v>
      </c>
      <c r="E13" s="245">
        <f t="shared" si="0"/>
        <v>0.14405568438734936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43</v>
      </c>
      <c r="C14" s="177">
        <v>44</v>
      </c>
      <c r="D14" s="173">
        <v>66.58</v>
      </c>
      <c r="E14" s="80">
        <f t="shared" si="0"/>
        <v>7.555895811709526E-3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49</v>
      </c>
      <c r="C15" s="177">
        <v>42</v>
      </c>
      <c r="D15" s="173">
        <v>63.19</v>
      </c>
      <c r="E15" s="80">
        <f t="shared" si="0"/>
        <v>7.1711783770189988E-3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41</v>
      </c>
      <c r="C16" s="177">
        <v>207</v>
      </c>
      <c r="D16" s="173">
        <v>311.22000000000003</v>
      </c>
      <c r="E16" s="80">
        <f t="shared" si="0"/>
        <v>3.5319103252031227E-2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194</v>
      </c>
      <c r="C17" s="177">
        <v>22</v>
      </c>
      <c r="D17" s="173">
        <v>33.19</v>
      </c>
      <c r="E17" s="80">
        <f t="shared" si="0"/>
        <v>3.7665993089612366E-3</v>
      </c>
      <c r="F17" s="112" t="s">
        <v>111</v>
      </c>
      <c r="G17" s="190">
        <v>205343.72800000012</v>
      </c>
      <c r="H17" s="190">
        <v>198970.75799999986</v>
      </c>
      <c r="I17" s="190">
        <f>+D24</f>
        <v>64025.68</v>
      </c>
      <c r="J17" s="456">
        <f t="shared" si="2"/>
        <v>0.96896437956945902</v>
      </c>
      <c r="K17" s="456">
        <f t="shared" si="2"/>
        <v>0.32178436994244175</v>
      </c>
    </row>
    <row r="18" spans="1:11" ht="15" customHeight="1" x14ac:dyDescent="0.25">
      <c r="A18" s="164"/>
      <c r="B18" s="169" t="s">
        <v>45</v>
      </c>
      <c r="C18" s="177">
        <v>22</v>
      </c>
      <c r="D18" s="173">
        <v>33.07</v>
      </c>
      <c r="E18" s="80">
        <f t="shared" si="0"/>
        <v>3.752980992689006E-3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88</v>
      </c>
      <c r="C19" s="177">
        <v>20</v>
      </c>
      <c r="D19" s="173">
        <v>30.43</v>
      </c>
      <c r="E19" s="80">
        <f t="shared" si="0"/>
        <v>3.4533780346999231E-3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654</v>
      </c>
      <c r="E20" s="80">
        <f t="shared" si="0"/>
        <v>7.4219823683659203E-2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46</v>
      </c>
      <c r="C21" s="177"/>
      <c r="D21" s="173">
        <v>243.2</v>
      </c>
      <c r="E21" s="80">
        <f t="shared" si="0"/>
        <v>2.759978764505492E-2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thickBot="1" x14ac:dyDescent="0.3">
      <c r="A22" s="164"/>
      <c r="B22" s="169" t="s">
        <v>9</v>
      </c>
      <c r="C22" s="177"/>
      <c r="D22" s="173">
        <v>29.44</v>
      </c>
      <c r="E22" s="80">
        <f t="shared" si="0"/>
        <v>3.3410269254540168E-3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thickBot="1" x14ac:dyDescent="0.3">
      <c r="A23" s="164"/>
      <c r="B23" s="178" t="s">
        <v>0</v>
      </c>
      <c r="C23" s="170"/>
      <c r="D23" s="171">
        <f>SUM(D5:D22)</f>
        <v>8811.6620000000021</v>
      </c>
      <c r="E23" s="80">
        <f t="shared" si="0"/>
        <v>1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x14ac:dyDescent="0.25">
      <c r="A24" s="164"/>
      <c r="B24" s="166" t="s">
        <v>1</v>
      </c>
      <c r="C24" s="167"/>
      <c r="D24" s="233">
        <v>64025.68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742076.31599999999</v>
      </c>
      <c r="J26" s="378"/>
      <c r="K26" s="378">
        <f>+I26/H26</f>
        <v>0.96411311718058024</v>
      </c>
    </row>
    <row r="27" spans="1:11" ht="19.5" thickBot="1" x14ac:dyDescent="0.3">
      <c r="E27" s="313">
        <f>+D24/K2</f>
        <v>0.28765632094354471</v>
      </c>
      <c r="G27" s="379" t="s">
        <v>229</v>
      </c>
      <c r="H27" s="380"/>
      <c r="I27" s="380">
        <v>2726927.1277059279</v>
      </c>
      <c r="J27" s="381">
        <f>+I26/H26</f>
        <v>0.96411311718058024</v>
      </c>
      <c r="K27" s="179"/>
    </row>
    <row r="28" spans="1:11" ht="15" customHeight="1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5" customHeight="1" thickBot="1" x14ac:dyDescent="0.3">
      <c r="B29" s="397" t="s">
        <v>251</v>
      </c>
      <c r="C29" s="478">
        <v>9</v>
      </c>
      <c r="D29" s="108">
        <f>K3*C29</f>
        <v>66773.0990127267</v>
      </c>
      <c r="E29" s="314">
        <f>+D29/K2</f>
        <v>0.3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+D24-D29</f>
        <v>-2747.4190127266993</v>
      </c>
      <c r="E30" s="99">
        <f>E27-E29</f>
        <v>-1.2343679056455281E-2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0.32178436994244175</v>
      </c>
      <c r="J31" s="422">
        <f>+I17-H17</f>
        <v>-134945.07799999986</v>
      </c>
      <c r="K31" s="459">
        <f>J28+J31+J30+J29</f>
        <v>-27622.075999999826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1640</v>
      </c>
      <c r="D33" s="108">
        <v>2142</v>
      </c>
      <c r="E33" s="57">
        <f>+C33/D33</f>
        <v>0.76563958916900099</v>
      </c>
      <c r="G33" s="86" t="s">
        <v>86</v>
      </c>
      <c r="H33" s="87">
        <v>9933</v>
      </c>
      <c r="I33" s="88">
        <f>+H33*0.025</f>
        <v>248.32500000000002</v>
      </c>
      <c r="J33" s="224"/>
      <c r="K33" s="68"/>
    </row>
    <row r="34" spans="1:11" x14ac:dyDescent="0.25">
      <c r="B34" s="162" t="s">
        <v>62</v>
      </c>
      <c r="C34" s="162">
        <v>890</v>
      </c>
      <c r="D34" s="108">
        <v>1890</v>
      </c>
      <c r="E34" s="57">
        <f>+C34/D34</f>
        <v>0.47089947089947087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1035</v>
      </c>
      <c r="D35" s="108">
        <v>3006</v>
      </c>
      <c r="E35" s="57">
        <f>+C35/D35</f>
        <v>0.34431137724550898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3565</v>
      </c>
      <c r="D36" s="110">
        <f>+SUM(D33:D35)</f>
        <v>7038</v>
      </c>
      <c r="E36" s="57">
        <f>+C36/D36</f>
        <v>0.50653594771241828</v>
      </c>
      <c r="G36" s="89" t="s">
        <v>169</v>
      </c>
      <c r="H36" s="87">
        <v>317</v>
      </c>
      <c r="I36" s="88">
        <f>+H36*1.5</f>
        <v>475.5</v>
      </c>
      <c r="J36" s="298">
        <f>+I36+I33+I34+I35</f>
        <v>748.125</v>
      </c>
    </row>
    <row r="37" spans="1:11" x14ac:dyDescent="0.25">
      <c r="G37" s="89" t="s">
        <v>168</v>
      </c>
      <c r="H37" s="87">
        <v>55</v>
      </c>
      <c r="I37" s="88">
        <f>+H37*1.5</f>
        <v>82.5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57</v>
      </c>
      <c r="C40" s="74">
        <v>2</v>
      </c>
      <c r="D40" s="74">
        <v>18</v>
      </c>
      <c r="E40" s="75">
        <f>+SUM(B40:D40)</f>
        <v>77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7.25</v>
      </c>
      <c r="C44" s="199">
        <v>1690</v>
      </c>
      <c r="D44" s="200">
        <v>3600</v>
      </c>
      <c r="E44" s="201">
        <f t="shared" si="3"/>
        <v>0.46944444444444444</v>
      </c>
      <c r="F44" s="201">
        <f t="shared" si="4"/>
        <v>0.30208333333333331</v>
      </c>
      <c r="G44" s="202">
        <v>12</v>
      </c>
      <c r="H44" s="71"/>
    </row>
    <row r="45" spans="1:11" x14ac:dyDescent="0.25">
      <c r="A45" s="207" t="s">
        <v>72</v>
      </c>
      <c r="B45" s="199">
        <v>8.86</v>
      </c>
      <c r="C45" s="199">
        <v>0</v>
      </c>
      <c r="D45" s="200">
        <v>3900</v>
      </c>
      <c r="E45" s="201">
        <f t="shared" si="3"/>
        <v>0</v>
      </c>
      <c r="F45" s="201">
        <f t="shared" si="4"/>
        <v>0.36916666666666664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9.5</v>
      </c>
      <c r="C46" s="199">
        <v>3010</v>
      </c>
      <c r="D46" s="200">
        <v>3900</v>
      </c>
      <c r="E46" s="201">
        <f t="shared" si="3"/>
        <v>0.77179487179487183</v>
      </c>
      <c r="F46" s="201">
        <f t="shared" si="4"/>
        <v>0.39583333333333331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14.35</v>
      </c>
      <c r="C47" s="199">
        <v>1277</v>
      </c>
      <c r="D47" s="200">
        <v>3900</v>
      </c>
      <c r="E47" s="201">
        <f t="shared" si="3"/>
        <v>0.32743589743589746</v>
      </c>
      <c r="F47" s="201">
        <f t="shared" si="4"/>
        <v>0.59791666666666665</v>
      </c>
      <c r="G47" s="202">
        <v>12</v>
      </c>
      <c r="H47" s="301"/>
      <c r="I47" s="129"/>
      <c r="K47" s="318"/>
    </row>
    <row r="48" spans="1:11" x14ac:dyDescent="0.25">
      <c r="A48" s="259" t="s">
        <v>75</v>
      </c>
      <c r="B48" s="260">
        <v>16.68</v>
      </c>
      <c r="C48" s="261">
        <v>3014</v>
      </c>
      <c r="D48" s="262">
        <v>4300</v>
      </c>
      <c r="E48" s="263">
        <f t="shared" si="3"/>
        <v>0.70093023255813958</v>
      </c>
      <c r="F48" s="201">
        <f t="shared" si="4"/>
        <v>0.69499999999999995</v>
      </c>
      <c r="G48" s="202">
        <v>16</v>
      </c>
      <c r="H48" s="301"/>
      <c r="I48" s="129"/>
      <c r="K48" s="318"/>
    </row>
    <row r="49" spans="2:11" x14ac:dyDescent="0.25">
      <c r="B49" s="113">
        <f>+SUM(B43:B48)</f>
        <v>56.64</v>
      </c>
      <c r="C49" s="71"/>
      <c r="D49" s="72"/>
      <c r="H49" s="301"/>
      <c r="I49" s="129"/>
      <c r="K49" s="318"/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12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F56" s="478" t="s">
        <v>271</v>
      </c>
      <c r="G56" s="478" t="s">
        <v>267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F57" s="478">
        <v>1230</v>
      </c>
      <c r="G57" s="478">
        <v>784.3</v>
      </c>
      <c r="H57" s="301"/>
      <c r="I57" s="129"/>
      <c r="K57" s="318"/>
    </row>
    <row r="58" spans="2:11" x14ac:dyDescent="0.25">
      <c r="C58" s="71">
        <v>8</v>
      </c>
      <c r="D58" s="108">
        <v>3</v>
      </c>
      <c r="F58" s="432">
        <f>+G57/F57</f>
        <v>0.63764227642276416</v>
      </c>
      <c r="G58" s="478" t="s">
        <v>269</v>
      </c>
    </row>
    <row r="59" spans="2:11" x14ac:dyDescent="0.25">
      <c r="F59" s="478"/>
      <c r="G59" s="478">
        <v>140</v>
      </c>
      <c r="H59" s="359" t="s">
        <v>288</v>
      </c>
      <c r="I59" s="345"/>
      <c r="J59" s="199">
        <f>+J46</f>
        <v>346</v>
      </c>
      <c r="K59" s="346">
        <f>+J59*1.5</f>
        <v>519</v>
      </c>
    </row>
    <row r="60" spans="2:11" x14ac:dyDescent="0.25">
      <c r="B60" s="364" t="s">
        <v>231</v>
      </c>
      <c r="C60" s="199">
        <v>2100</v>
      </c>
      <c r="D60" s="384" t="s">
        <v>92</v>
      </c>
      <c r="F60" s="432">
        <f>(G59+G57)/F57</f>
        <v>0.75146341463414634</v>
      </c>
      <c r="G60" s="478" t="s">
        <v>270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162" t="s">
        <v>177</v>
      </c>
      <c r="G62" s="215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46089</v>
      </c>
      <c r="E65" s="129" t="s">
        <v>175</v>
      </c>
      <c r="F65" s="108">
        <v>55</v>
      </c>
      <c r="G65" s="297">
        <f t="shared" ref="G65:G73" si="5">+F65*1.5</f>
        <v>82.5</v>
      </c>
      <c r="H65" s="301"/>
      <c r="I65" s="129"/>
      <c r="K65" s="318"/>
    </row>
    <row r="66" spans="2:11" x14ac:dyDescent="0.25">
      <c r="C66" s="389"/>
      <c r="D66" s="301">
        <v>46089</v>
      </c>
      <c r="E66" s="129" t="s">
        <v>176</v>
      </c>
      <c r="F66" s="71">
        <v>162</v>
      </c>
      <c r="G66" s="297">
        <f t="shared" si="5"/>
        <v>243</v>
      </c>
      <c r="H66" s="301"/>
      <c r="I66" s="129"/>
      <c r="K66" s="318"/>
    </row>
    <row r="67" spans="2:11" x14ac:dyDescent="0.25">
      <c r="B67" s="71"/>
      <c r="C67" s="467" t="s">
        <v>80</v>
      </c>
      <c r="D67" s="301">
        <v>46090</v>
      </c>
      <c r="E67" s="129" t="s">
        <v>175</v>
      </c>
      <c r="F67" s="108">
        <f>36+36+37</f>
        <v>109</v>
      </c>
      <c r="G67" s="297">
        <f t="shared" si="5"/>
        <v>163.5</v>
      </c>
      <c r="H67" s="301"/>
      <c r="I67" s="129"/>
      <c r="K67" s="318"/>
    </row>
    <row r="68" spans="2:11" x14ac:dyDescent="0.25">
      <c r="B68" s="71" t="s">
        <v>254</v>
      </c>
      <c r="C68" s="466">
        <v>0.8</v>
      </c>
      <c r="D68" s="301">
        <v>46102</v>
      </c>
      <c r="E68" s="129" t="s">
        <v>175</v>
      </c>
      <c r="F68" s="71"/>
      <c r="G68" s="297">
        <f t="shared" si="5"/>
        <v>0</v>
      </c>
      <c r="H68" s="301"/>
      <c r="I68" s="129"/>
      <c r="K68" s="318"/>
    </row>
    <row r="69" spans="2:11" x14ac:dyDescent="0.25">
      <c r="B69" s="71" t="s">
        <v>279</v>
      </c>
      <c r="C69" s="466"/>
      <c r="D69" s="301">
        <v>46102</v>
      </c>
      <c r="E69" s="129" t="s">
        <v>176</v>
      </c>
      <c r="F69" s="108">
        <v>173</v>
      </c>
      <c r="G69" s="297">
        <f t="shared" si="5"/>
        <v>259.5</v>
      </c>
      <c r="H69" s="301"/>
      <c r="I69" s="129"/>
      <c r="K69" s="318"/>
    </row>
    <row r="70" spans="2:11" x14ac:dyDescent="0.25">
      <c r="B70" s="71" t="s">
        <v>280</v>
      </c>
      <c r="C70" s="71"/>
      <c r="D70" s="301">
        <v>46103</v>
      </c>
      <c r="E70" s="129" t="s">
        <v>175</v>
      </c>
      <c r="F70" s="71">
        <v>218</v>
      </c>
      <c r="G70" s="297">
        <f t="shared" si="5"/>
        <v>327</v>
      </c>
      <c r="H70" s="301"/>
      <c r="I70" s="129"/>
      <c r="K70" s="318"/>
    </row>
    <row r="71" spans="2:11" x14ac:dyDescent="0.25">
      <c r="B71" s="71" t="s">
        <v>281</v>
      </c>
      <c r="C71" s="71"/>
      <c r="D71" s="301">
        <v>46103</v>
      </c>
      <c r="E71" s="129" t="s">
        <v>176</v>
      </c>
      <c r="F71" s="108">
        <v>230</v>
      </c>
      <c r="G71" s="297">
        <f t="shared" si="5"/>
        <v>345</v>
      </c>
      <c r="H71" s="301"/>
      <c r="I71" s="129"/>
      <c r="K71" s="318"/>
    </row>
    <row r="72" spans="2:11" x14ac:dyDescent="0.25">
      <c r="B72" s="71" t="s">
        <v>282</v>
      </c>
      <c r="C72" s="71"/>
      <c r="D72" s="301">
        <v>46110</v>
      </c>
      <c r="E72" s="129" t="s">
        <v>175</v>
      </c>
      <c r="F72" s="71">
        <v>177</v>
      </c>
      <c r="G72" s="297">
        <f t="shared" si="5"/>
        <v>265.5</v>
      </c>
      <c r="H72" s="301"/>
      <c r="I72" s="129"/>
      <c r="K72" s="318"/>
    </row>
    <row r="73" spans="2:11" x14ac:dyDescent="0.25">
      <c r="B73" s="71" t="s">
        <v>283</v>
      </c>
      <c r="C73" s="71"/>
      <c r="D73" s="301">
        <v>46110</v>
      </c>
      <c r="E73" s="129" t="s">
        <v>176</v>
      </c>
      <c r="F73" s="71">
        <v>201</v>
      </c>
      <c r="G73" s="297">
        <f t="shared" si="5"/>
        <v>301.5</v>
      </c>
      <c r="H73" s="301"/>
      <c r="I73" s="129"/>
      <c r="K73" s="318"/>
    </row>
    <row r="74" spans="2:11" x14ac:dyDescent="0.25">
      <c r="H74" s="301"/>
      <c r="I74" s="129"/>
      <c r="K74" s="318"/>
    </row>
    <row r="75" spans="2:11" x14ac:dyDescent="0.25">
      <c r="H75" s="301"/>
      <c r="I75" s="129"/>
      <c r="K75" s="318"/>
    </row>
    <row r="76" spans="2:11" x14ac:dyDescent="0.25">
      <c r="D76" s="344"/>
      <c r="E76" s="345"/>
      <c r="F76" s="435">
        <v>406</v>
      </c>
      <c r="G76" s="436">
        <f>+F76*1.5</f>
        <v>609</v>
      </c>
      <c r="H76" s="431" t="s">
        <v>289</v>
      </c>
      <c r="I76" s="345"/>
      <c r="J76" s="200">
        <f>+J62+J63+J64</f>
        <v>22362</v>
      </c>
      <c r="K76" s="346">
        <f>+J76*0.025</f>
        <v>559.05000000000007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workbookViewId="0">
      <selection activeCell="L5" sqref="L5:M11"/>
    </sheetView>
  </sheetViews>
  <sheetFormatPr baseColWidth="10" defaultColWidth="11.42578125" defaultRowHeight="15.75" x14ac:dyDescent="0.25"/>
  <cols>
    <col min="1" max="1" width="2.42578125" style="162" customWidth="1"/>
    <col min="2" max="2" width="39.7109375" style="162" customWidth="1"/>
    <col min="3" max="3" width="13.28515625" style="162" customWidth="1"/>
    <col min="4" max="4" width="14.5703125" style="163" customWidth="1"/>
    <col min="5" max="5" width="16.7109375" style="162" customWidth="1"/>
    <col min="6" max="6" width="15.7109375" style="162" customWidth="1"/>
    <col min="7" max="7" width="15.140625" style="162" customWidth="1"/>
    <col min="8" max="16384" width="11.42578125" style="162"/>
  </cols>
  <sheetData>
    <row r="1" spans="1:13" ht="15" customHeight="1" x14ac:dyDescent="0.25">
      <c r="A1" s="161"/>
      <c r="B1" s="518">
        <v>46124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3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3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3" ht="19.5" customHeight="1" thickBot="1" x14ac:dyDescent="0.4">
      <c r="A4" s="164"/>
      <c r="B4" s="479"/>
      <c r="C4" s="479"/>
      <c r="D4" s="165">
        <f>D19</f>
        <v>3352.58</v>
      </c>
      <c r="E4" s="80"/>
      <c r="F4" s="57"/>
      <c r="H4" s="69" t="s">
        <v>58</v>
      </c>
      <c r="I4" s="278" t="s">
        <v>59</v>
      </c>
      <c r="J4" s="69" t="s">
        <v>80</v>
      </c>
      <c r="M4" s="69" t="s">
        <v>58</v>
      </c>
    </row>
    <row r="5" spans="1:13" ht="15" customHeight="1" x14ac:dyDescent="0.25">
      <c r="A5" s="164"/>
      <c r="B5" s="168" t="s">
        <v>6</v>
      </c>
      <c r="C5" s="176">
        <v>4423</v>
      </c>
      <c r="D5" s="172">
        <v>188.71</v>
      </c>
      <c r="E5" s="80">
        <f t="shared" ref="E5:E19" si="0">+D5/$D$4</f>
        <v>5.6287993127680777E-2</v>
      </c>
      <c r="F5" s="58" t="s">
        <v>51</v>
      </c>
      <c r="G5" s="59">
        <v>46118</v>
      </c>
      <c r="H5" s="190">
        <v>6009.9999999999991</v>
      </c>
      <c r="I5" s="141">
        <v>4849.6220000000012</v>
      </c>
      <c r="J5" s="60">
        <f t="shared" ref="J5:J12" si="1">+I5/H5</f>
        <v>0.80692545757071577</v>
      </c>
      <c r="L5" s="59">
        <v>46125</v>
      </c>
      <c r="M5" s="162">
        <v>5592</v>
      </c>
    </row>
    <row r="6" spans="1:13" ht="15" customHeight="1" x14ac:dyDescent="0.25">
      <c r="A6" s="164"/>
      <c r="B6" s="169" t="s">
        <v>10</v>
      </c>
      <c r="C6" s="177">
        <v>4660</v>
      </c>
      <c r="D6" s="173">
        <v>198.55400000000003</v>
      </c>
      <c r="E6" s="80">
        <f t="shared" si="0"/>
        <v>5.9224239242613164E-2</v>
      </c>
      <c r="F6" s="58" t="s">
        <v>52</v>
      </c>
      <c r="G6" s="59">
        <v>46119</v>
      </c>
      <c r="H6" s="190">
        <v>8104</v>
      </c>
      <c r="I6" s="141">
        <v>9669.1</v>
      </c>
      <c r="J6" s="60">
        <f t="shared" si="1"/>
        <v>1.1931268509378086</v>
      </c>
      <c r="L6" s="59">
        <v>46126</v>
      </c>
      <c r="M6" s="162">
        <v>8469</v>
      </c>
    </row>
    <row r="7" spans="1:13" ht="15" customHeight="1" x14ac:dyDescent="0.25">
      <c r="A7" s="164"/>
      <c r="B7" s="169" t="s">
        <v>35</v>
      </c>
      <c r="C7" s="177">
        <v>12133</v>
      </c>
      <c r="D7" s="173">
        <v>516.9799999999999</v>
      </c>
      <c r="E7" s="245">
        <f t="shared" si="0"/>
        <v>0.1542036282504817</v>
      </c>
      <c r="F7" s="58" t="s">
        <v>53</v>
      </c>
      <c r="G7" s="59">
        <v>46120</v>
      </c>
      <c r="H7" s="190">
        <v>8942</v>
      </c>
      <c r="I7" s="141">
        <v>8399.7560000000012</v>
      </c>
      <c r="J7" s="60">
        <f t="shared" si="1"/>
        <v>0.93935987474837856</v>
      </c>
      <c r="L7" s="59">
        <v>46127</v>
      </c>
      <c r="M7" s="162">
        <v>9233</v>
      </c>
    </row>
    <row r="8" spans="1:13" ht="15" customHeight="1" x14ac:dyDescent="0.25">
      <c r="A8" s="164"/>
      <c r="B8" s="169" t="s">
        <v>4</v>
      </c>
      <c r="C8" s="177">
        <v>880</v>
      </c>
      <c r="D8" s="173">
        <v>37.5</v>
      </c>
      <c r="E8" s="80">
        <f t="shared" si="0"/>
        <v>1.1185415411414493E-2</v>
      </c>
      <c r="F8" s="58" t="s">
        <v>54</v>
      </c>
      <c r="G8" s="59">
        <v>46121</v>
      </c>
      <c r="H8" s="190">
        <v>8626.9999999999982</v>
      </c>
      <c r="I8" s="141">
        <v>8811.6620000000021</v>
      </c>
      <c r="J8" s="60">
        <f t="shared" si="1"/>
        <v>1.0214051234496353</v>
      </c>
      <c r="L8" s="59">
        <v>46128</v>
      </c>
      <c r="M8" s="162">
        <v>9011</v>
      </c>
    </row>
    <row r="9" spans="1:13" ht="15" customHeight="1" x14ac:dyDescent="0.25">
      <c r="A9" s="164"/>
      <c r="B9" s="169" t="s">
        <v>37</v>
      </c>
      <c r="C9" s="177">
        <v>7070</v>
      </c>
      <c r="D9" s="173">
        <v>301.96599999999995</v>
      </c>
      <c r="E9" s="80">
        <f t="shared" si="0"/>
        <v>9.0069737336618355E-2</v>
      </c>
      <c r="F9" s="58" t="s">
        <v>55</v>
      </c>
      <c r="G9" s="59">
        <v>46122</v>
      </c>
      <c r="H9" s="190">
        <v>7386</v>
      </c>
      <c r="I9" s="141">
        <v>9319.0300000000007</v>
      </c>
      <c r="J9" s="60">
        <f t="shared" si="1"/>
        <v>1.2617154075277552</v>
      </c>
      <c r="L9" s="59">
        <v>46129</v>
      </c>
      <c r="M9" s="162">
        <v>7896</v>
      </c>
    </row>
    <row r="10" spans="1:13" ht="15" customHeight="1" x14ac:dyDescent="0.25">
      <c r="A10" s="164"/>
      <c r="B10" s="169" t="s">
        <v>38</v>
      </c>
      <c r="C10" s="177">
        <v>16213</v>
      </c>
      <c r="D10" s="173">
        <v>692.30600000000004</v>
      </c>
      <c r="E10" s="245">
        <f t="shared" si="0"/>
        <v>0.20649947204839258</v>
      </c>
      <c r="F10" s="58" t="s">
        <v>56</v>
      </c>
      <c r="G10" s="59">
        <v>46123</v>
      </c>
      <c r="H10" s="190">
        <v>7408.9999999999991</v>
      </c>
      <c r="I10" s="141">
        <v>7438.28</v>
      </c>
      <c r="J10" s="60">
        <f t="shared" si="1"/>
        <v>1.0039519503306791</v>
      </c>
      <c r="L10" s="59">
        <v>46130</v>
      </c>
      <c r="M10" s="162">
        <v>6986</v>
      </c>
    </row>
    <row r="11" spans="1:13" ht="15" customHeight="1" x14ac:dyDescent="0.25">
      <c r="A11" s="164"/>
      <c r="B11" s="169" t="s">
        <v>42</v>
      </c>
      <c r="C11" s="177">
        <v>12705</v>
      </c>
      <c r="D11" s="173">
        <v>542.22</v>
      </c>
      <c r="E11" s="245">
        <f t="shared" si="0"/>
        <v>0.16173215851672446</v>
      </c>
      <c r="F11" s="58" t="s">
        <v>57</v>
      </c>
      <c r="G11" s="59">
        <v>46124</v>
      </c>
      <c r="H11" s="190">
        <v>5113</v>
      </c>
      <c r="I11" s="141">
        <v>3352.58</v>
      </c>
      <c r="J11" s="60">
        <f t="shared" si="1"/>
        <v>0.65569724232348914</v>
      </c>
      <c r="L11" s="59">
        <v>46131</v>
      </c>
      <c r="M11" s="162">
        <v>4382.9999999999991</v>
      </c>
    </row>
    <row r="12" spans="1:13" ht="15" customHeight="1" x14ac:dyDescent="0.25">
      <c r="A12" s="164"/>
      <c r="B12" s="169" t="s">
        <v>196</v>
      </c>
      <c r="C12" s="177">
        <v>3895</v>
      </c>
      <c r="D12" s="173">
        <v>98.674000000000007</v>
      </c>
      <c r="E12" s="80">
        <f t="shared" si="0"/>
        <v>2.9432258141491034E-2</v>
      </c>
      <c r="H12" s="139">
        <f>+SUM(H5:H11)</f>
        <v>51591</v>
      </c>
      <c r="I12" s="142">
        <f>+SUM(I5:I11)</f>
        <v>51840.030000000006</v>
      </c>
      <c r="J12" s="140">
        <f t="shared" si="1"/>
        <v>1.004827004710124</v>
      </c>
    </row>
    <row r="13" spans="1:13" ht="15" customHeight="1" x14ac:dyDescent="0.25">
      <c r="A13" s="164"/>
      <c r="B13" s="169" t="s">
        <v>39</v>
      </c>
      <c r="C13" s="177">
        <v>108</v>
      </c>
      <c r="D13" s="173">
        <v>163.07</v>
      </c>
      <c r="E13" s="80">
        <f t="shared" si="0"/>
        <v>4.8640151763716298E-2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3" ht="15" customHeight="1" x14ac:dyDescent="0.25">
      <c r="A14" s="164"/>
      <c r="B14" s="169" t="s">
        <v>43</v>
      </c>
      <c r="C14" s="177">
        <v>46</v>
      </c>
      <c r="D14" s="173">
        <v>69.430000000000007</v>
      </c>
      <c r="E14" s="80">
        <f t="shared" si="0"/>
        <v>2.0709423787053555E-2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3" ht="15" customHeight="1" x14ac:dyDescent="0.25">
      <c r="A15" s="164"/>
      <c r="B15" s="169" t="s">
        <v>85</v>
      </c>
      <c r="C15" s="177">
        <v>139</v>
      </c>
      <c r="D15" s="173">
        <v>209.93</v>
      </c>
      <c r="E15" s="80">
        <f t="shared" si="0"/>
        <v>6.2617446861819859E-2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3" ht="15" customHeight="1" x14ac:dyDescent="0.25">
      <c r="A16" s="164"/>
      <c r="B16" s="169" t="s">
        <v>49</v>
      </c>
      <c r="C16" s="177">
        <v>43</v>
      </c>
      <c r="D16" s="173">
        <v>64.63</v>
      </c>
      <c r="E16" s="80">
        <f t="shared" si="0"/>
        <v>1.9277690614392495E-2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88</v>
      </c>
      <c r="C17" s="177">
        <v>20</v>
      </c>
      <c r="D17" s="173">
        <v>30.09</v>
      </c>
      <c r="E17" s="80">
        <f t="shared" si="0"/>
        <v>8.9751773261189886E-3</v>
      </c>
      <c r="F17" s="112" t="s">
        <v>111</v>
      </c>
      <c r="G17" s="190">
        <v>205343.72800000012</v>
      </c>
      <c r="H17" s="190">
        <v>198970.75799999986</v>
      </c>
      <c r="I17" s="190">
        <f>+D20</f>
        <v>84338.862999999998</v>
      </c>
      <c r="J17" s="456">
        <f t="shared" si="2"/>
        <v>0.96896437956945902</v>
      </c>
      <c r="K17" s="456">
        <f t="shared" si="2"/>
        <v>0.42387566820246048</v>
      </c>
    </row>
    <row r="18" spans="1:11" ht="15" customHeight="1" thickBot="1" x14ac:dyDescent="0.3">
      <c r="A18" s="164"/>
      <c r="B18" s="169" t="s">
        <v>40</v>
      </c>
      <c r="C18" s="177"/>
      <c r="D18" s="173">
        <v>238.51999999999998</v>
      </c>
      <c r="E18" s="80">
        <f t="shared" si="0"/>
        <v>7.1145207571482252E-2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thickBot="1" x14ac:dyDescent="0.3">
      <c r="A19" s="164"/>
      <c r="B19" s="178" t="s">
        <v>0</v>
      </c>
      <c r="C19" s="170"/>
      <c r="D19" s="171">
        <f>SUM(D5:D18)</f>
        <v>3352.58</v>
      </c>
      <c r="E19" s="80">
        <f t="shared" si="0"/>
        <v>1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6" t="s">
        <v>1</v>
      </c>
      <c r="C20" s="167"/>
      <c r="D20" s="233">
        <v>84338.862999999998</v>
      </c>
      <c r="E20" s="80"/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x14ac:dyDescent="0.25">
      <c r="E21" s="80"/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x14ac:dyDescent="0.25">
      <c r="E22" s="80"/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E23" s="80"/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762389.49899999995</v>
      </c>
      <c r="J26" s="378"/>
      <c r="K26" s="378">
        <f>+I26/H26</f>
        <v>0.99050421168087899</v>
      </c>
    </row>
    <row r="27" spans="1:11" ht="19.5" thickBot="1" x14ac:dyDescent="0.3">
      <c r="E27" s="313">
        <f>+D20/K2</f>
        <v>0.37891994342179025</v>
      </c>
      <c r="G27" s="379" t="s">
        <v>229</v>
      </c>
      <c r="H27" s="380"/>
      <c r="I27" s="380">
        <v>2726927.1277059279</v>
      </c>
      <c r="J27" s="381">
        <f>+I26/H26</f>
        <v>0.99050421168087899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80">
        <v>12</v>
      </c>
      <c r="D29" s="108">
        <f>K3*C29</f>
        <v>89030.798683635599</v>
      </c>
      <c r="E29" s="314">
        <f>+D29/K2</f>
        <v>0.4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5" customHeight="1" thickBot="1" x14ac:dyDescent="0.3">
      <c r="D30" s="183">
        <f>+D20-D29</f>
        <v>-4691.9356836356019</v>
      </c>
      <c r="E30" s="99">
        <f>E27-E29</f>
        <v>-2.1080056578209772E-2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0.42387566820246048</v>
      </c>
      <c r="J31" s="422">
        <f>+I17-H17</f>
        <v>-114631.89499999986</v>
      </c>
      <c r="K31" s="459">
        <f>J28+J31+J30+J29</f>
        <v>-7308.8929999998218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1614</v>
      </c>
      <c r="D33" s="108">
        <v>2142</v>
      </c>
      <c r="E33" s="57">
        <f>+C33/D33</f>
        <v>0.75350140056022408</v>
      </c>
      <c r="G33" s="86" t="s">
        <v>86</v>
      </c>
      <c r="H33" s="87">
        <v>8733</v>
      </c>
      <c r="I33" s="88">
        <f>+H33*0.025</f>
        <v>218.32500000000002</v>
      </c>
      <c r="J33" s="224"/>
      <c r="K33" s="68"/>
    </row>
    <row r="34" spans="1:11" x14ac:dyDescent="0.25">
      <c r="B34" s="162" t="s">
        <v>62</v>
      </c>
      <c r="C34" s="162">
        <v>1035</v>
      </c>
      <c r="D34" s="108">
        <v>1890</v>
      </c>
      <c r="E34" s="57">
        <f>+C34/D34</f>
        <v>0.54761904761904767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2024</v>
      </c>
      <c r="D35" s="108">
        <v>3006</v>
      </c>
      <c r="E35" s="57">
        <f>+C35/D35</f>
        <v>0.67332002661343981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4673</v>
      </c>
      <c r="D36" s="110">
        <f>+SUM(D33:D35)</f>
        <v>7038</v>
      </c>
      <c r="E36" s="57">
        <f>+C36/D36</f>
        <v>0.66396703608979823</v>
      </c>
      <c r="G36" s="89" t="s">
        <v>169</v>
      </c>
      <c r="H36" s="87">
        <v>297</v>
      </c>
      <c r="I36" s="88">
        <f>+H36*1.5</f>
        <v>445.5</v>
      </c>
      <c r="J36" s="298">
        <f>+I36+I33+I34+I35</f>
        <v>688.125</v>
      </c>
    </row>
    <row r="37" spans="1:11" x14ac:dyDescent="0.25">
      <c r="G37" s="89" t="s">
        <v>168</v>
      </c>
      <c r="H37" s="87">
        <v>13</v>
      </c>
      <c r="I37" s="88">
        <f>+H37*1.5</f>
        <v>19.5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14</v>
      </c>
      <c r="C40" s="74">
        <v>2</v>
      </c>
      <c r="D40" s="74">
        <v>9</v>
      </c>
      <c r="E40" s="75">
        <f>+SUM(B40:D40)</f>
        <v>25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5.38</v>
      </c>
      <c r="C44" s="199">
        <v>2268</v>
      </c>
      <c r="D44" s="200">
        <v>3600</v>
      </c>
      <c r="E44" s="201">
        <f t="shared" si="3"/>
        <v>0.63</v>
      </c>
      <c r="F44" s="201">
        <f t="shared" si="4"/>
        <v>0.22416666666666665</v>
      </c>
      <c r="G44" s="202">
        <v>12</v>
      </c>
      <c r="H44" s="71"/>
    </row>
    <row r="45" spans="1:11" x14ac:dyDescent="0.25">
      <c r="A45" s="207" t="s">
        <v>72</v>
      </c>
      <c r="B45" s="199">
        <v>4.01</v>
      </c>
      <c r="C45" s="199">
        <v>0</v>
      </c>
      <c r="D45" s="200">
        <v>3900</v>
      </c>
      <c r="E45" s="201">
        <f t="shared" si="3"/>
        <v>0</v>
      </c>
      <c r="F45" s="201">
        <f t="shared" si="4"/>
        <v>0.16708333333333333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5.89</v>
      </c>
      <c r="C46" s="199">
        <v>2583</v>
      </c>
      <c r="D46" s="200">
        <v>3900</v>
      </c>
      <c r="E46" s="201">
        <f t="shared" si="3"/>
        <v>0.66230769230769226</v>
      </c>
      <c r="F46" s="201">
        <f t="shared" si="4"/>
        <v>0.24541666666666664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7.92</v>
      </c>
      <c r="C47" s="199">
        <v>2581</v>
      </c>
      <c r="D47" s="200">
        <v>3900</v>
      </c>
      <c r="E47" s="201">
        <f t="shared" si="3"/>
        <v>0.66179487179487184</v>
      </c>
      <c r="F47" s="201">
        <f t="shared" si="4"/>
        <v>0.33</v>
      </c>
      <c r="G47" s="202">
        <v>12</v>
      </c>
      <c r="H47" s="301"/>
      <c r="I47" s="129"/>
      <c r="K47" s="318"/>
    </row>
    <row r="48" spans="1:11" x14ac:dyDescent="0.25">
      <c r="A48" s="259" t="s">
        <v>75</v>
      </c>
      <c r="B48" s="260">
        <v>5.33</v>
      </c>
      <c r="C48" s="261">
        <v>2619</v>
      </c>
      <c r="D48" s="262">
        <v>4300</v>
      </c>
      <c r="E48" s="263">
        <f t="shared" si="3"/>
        <v>0.60906976744186048</v>
      </c>
      <c r="F48" s="201">
        <f t="shared" si="4"/>
        <v>0.22208333333333333</v>
      </c>
      <c r="G48" s="202">
        <v>16</v>
      </c>
      <c r="H48" s="301"/>
      <c r="I48" s="129"/>
      <c r="K48" s="318"/>
    </row>
    <row r="49" spans="2:11" x14ac:dyDescent="0.25">
      <c r="B49" s="113">
        <f>+SUM(B43:B48)</f>
        <v>28.53</v>
      </c>
      <c r="C49" s="71"/>
      <c r="D49" s="72"/>
      <c r="H49" s="301"/>
      <c r="I49" s="129"/>
      <c r="K49" s="318"/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5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F56" s="480" t="s">
        <v>271</v>
      </c>
      <c r="G56" s="480" t="s">
        <v>267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F57" s="480">
        <v>1230</v>
      </c>
      <c r="G57" s="480">
        <v>784.3</v>
      </c>
      <c r="H57" s="301"/>
      <c r="I57" s="129"/>
      <c r="K57" s="318"/>
    </row>
    <row r="58" spans="2:11" x14ac:dyDescent="0.25">
      <c r="C58" s="71">
        <v>8</v>
      </c>
      <c r="D58" s="108">
        <v>0</v>
      </c>
      <c r="F58" s="432">
        <f>+G57/F57</f>
        <v>0.63764227642276416</v>
      </c>
      <c r="G58" s="480" t="s">
        <v>269</v>
      </c>
    </row>
    <row r="59" spans="2:11" x14ac:dyDescent="0.25">
      <c r="F59" s="480"/>
      <c r="G59" s="480">
        <v>140</v>
      </c>
      <c r="H59" s="359" t="s">
        <v>288</v>
      </c>
      <c r="I59" s="345"/>
      <c r="J59" s="199">
        <f>+J46</f>
        <v>346</v>
      </c>
      <c r="K59" s="346">
        <f>+J59*1.5</f>
        <v>519</v>
      </c>
    </row>
    <row r="60" spans="2:11" x14ac:dyDescent="0.25">
      <c r="B60" s="364" t="s">
        <v>231</v>
      </c>
      <c r="C60" s="199">
        <v>1582</v>
      </c>
      <c r="D60" s="384" t="s">
        <v>92</v>
      </c>
      <c r="F60" s="432">
        <f>(G59+G57)/F57</f>
        <v>0.75146341463414634</v>
      </c>
      <c r="G60" s="480" t="s">
        <v>270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162" t="s">
        <v>177</v>
      </c>
      <c r="G62" s="215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46102</v>
      </c>
      <c r="E65" s="129" t="s">
        <v>175</v>
      </c>
      <c r="F65" s="71"/>
      <c r="G65" s="297">
        <f t="shared" ref="G65:G70" si="5">+F65*1.5</f>
        <v>0</v>
      </c>
      <c r="H65" s="301"/>
      <c r="I65" s="129"/>
      <c r="K65" s="318"/>
    </row>
    <row r="66" spans="2:11" x14ac:dyDescent="0.25">
      <c r="C66" s="389"/>
      <c r="D66" s="301">
        <v>46102</v>
      </c>
      <c r="E66" s="129" t="s">
        <v>176</v>
      </c>
      <c r="F66" s="108">
        <v>173</v>
      </c>
      <c r="G66" s="297">
        <f t="shared" si="5"/>
        <v>259.5</v>
      </c>
      <c r="H66" s="301"/>
      <c r="I66" s="129"/>
      <c r="K66" s="318"/>
    </row>
    <row r="67" spans="2:11" x14ac:dyDescent="0.25">
      <c r="B67" s="71"/>
      <c r="C67" s="467" t="s">
        <v>80</v>
      </c>
      <c r="D67" s="301">
        <v>46103</v>
      </c>
      <c r="E67" s="129" t="s">
        <v>175</v>
      </c>
      <c r="F67" s="71">
        <v>218</v>
      </c>
      <c r="G67" s="297">
        <f t="shared" si="5"/>
        <v>327</v>
      </c>
      <c r="H67" s="301"/>
      <c r="I67" s="129"/>
      <c r="K67" s="318"/>
    </row>
    <row r="68" spans="2:11" x14ac:dyDescent="0.25">
      <c r="B68" s="71" t="s">
        <v>254</v>
      </c>
      <c r="C68" s="466">
        <v>0.8</v>
      </c>
      <c r="D68" s="301">
        <v>46103</v>
      </c>
      <c r="E68" s="129" t="s">
        <v>176</v>
      </c>
      <c r="F68" s="108">
        <v>230</v>
      </c>
      <c r="G68" s="297">
        <f t="shared" si="5"/>
        <v>345</v>
      </c>
      <c r="H68" s="301"/>
      <c r="I68" s="129"/>
      <c r="K68" s="318"/>
    </row>
    <row r="69" spans="2:11" x14ac:dyDescent="0.25">
      <c r="B69" s="71" t="s">
        <v>279</v>
      </c>
      <c r="C69" s="466"/>
      <c r="D69" s="301">
        <v>46110</v>
      </c>
      <c r="E69" s="129" t="s">
        <v>175</v>
      </c>
      <c r="F69" s="71">
        <v>177</v>
      </c>
      <c r="G69" s="297">
        <f t="shared" si="5"/>
        <v>265.5</v>
      </c>
      <c r="H69" s="301"/>
      <c r="I69" s="129"/>
      <c r="K69" s="318"/>
    </row>
    <row r="70" spans="2:11" x14ac:dyDescent="0.25">
      <c r="B70" s="71" t="s">
        <v>280</v>
      </c>
      <c r="C70" s="71"/>
      <c r="D70" s="301">
        <v>46110</v>
      </c>
      <c r="E70" s="129" t="s">
        <v>176</v>
      </c>
      <c r="F70" s="71">
        <v>201</v>
      </c>
      <c r="G70" s="297">
        <f t="shared" si="5"/>
        <v>301.5</v>
      </c>
      <c r="H70" s="301"/>
      <c r="I70" s="129"/>
      <c r="K70" s="318"/>
    </row>
    <row r="71" spans="2:11" x14ac:dyDescent="0.25">
      <c r="B71" s="71" t="s">
        <v>281</v>
      </c>
      <c r="C71" s="71"/>
      <c r="D71" s="301">
        <v>46123</v>
      </c>
      <c r="E71" s="129" t="s">
        <v>175</v>
      </c>
      <c r="F71" s="71">
        <v>65</v>
      </c>
      <c r="G71" s="297">
        <f t="shared" ref="G71:G74" si="6">+F71*1.5</f>
        <v>97.5</v>
      </c>
      <c r="H71" s="301"/>
      <c r="I71" s="129"/>
      <c r="K71" s="318"/>
    </row>
    <row r="72" spans="2:11" x14ac:dyDescent="0.25">
      <c r="B72" s="71" t="s">
        <v>282</v>
      </c>
      <c r="C72" s="71"/>
      <c r="D72" s="301">
        <v>46123</v>
      </c>
      <c r="E72" s="129" t="s">
        <v>176</v>
      </c>
      <c r="F72" s="108">
        <v>188</v>
      </c>
      <c r="G72" s="297">
        <f t="shared" si="6"/>
        <v>282</v>
      </c>
      <c r="H72" s="301"/>
      <c r="I72" s="129"/>
      <c r="K72" s="318"/>
    </row>
    <row r="73" spans="2:11" x14ac:dyDescent="0.25">
      <c r="B73" s="71" t="s">
        <v>283</v>
      </c>
      <c r="C73" s="71"/>
      <c r="D73" s="301">
        <v>46124</v>
      </c>
      <c r="E73" s="129" t="s">
        <v>175</v>
      </c>
      <c r="F73" s="71">
        <v>2</v>
      </c>
      <c r="G73" s="297">
        <f t="shared" si="6"/>
        <v>3</v>
      </c>
      <c r="H73" s="301"/>
      <c r="I73" s="129"/>
      <c r="K73" s="318"/>
    </row>
    <row r="74" spans="2:11" x14ac:dyDescent="0.25">
      <c r="D74" s="301">
        <v>46124</v>
      </c>
      <c r="E74" s="129" t="s">
        <v>176</v>
      </c>
      <c r="F74" s="71">
        <v>200</v>
      </c>
      <c r="G74" s="297">
        <f t="shared" si="6"/>
        <v>300</v>
      </c>
      <c r="H74" s="301"/>
      <c r="I74" s="129"/>
      <c r="K74" s="318"/>
    </row>
    <row r="75" spans="2:11" x14ac:dyDescent="0.25">
      <c r="H75" s="301"/>
      <c r="I75" s="129"/>
      <c r="K75" s="318"/>
    </row>
    <row r="76" spans="2:11" x14ac:dyDescent="0.25">
      <c r="D76" s="344"/>
      <c r="E76" s="345"/>
      <c r="F76" s="435">
        <f>+F74+F73+F72+F71</f>
        <v>455</v>
      </c>
      <c r="G76" s="436">
        <f>+F76*1.5</f>
        <v>682.5</v>
      </c>
      <c r="H76" s="431" t="s">
        <v>289</v>
      </c>
      <c r="I76" s="345"/>
      <c r="J76" s="200">
        <f>+J62+J63+J64</f>
        <v>22362</v>
      </c>
      <c r="K76" s="346">
        <f>+J76*0.025</f>
        <v>559.05000000000007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34" workbookViewId="0">
      <selection activeCell="A28" sqref="A28:K116"/>
    </sheetView>
  </sheetViews>
  <sheetFormatPr baseColWidth="10" defaultColWidth="11.42578125" defaultRowHeight="15.75" x14ac:dyDescent="0.25"/>
  <cols>
    <col min="1" max="1" width="2.42578125" style="162" customWidth="1"/>
    <col min="2" max="2" width="43.42578125" style="162" customWidth="1"/>
    <col min="3" max="3" width="13.28515625" style="162" customWidth="1"/>
    <col min="4" max="4" width="14.5703125" style="163" customWidth="1"/>
    <col min="5" max="5" width="15.85546875" style="162" customWidth="1"/>
    <col min="6" max="7" width="15.140625" style="162" customWidth="1"/>
    <col min="8" max="10" width="11.42578125" style="162"/>
    <col min="11" max="11" width="7.85546875" style="162" bestFit="1" customWidth="1"/>
    <col min="12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81"/>
      <c r="C4" s="481"/>
      <c r="D4" s="165">
        <f>D23</f>
        <v>7331.6200000000008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8663</v>
      </c>
      <c r="D5" s="172">
        <v>369.95799999999997</v>
      </c>
      <c r="E5" s="80">
        <f t="shared" ref="E5:E23" si="0">+D5/$D$4</f>
        <v>5.0460607614688152E-2</v>
      </c>
      <c r="F5" s="58" t="s">
        <v>51</v>
      </c>
      <c r="G5" s="59">
        <v>46125</v>
      </c>
      <c r="H5" s="190">
        <v>5592</v>
      </c>
      <c r="I5" s="141">
        <v>7331.6200000000008</v>
      </c>
      <c r="J5" s="60">
        <f t="shared" ref="J5:J12" si="1">+I5/H5</f>
        <v>1.3110908440629472</v>
      </c>
    </row>
    <row r="6" spans="1:11" ht="15" customHeight="1" x14ac:dyDescent="0.25">
      <c r="A6" s="164"/>
      <c r="B6" s="169" t="s">
        <v>10</v>
      </c>
      <c r="C6" s="177">
        <v>10860</v>
      </c>
      <c r="D6" s="173">
        <v>463.35199999999998</v>
      </c>
      <c r="E6" s="80">
        <f t="shared" si="0"/>
        <v>6.3199129251106836E-2</v>
      </c>
      <c r="F6" s="58" t="s">
        <v>52</v>
      </c>
      <c r="G6" s="59">
        <v>46126</v>
      </c>
      <c r="H6" s="190">
        <v>8469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17940</v>
      </c>
      <c r="D7" s="173">
        <v>764.78200000000004</v>
      </c>
      <c r="E7" s="245">
        <f t="shared" si="0"/>
        <v>0.10431282581475854</v>
      </c>
      <c r="F7" s="58" t="s">
        <v>53</v>
      </c>
      <c r="G7" s="59">
        <v>46127</v>
      </c>
      <c r="H7" s="190">
        <v>9233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37</v>
      </c>
      <c r="C8" s="177">
        <v>26490</v>
      </c>
      <c r="D8" s="173">
        <v>1131.316</v>
      </c>
      <c r="E8" s="245">
        <f t="shared" si="0"/>
        <v>0.15430641522610281</v>
      </c>
      <c r="F8" s="58" t="s">
        <v>54</v>
      </c>
      <c r="G8" s="59">
        <v>46128</v>
      </c>
      <c r="H8" s="190">
        <v>9011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38</v>
      </c>
      <c r="C9" s="177">
        <v>40725</v>
      </c>
      <c r="D9" s="173">
        <v>1738.278</v>
      </c>
      <c r="E9" s="245">
        <f t="shared" si="0"/>
        <v>0.23709330270799631</v>
      </c>
      <c r="F9" s="58" t="s">
        <v>55</v>
      </c>
      <c r="G9" s="59">
        <v>46129</v>
      </c>
      <c r="H9" s="190">
        <v>7896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42</v>
      </c>
      <c r="C10" s="177">
        <v>15222</v>
      </c>
      <c r="D10" s="173">
        <v>649.88400000000013</v>
      </c>
      <c r="E10" s="80">
        <f t="shared" si="0"/>
        <v>8.8641255275096101E-2</v>
      </c>
      <c r="F10" s="58" t="s">
        <v>56</v>
      </c>
      <c r="G10" s="59">
        <v>46130</v>
      </c>
      <c r="H10" s="190">
        <v>6986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196</v>
      </c>
      <c r="C11" s="177">
        <v>16189</v>
      </c>
      <c r="D11" s="173">
        <v>410.4559999999999</v>
      </c>
      <c r="E11" s="80">
        <f t="shared" si="0"/>
        <v>5.5984352707859911E-2</v>
      </c>
      <c r="F11" s="58" t="s">
        <v>57</v>
      </c>
      <c r="G11" s="59">
        <v>46131</v>
      </c>
      <c r="H11" s="190">
        <v>4382.9999999999991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2600</v>
      </c>
      <c r="D12" s="173">
        <v>65.443999999999988</v>
      </c>
      <c r="E12" s="80">
        <f t="shared" si="0"/>
        <v>8.9262673188190301E-3</v>
      </c>
      <c r="H12" s="139">
        <f>+SUM(H5:H11)</f>
        <v>51570</v>
      </c>
      <c r="I12" s="142">
        <f>+SUM(I5:I11)</f>
        <v>7331.6200000000008</v>
      </c>
      <c r="J12" s="140">
        <f t="shared" si="1"/>
        <v>0.14216831491177043</v>
      </c>
    </row>
    <row r="13" spans="1:11" ht="15" customHeight="1" x14ac:dyDescent="0.25">
      <c r="A13" s="164"/>
      <c r="B13" s="169" t="s">
        <v>39</v>
      </c>
      <c r="C13" s="177">
        <v>204</v>
      </c>
      <c r="D13" s="173">
        <v>307.8</v>
      </c>
      <c r="E13" s="80">
        <f t="shared" si="0"/>
        <v>4.1982535919755794E-2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44</v>
      </c>
      <c r="C14" s="177">
        <v>40</v>
      </c>
      <c r="D14" s="173">
        <v>60.459999999999994</v>
      </c>
      <c r="E14" s="80">
        <f t="shared" si="0"/>
        <v>8.2464721303068065E-3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85</v>
      </c>
      <c r="C15" s="177">
        <v>140</v>
      </c>
      <c r="D15" s="173">
        <v>211.28999999999996</v>
      </c>
      <c r="E15" s="80">
        <f t="shared" si="0"/>
        <v>2.8819005895013645E-2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49</v>
      </c>
      <c r="C16" s="177">
        <v>108</v>
      </c>
      <c r="D16" s="173">
        <v>162.54999999999998</v>
      </c>
      <c r="E16" s="80">
        <f t="shared" si="0"/>
        <v>2.2171089063535748E-2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45</v>
      </c>
      <c r="C17" s="177">
        <v>90</v>
      </c>
      <c r="D17" s="173">
        <v>135.47999999999999</v>
      </c>
      <c r="E17" s="80">
        <f t="shared" si="0"/>
        <v>1.8478862788851573E-2</v>
      </c>
      <c r="F17" s="112" t="s">
        <v>111</v>
      </c>
      <c r="G17" s="190">
        <v>205343.72800000012</v>
      </c>
      <c r="H17" s="190">
        <v>198970.75799999986</v>
      </c>
      <c r="I17" s="190">
        <f>+D24</f>
        <v>91800.224999999991</v>
      </c>
      <c r="J17" s="456">
        <f t="shared" si="2"/>
        <v>0.96896437956945902</v>
      </c>
      <c r="K17" s="456">
        <f t="shared" si="2"/>
        <v>0.46137546000603796</v>
      </c>
    </row>
    <row r="18" spans="1:11" ht="15" customHeight="1" x14ac:dyDescent="0.25">
      <c r="A18" s="164"/>
      <c r="B18" s="169" t="s">
        <v>41</v>
      </c>
      <c r="C18" s="177">
        <v>105</v>
      </c>
      <c r="D18" s="173">
        <v>158.03</v>
      </c>
      <c r="E18" s="80">
        <f t="shared" si="0"/>
        <v>2.1554581388560781E-2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88</v>
      </c>
      <c r="C19" s="177">
        <v>20</v>
      </c>
      <c r="D19" s="173">
        <v>30.45</v>
      </c>
      <c r="E19" s="80">
        <f t="shared" si="0"/>
        <v>4.1532430758822736E-3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336.69999999999993</v>
      </c>
      <c r="E20" s="80">
        <f t="shared" si="0"/>
        <v>4.5924365965502832E-2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9</v>
      </c>
      <c r="C21" s="177"/>
      <c r="D21" s="173">
        <v>182.84</v>
      </c>
      <c r="E21" s="80">
        <f t="shared" si="0"/>
        <v>2.4938553825757472E-2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thickBot="1" x14ac:dyDescent="0.3">
      <c r="A22" s="164"/>
      <c r="B22" s="169" t="s">
        <v>46</v>
      </c>
      <c r="C22" s="177"/>
      <c r="D22" s="173">
        <v>152.55000000000001</v>
      </c>
      <c r="E22" s="80">
        <f t="shared" si="0"/>
        <v>2.0807134030405284E-2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thickBot="1" x14ac:dyDescent="0.3">
      <c r="A23" s="164"/>
      <c r="B23" s="178" t="s">
        <v>0</v>
      </c>
      <c r="C23" s="170"/>
      <c r="D23" s="171">
        <f>SUM(D5:D22)</f>
        <v>7331.6200000000008</v>
      </c>
      <c r="E23" s="80">
        <f t="shared" si="0"/>
        <v>1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x14ac:dyDescent="0.25">
      <c r="A24" s="164"/>
      <c r="B24" s="166" t="s">
        <v>1</v>
      </c>
      <c r="C24" s="167"/>
      <c r="D24" s="233">
        <v>91800.224999999991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769850.86099999992</v>
      </c>
      <c r="J26" s="378"/>
      <c r="K26" s="378">
        <f>+I26/H26</f>
        <v>1.0001980892796254</v>
      </c>
    </row>
    <row r="27" spans="1:11" ht="15" customHeight="1" thickBot="1" x14ac:dyDescent="0.3">
      <c r="E27" s="313">
        <f>+D24/K2</f>
        <v>0.41244255407032948</v>
      </c>
      <c r="G27" s="379" t="s">
        <v>229</v>
      </c>
      <c r="H27" s="380"/>
      <c r="I27" s="380">
        <v>2726927.1277059279</v>
      </c>
      <c r="J27" s="381">
        <f>+I26/H26</f>
        <v>1.0001980892796254</v>
      </c>
      <c r="K27" s="179"/>
    </row>
    <row r="28" spans="1:11" ht="15" customHeight="1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5" customHeight="1" thickBot="1" x14ac:dyDescent="0.3">
      <c r="B29" s="397" t="s">
        <v>251</v>
      </c>
      <c r="C29" s="482">
        <v>13</v>
      </c>
      <c r="D29" s="108">
        <f>K3*C29</f>
        <v>96450.031907271899</v>
      </c>
      <c r="E29" s="314">
        <f>+D29/K2</f>
        <v>0.43333333333333335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+D24-D29</f>
        <v>-4649.8069072719081</v>
      </c>
      <c r="E30" s="99">
        <f>E27-E29</f>
        <v>-2.0890779263003867E-2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0.46137546000603796</v>
      </c>
      <c r="J31" s="422">
        <f>+I17-H17</f>
        <v>-107170.53299999986</v>
      </c>
      <c r="K31" s="459">
        <f>J28+J31+J30+J29</f>
        <v>152.46900000017195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1894</v>
      </c>
      <c r="D33" s="108">
        <v>2142</v>
      </c>
      <c r="E33" s="57">
        <f>+C33/D33</f>
        <v>0.88422035480859007</v>
      </c>
      <c r="G33" s="86" t="s">
        <v>86</v>
      </c>
      <c r="H33" s="87">
        <v>6132</v>
      </c>
      <c r="I33" s="88">
        <f>+H33*0.025</f>
        <v>153.30000000000001</v>
      </c>
      <c r="J33" s="224"/>
      <c r="K33" s="68"/>
    </row>
    <row r="34" spans="1:11" ht="15" customHeight="1" x14ac:dyDescent="0.25">
      <c r="B34" s="162" t="s">
        <v>62</v>
      </c>
      <c r="C34" s="162">
        <v>987</v>
      </c>
      <c r="D34" s="108">
        <v>1890</v>
      </c>
      <c r="E34" s="57">
        <f>+C34/D34</f>
        <v>0.52222222222222225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622</v>
      </c>
      <c r="D35" s="108">
        <v>3006</v>
      </c>
      <c r="E35" s="57">
        <f>+C35/D35</f>
        <v>0.20691949434464404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3503</v>
      </c>
      <c r="D36" s="110">
        <f>+SUM(D33:D35)</f>
        <v>7038</v>
      </c>
      <c r="E36" s="57">
        <f>+C36/D36</f>
        <v>0.49772662688263714</v>
      </c>
      <c r="G36" s="89" t="s">
        <v>169</v>
      </c>
      <c r="H36" s="87">
        <v>227</v>
      </c>
      <c r="I36" s="88">
        <f>+H36*1.5</f>
        <v>340.5</v>
      </c>
      <c r="J36" s="298">
        <f>+I36+I33+I34+I35</f>
        <v>518.1</v>
      </c>
    </row>
    <row r="37" spans="1:11" x14ac:dyDescent="0.25">
      <c r="G37" s="89" t="s">
        <v>168</v>
      </c>
      <c r="H37" s="87">
        <v>13</v>
      </c>
      <c r="I37" s="88">
        <f>+H37*1.5</f>
        <v>19.5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47</v>
      </c>
      <c r="C40" s="74">
        <v>2</v>
      </c>
      <c r="D40" s="74">
        <v>13</v>
      </c>
      <c r="E40" s="75">
        <f>+SUM(B40:D40)</f>
        <v>62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1.96</v>
      </c>
      <c r="C44" s="199">
        <v>2090</v>
      </c>
      <c r="D44" s="200">
        <v>3600</v>
      </c>
      <c r="E44" s="201">
        <f t="shared" si="3"/>
        <v>0.5805555555555556</v>
      </c>
      <c r="F44" s="201">
        <f t="shared" si="4"/>
        <v>8.1666666666666665E-2</v>
      </c>
      <c r="G44" s="202">
        <v>12</v>
      </c>
      <c r="H44" s="71"/>
    </row>
    <row r="45" spans="1:11" x14ac:dyDescent="0.25">
      <c r="A45" s="207" t="s">
        <v>72</v>
      </c>
      <c r="B45" s="199">
        <v>8.69</v>
      </c>
      <c r="C45" s="199">
        <v>0</v>
      </c>
      <c r="D45" s="200">
        <v>3900</v>
      </c>
      <c r="E45" s="201">
        <f t="shared" si="3"/>
        <v>0</v>
      </c>
      <c r="F45" s="201">
        <f t="shared" si="4"/>
        <v>0.36208333333333331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12.1</v>
      </c>
      <c r="C46" s="199">
        <v>2860</v>
      </c>
      <c r="D46" s="200">
        <v>3900</v>
      </c>
      <c r="E46" s="201">
        <f t="shared" si="3"/>
        <v>0.73333333333333328</v>
      </c>
      <c r="F46" s="201">
        <f t="shared" si="4"/>
        <v>0.50416666666666665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9.15</v>
      </c>
      <c r="C47" s="199">
        <v>2312</v>
      </c>
      <c r="D47" s="200">
        <v>3900</v>
      </c>
      <c r="E47" s="201">
        <f t="shared" si="3"/>
        <v>0.59282051282051285</v>
      </c>
      <c r="F47" s="201">
        <f t="shared" si="4"/>
        <v>0.38125000000000003</v>
      </c>
      <c r="G47" s="202">
        <v>12</v>
      </c>
      <c r="H47" s="301"/>
      <c r="I47" s="129"/>
      <c r="K47" s="318"/>
    </row>
    <row r="48" spans="1:11" x14ac:dyDescent="0.25">
      <c r="A48" s="259" t="s">
        <v>75</v>
      </c>
      <c r="B48" s="260">
        <v>13.6</v>
      </c>
      <c r="C48" s="261">
        <v>1926</v>
      </c>
      <c r="D48" s="262">
        <v>4300</v>
      </c>
      <c r="E48" s="263">
        <f t="shared" si="3"/>
        <v>0.44790697674418606</v>
      </c>
      <c r="F48" s="201">
        <f t="shared" si="4"/>
        <v>0.56666666666666665</v>
      </c>
      <c r="G48" s="202">
        <v>16</v>
      </c>
      <c r="H48" s="301"/>
      <c r="I48" s="129"/>
      <c r="K48" s="318"/>
    </row>
    <row r="49" spans="2:11" x14ac:dyDescent="0.25">
      <c r="B49" s="113">
        <f>+SUM(B43:B48)</f>
        <v>45.5</v>
      </c>
      <c r="C49" s="71"/>
      <c r="D49" s="72"/>
      <c r="H49" s="301"/>
      <c r="I49" s="129"/>
      <c r="K49" s="318"/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6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F56" s="482" t="s">
        <v>271</v>
      </c>
      <c r="G56" s="482" t="s">
        <v>267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F57" s="482">
        <v>1230</v>
      </c>
      <c r="G57" s="482">
        <v>784.3</v>
      </c>
      <c r="H57" s="301"/>
      <c r="I57" s="129"/>
      <c r="K57" s="318"/>
    </row>
    <row r="58" spans="2:11" x14ac:dyDescent="0.25">
      <c r="C58" s="71">
        <v>8</v>
      </c>
      <c r="D58" s="108">
        <v>3</v>
      </c>
      <c r="F58" s="432">
        <f>+G57/F57</f>
        <v>0.63764227642276416</v>
      </c>
      <c r="G58" s="482" t="s">
        <v>269</v>
      </c>
    </row>
    <row r="59" spans="2:11" x14ac:dyDescent="0.25">
      <c r="F59" s="482"/>
      <c r="G59" s="482">
        <v>140</v>
      </c>
      <c r="H59" s="359" t="s">
        <v>288</v>
      </c>
      <c r="I59" s="345"/>
      <c r="J59" s="199">
        <f>+J46</f>
        <v>346</v>
      </c>
      <c r="K59" s="346">
        <f>+J59*1.5</f>
        <v>519</v>
      </c>
    </row>
    <row r="60" spans="2:11" x14ac:dyDescent="0.25">
      <c r="B60" s="364" t="s">
        <v>231</v>
      </c>
      <c r="C60" s="199">
        <v>2088</v>
      </c>
      <c r="D60" s="384" t="s">
        <v>92</v>
      </c>
      <c r="F60" s="432">
        <f>(G59+G57)/F57</f>
        <v>0.75146341463414634</v>
      </c>
      <c r="G60" s="482" t="s">
        <v>270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162" t="s">
        <v>177</v>
      </c>
      <c r="G62" s="215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46102</v>
      </c>
      <c r="E65" s="129" t="s">
        <v>175</v>
      </c>
      <c r="F65" s="71"/>
      <c r="G65" s="297">
        <f t="shared" ref="G65:G74" si="5">+F65*1.5</f>
        <v>0</v>
      </c>
      <c r="H65" s="301"/>
      <c r="I65" s="129"/>
      <c r="K65" s="318"/>
    </row>
    <row r="66" spans="2:11" x14ac:dyDescent="0.25">
      <c r="C66" s="389"/>
      <c r="D66" s="301">
        <v>46102</v>
      </c>
      <c r="E66" s="129" t="s">
        <v>176</v>
      </c>
      <c r="F66" s="108">
        <v>173</v>
      </c>
      <c r="G66" s="297">
        <f t="shared" si="5"/>
        <v>259.5</v>
      </c>
      <c r="H66" s="301"/>
      <c r="I66" s="129"/>
      <c r="K66" s="318"/>
    </row>
    <row r="67" spans="2:11" x14ac:dyDescent="0.25">
      <c r="B67" s="71"/>
      <c r="C67" s="467" t="s">
        <v>80</v>
      </c>
      <c r="D67" s="301">
        <v>46103</v>
      </c>
      <c r="E67" s="129" t="s">
        <v>175</v>
      </c>
      <c r="F67" s="71">
        <v>218</v>
      </c>
      <c r="G67" s="297">
        <f t="shared" si="5"/>
        <v>327</v>
      </c>
      <c r="H67" s="301"/>
      <c r="I67" s="129"/>
      <c r="K67" s="318"/>
    </row>
    <row r="68" spans="2:11" x14ac:dyDescent="0.25">
      <c r="B68" s="71" t="s">
        <v>254</v>
      </c>
      <c r="C68" s="466">
        <v>1</v>
      </c>
      <c r="D68" s="301">
        <v>46103</v>
      </c>
      <c r="E68" s="129" t="s">
        <v>176</v>
      </c>
      <c r="F68" s="108">
        <v>230</v>
      </c>
      <c r="G68" s="297">
        <f t="shared" si="5"/>
        <v>345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46110</v>
      </c>
      <c r="E69" s="129" t="s">
        <v>175</v>
      </c>
      <c r="F69" s="71">
        <v>177</v>
      </c>
      <c r="G69" s="297">
        <f t="shared" si="5"/>
        <v>265.5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>
        <v>46110</v>
      </c>
      <c r="E70" s="129" t="s">
        <v>176</v>
      </c>
      <c r="F70" s="71">
        <v>201</v>
      </c>
      <c r="G70" s="297">
        <f t="shared" si="5"/>
        <v>301.5</v>
      </c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>
        <v>46123</v>
      </c>
      <c r="E71" s="129" t="s">
        <v>175</v>
      </c>
      <c r="F71" s="71">
        <v>65</v>
      </c>
      <c r="G71" s="297">
        <f t="shared" si="5"/>
        <v>97.5</v>
      </c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>
        <v>46123</v>
      </c>
      <c r="E72" s="129" t="s">
        <v>176</v>
      </c>
      <c r="F72" s="108">
        <v>188</v>
      </c>
      <c r="G72" s="297">
        <f t="shared" si="5"/>
        <v>282</v>
      </c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>
        <v>46124</v>
      </c>
      <c r="E73" s="129" t="s">
        <v>175</v>
      </c>
      <c r="F73" s="71">
        <v>2</v>
      </c>
      <c r="G73" s="297">
        <f t="shared" si="5"/>
        <v>3</v>
      </c>
      <c r="H73" s="301"/>
      <c r="I73" s="129"/>
      <c r="K73" s="318"/>
    </row>
    <row r="74" spans="2:11" x14ac:dyDescent="0.25">
      <c r="D74" s="301">
        <v>46124</v>
      </c>
      <c r="E74" s="129" t="s">
        <v>176</v>
      </c>
      <c r="F74" s="71">
        <v>200</v>
      </c>
      <c r="G74" s="297">
        <f t="shared" si="5"/>
        <v>300</v>
      </c>
      <c r="H74" s="301"/>
      <c r="I74" s="129"/>
      <c r="K74" s="318"/>
    </row>
    <row r="75" spans="2:11" x14ac:dyDescent="0.25">
      <c r="D75" s="301">
        <v>46125</v>
      </c>
      <c r="E75" s="129" t="s">
        <v>175</v>
      </c>
      <c r="F75" s="71">
        <v>167</v>
      </c>
      <c r="G75" s="297">
        <f t="shared" ref="G75" si="6">+F75*1.5</f>
        <v>250.5</v>
      </c>
      <c r="H75" s="301"/>
      <c r="I75" s="129"/>
      <c r="K75" s="318"/>
    </row>
    <row r="76" spans="2:11" x14ac:dyDescent="0.25">
      <c r="D76" s="344"/>
      <c r="E76" s="345"/>
      <c r="F76" s="435">
        <f>+F74+F73+F72+F71+F75</f>
        <v>622</v>
      </c>
      <c r="G76" s="436">
        <f>+F76*1.5</f>
        <v>933</v>
      </c>
      <c r="H76" s="431" t="s">
        <v>289</v>
      </c>
      <c r="I76" s="345"/>
      <c r="J76" s="200">
        <f>+J62+J63+J64</f>
        <v>22362</v>
      </c>
      <c r="K76" s="346">
        <f>+J76*0.025</f>
        <v>559.05000000000007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55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44.85546875" style="162" customWidth="1"/>
    <col min="3" max="3" width="8.42578125" style="162" customWidth="1"/>
    <col min="4" max="4" width="14.5703125" style="163" customWidth="1"/>
    <col min="5" max="5" width="9.5703125" style="162" bestFit="1" customWidth="1"/>
    <col min="6" max="6" width="15.7109375" style="162" customWidth="1"/>
    <col min="7" max="7" width="15.140625" style="162" customWidth="1"/>
    <col min="8" max="16384" width="11.42578125" style="162"/>
  </cols>
  <sheetData>
    <row r="1" spans="1:11" ht="15" customHeight="1" x14ac:dyDescent="0.25">
      <c r="A1" s="161"/>
      <c r="B1" s="518">
        <v>46127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83"/>
      <c r="C4" s="483"/>
      <c r="D4" s="165">
        <f>D22</f>
        <v>7851.4069999999992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2290</v>
      </c>
      <c r="D5" s="172">
        <v>97.81</v>
      </c>
      <c r="E5" s="80">
        <f t="shared" ref="E5:E22" si="0">+D5/$D$4</f>
        <v>1.245763975807139E-2</v>
      </c>
      <c r="F5" s="58" t="s">
        <v>51</v>
      </c>
      <c r="G5" s="59">
        <v>46125</v>
      </c>
      <c r="H5" s="190">
        <v>5592</v>
      </c>
      <c r="I5" s="141">
        <v>7331.6200000000008</v>
      </c>
      <c r="J5" s="60">
        <f t="shared" ref="J5:J12" si="1">+I5/H5</f>
        <v>1.3110908440629472</v>
      </c>
    </row>
    <row r="6" spans="1:11" ht="15" customHeight="1" x14ac:dyDescent="0.25">
      <c r="A6" s="164"/>
      <c r="B6" s="169" t="s">
        <v>10</v>
      </c>
      <c r="C6" s="177">
        <v>9390</v>
      </c>
      <c r="D6" s="173">
        <v>400.26000000000005</v>
      </c>
      <c r="E6" s="80">
        <f t="shared" si="0"/>
        <v>5.0979397705404918E-2</v>
      </c>
      <c r="F6" s="58" t="s">
        <v>52</v>
      </c>
      <c r="G6" s="59">
        <v>46126</v>
      </c>
      <c r="H6" s="190">
        <v>8469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21662</v>
      </c>
      <c r="D7" s="173">
        <v>924.6940000000003</v>
      </c>
      <c r="E7" s="245">
        <f t="shared" si="0"/>
        <v>0.11777430465647755</v>
      </c>
      <c r="F7" s="58" t="s">
        <v>53</v>
      </c>
      <c r="G7" s="59">
        <v>46127</v>
      </c>
      <c r="H7" s="190">
        <v>9233</v>
      </c>
      <c r="I7" s="141">
        <v>7851.4069999999992</v>
      </c>
      <c r="J7" s="60">
        <f t="shared" si="1"/>
        <v>0.85036358713310944</v>
      </c>
    </row>
    <row r="8" spans="1:11" ht="15" customHeight="1" x14ac:dyDescent="0.25">
      <c r="A8" s="164"/>
      <c r="B8" s="169" t="s">
        <v>4</v>
      </c>
      <c r="C8" s="177">
        <v>3169</v>
      </c>
      <c r="D8" s="173">
        <v>135.34</v>
      </c>
      <c r="E8" s="80">
        <f t="shared" si="0"/>
        <v>1.7237674725052467E-2</v>
      </c>
      <c r="F8" s="58" t="s">
        <v>54</v>
      </c>
      <c r="G8" s="59">
        <v>46128</v>
      </c>
      <c r="H8" s="190">
        <v>9011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43032</v>
      </c>
      <c r="D9" s="173">
        <v>1837.5360000000001</v>
      </c>
      <c r="E9" s="245">
        <f t="shared" si="0"/>
        <v>0.23403907095887402</v>
      </c>
      <c r="F9" s="58" t="s">
        <v>55</v>
      </c>
      <c r="G9" s="59">
        <v>46129</v>
      </c>
      <c r="H9" s="190">
        <v>7896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40054</v>
      </c>
      <c r="D10" s="173">
        <v>1710.3549999999996</v>
      </c>
      <c r="E10" s="245">
        <f t="shared" si="0"/>
        <v>0.21784057303359763</v>
      </c>
      <c r="F10" s="58" t="s">
        <v>56</v>
      </c>
      <c r="G10" s="59">
        <v>46130</v>
      </c>
      <c r="H10" s="190">
        <v>6986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12530</v>
      </c>
      <c r="D11" s="173">
        <v>534.75200000000007</v>
      </c>
      <c r="E11" s="80">
        <f t="shared" si="0"/>
        <v>6.8109066311299385E-2</v>
      </c>
      <c r="F11" s="58" t="s">
        <v>57</v>
      </c>
      <c r="G11" s="59">
        <v>46131</v>
      </c>
      <c r="H11" s="190">
        <v>4382.9999999999991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39</v>
      </c>
      <c r="C12" s="177">
        <v>392</v>
      </c>
      <c r="D12" s="173">
        <v>592.26999999999987</v>
      </c>
      <c r="E12" s="80">
        <f t="shared" si="0"/>
        <v>7.5434887020886826E-2</v>
      </c>
      <c r="H12" s="139">
        <f>+SUM(H5:H11)</f>
        <v>51570</v>
      </c>
      <c r="I12" s="142">
        <f>+SUM(I5:I11)</f>
        <v>15183.027</v>
      </c>
      <c r="J12" s="140">
        <f t="shared" si="1"/>
        <v>0.29441588132635255</v>
      </c>
    </row>
    <row r="13" spans="1:11" ht="15" customHeight="1" x14ac:dyDescent="0.25">
      <c r="A13" s="164"/>
      <c r="B13" s="169" t="s">
        <v>43</v>
      </c>
      <c r="C13" s="177">
        <v>322</v>
      </c>
      <c r="D13" s="173">
        <v>486.84</v>
      </c>
      <c r="E13" s="80">
        <f t="shared" si="0"/>
        <v>6.2006720578872042E-2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49</v>
      </c>
      <c r="C14" s="177">
        <v>82</v>
      </c>
      <c r="D14" s="173">
        <v>123.45</v>
      </c>
      <c r="E14" s="80">
        <f t="shared" si="0"/>
        <v>1.5723296474122409E-2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45</v>
      </c>
      <c r="C15" s="177">
        <v>73</v>
      </c>
      <c r="D15" s="173">
        <v>109.82000000000001</v>
      </c>
      <c r="E15" s="80">
        <f t="shared" si="0"/>
        <v>1.3987301893787956E-2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41</v>
      </c>
      <c r="C16" s="177">
        <v>128</v>
      </c>
      <c r="D16" s="173">
        <v>192.32999999999998</v>
      </c>
      <c r="E16" s="80">
        <f t="shared" si="0"/>
        <v>2.4496246341579285E-2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88</v>
      </c>
      <c r="C17" s="177">
        <v>20</v>
      </c>
      <c r="D17" s="173">
        <v>30.79</v>
      </c>
      <c r="E17" s="80">
        <f t="shared" si="0"/>
        <v>3.9215901048054195E-3</v>
      </c>
      <c r="F17" s="112" t="s">
        <v>111</v>
      </c>
      <c r="G17" s="190">
        <v>205343.72800000012</v>
      </c>
      <c r="H17" s="190">
        <v>198970.75799999986</v>
      </c>
      <c r="I17" s="190">
        <f>+D23</f>
        <v>109648.73499999997</v>
      </c>
      <c r="J17" s="456">
        <f t="shared" si="2"/>
        <v>0.96896437956945902</v>
      </c>
      <c r="K17" s="456">
        <f t="shared" si="2"/>
        <v>0.55107964658806818</v>
      </c>
    </row>
    <row r="18" spans="1:11" ht="15" customHeight="1" x14ac:dyDescent="0.25">
      <c r="A18" s="164"/>
      <c r="B18" s="169" t="s">
        <v>40</v>
      </c>
      <c r="C18" s="177"/>
      <c r="D18" s="173">
        <v>425.39</v>
      </c>
      <c r="E18" s="80">
        <f t="shared" si="0"/>
        <v>5.4180097911113258E-2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265</v>
      </c>
      <c r="C19" s="177"/>
      <c r="D19" s="173">
        <v>32.24</v>
      </c>
      <c r="E19" s="80">
        <f t="shared" si="0"/>
        <v>4.1062703793090854E-3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9</v>
      </c>
      <c r="C20" s="177"/>
      <c r="D20" s="173">
        <v>61.879999999999995</v>
      </c>
      <c r="E20" s="80">
        <f t="shared" si="0"/>
        <v>7.881389921577114E-3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thickBot="1" x14ac:dyDescent="0.3">
      <c r="A21" s="164"/>
      <c r="B21" s="169" t="s">
        <v>46</v>
      </c>
      <c r="C21" s="177"/>
      <c r="D21" s="173">
        <v>155.64999999999998</v>
      </c>
      <c r="E21" s="80">
        <f t="shared" si="0"/>
        <v>1.9824472225169323E-2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thickBot="1" x14ac:dyDescent="0.3">
      <c r="A22" s="164"/>
      <c r="B22" s="178" t="s">
        <v>0</v>
      </c>
      <c r="C22" s="170"/>
      <c r="D22" s="171">
        <f>SUM(D5:D21)</f>
        <v>7851.4069999999992</v>
      </c>
      <c r="E22" s="80">
        <f t="shared" si="0"/>
        <v>1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6" t="s">
        <v>1</v>
      </c>
      <c r="C23" s="167"/>
      <c r="D23" s="233">
        <v>109648.73499999997</v>
      </c>
      <c r="E23" s="80"/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787699.37099999993</v>
      </c>
      <c r="J26" s="378"/>
      <c r="K26" s="378">
        <f>+I26/H26</f>
        <v>1.0233870554844555</v>
      </c>
    </row>
    <row r="27" spans="1:11" ht="15" customHeight="1" thickBot="1" x14ac:dyDescent="0.3">
      <c r="E27" s="313">
        <f>+D23/K2</f>
        <v>0.49263282648796042</v>
      </c>
      <c r="G27" s="379" t="s">
        <v>229</v>
      </c>
      <c r="H27" s="380"/>
      <c r="I27" s="380">
        <v>2726927.1277059279</v>
      </c>
      <c r="J27" s="381">
        <f>+I26/H26</f>
        <v>1.0233870554844555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5" customHeight="1" thickBot="1" x14ac:dyDescent="0.3">
      <c r="B29" s="397" t="s">
        <v>251</v>
      </c>
      <c r="C29" s="484">
        <v>15</v>
      </c>
      <c r="D29" s="108">
        <f>K3*C29</f>
        <v>111288.4983545445</v>
      </c>
      <c r="E29" s="314">
        <f>+D29/K2</f>
        <v>0.5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+D23-D29</f>
        <v>-1639.7633545445278</v>
      </c>
      <c r="E30" s="99">
        <f>E27-E29</f>
        <v>-7.367173512039582E-3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0.55107964658806818</v>
      </c>
      <c r="J31" s="422">
        <f>+I17-H17</f>
        <v>-89322.022999999885</v>
      </c>
      <c r="K31" s="459">
        <f>J28+J31+J30+J29</f>
        <v>18000.979000000152</v>
      </c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2014</v>
      </c>
      <c r="D33" s="108">
        <v>2142</v>
      </c>
      <c r="E33" s="57">
        <f>+C33/D33</f>
        <v>0.94024276377217553</v>
      </c>
      <c r="G33" s="86" t="s">
        <v>86</v>
      </c>
      <c r="H33" s="87">
        <v>3842</v>
      </c>
      <c r="I33" s="88">
        <f>+H33*0.025</f>
        <v>96.050000000000011</v>
      </c>
      <c r="J33" s="224"/>
      <c r="K33" s="68"/>
    </row>
    <row r="34" spans="1:11" x14ac:dyDescent="0.25">
      <c r="B34" s="162" t="s">
        <v>62</v>
      </c>
      <c r="C34" s="162">
        <v>882</v>
      </c>
      <c r="D34" s="108">
        <v>1890</v>
      </c>
      <c r="E34" s="57">
        <f>+C34/D34</f>
        <v>0.46666666666666667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404</v>
      </c>
      <c r="D35" s="108">
        <v>3006</v>
      </c>
      <c r="E35" s="57">
        <f>+C35/D35</f>
        <v>0.13439787092481703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3300</v>
      </c>
      <c r="D36" s="110">
        <f>+SUM(D33:D35)</f>
        <v>7038</v>
      </c>
      <c r="E36" s="57">
        <f>+C36/D36</f>
        <v>0.46888320545609546</v>
      </c>
      <c r="G36" s="89" t="s">
        <v>169</v>
      </c>
      <c r="H36" s="87">
        <v>146</v>
      </c>
      <c r="I36" s="88">
        <f>+H36*1.5</f>
        <v>219</v>
      </c>
      <c r="J36" s="298">
        <f>+I36+I33+I34+I35</f>
        <v>339.34999999999997</v>
      </c>
    </row>
    <row r="37" spans="1:11" x14ac:dyDescent="0.25">
      <c r="G37" s="89" t="s">
        <v>168</v>
      </c>
      <c r="H37" s="87">
        <v>13</v>
      </c>
      <c r="I37" s="88">
        <f>+H37*1.5</f>
        <v>19.5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22</v>
      </c>
      <c r="C40" s="74">
        <v>8</v>
      </c>
      <c r="D40" s="74">
        <v>16</v>
      </c>
      <c r="E40" s="75">
        <f>+SUM(B40:D40)</f>
        <v>46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10.93</v>
      </c>
      <c r="C44" s="199">
        <v>2162</v>
      </c>
      <c r="D44" s="200">
        <v>3600</v>
      </c>
      <c r="E44" s="201">
        <f t="shared" si="3"/>
        <v>0.60055555555555551</v>
      </c>
      <c r="F44" s="201">
        <f t="shared" si="4"/>
        <v>0.45541666666666664</v>
      </c>
      <c r="G44" s="202">
        <v>12</v>
      </c>
      <c r="H44" s="71"/>
    </row>
    <row r="45" spans="1:11" x14ac:dyDescent="0.25">
      <c r="A45" s="207" t="s">
        <v>72</v>
      </c>
      <c r="B45" s="199">
        <v>8.66</v>
      </c>
      <c r="C45" s="199">
        <v>0</v>
      </c>
      <c r="D45" s="200">
        <v>3900</v>
      </c>
      <c r="E45" s="201">
        <f t="shared" si="3"/>
        <v>0</v>
      </c>
      <c r="F45" s="201">
        <f t="shared" si="4"/>
        <v>0.36083333333333334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7.29</v>
      </c>
      <c r="C46" s="199">
        <v>3170</v>
      </c>
      <c r="D46" s="200">
        <v>3900</v>
      </c>
      <c r="E46" s="201">
        <f t="shared" si="3"/>
        <v>0.81282051282051282</v>
      </c>
      <c r="F46" s="201">
        <f t="shared" si="4"/>
        <v>0.30375000000000002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12.56</v>
      </c>
      <c r="C47" s="199">
        <v>2507</v>
      </c>
      <c r="D47" s="200">
        <v>3900</v>
      </c>
      <c r="E47" s="201">
        <f t="shared" si="3"/>
        <v>0.64282051282051278</v>
      </c>
      <c r="F47" s="201">
        <f t="shared" si="4"/>
        <v>0.52333333333333332</v>
      </c>
      <c r="G47" s="202">
        <v>12</v>
      </c>
      <c r="H47" s="301"/>
      <c r="I47" s="129"/>
      <c r="K47" s="318"/>
    </row>
    <row r="48" spans="1:11" x14ac:dyDescent="0.25">
      <c r="A48" s="259" t="s">
        <v>75</v>
      </c>
      <c r="B48" s="260">
        <v>12.93</v>
      </c>
      <c r="C48" s="261">
        <v>2717</v>
      </c>
      <c r="D48" s="262">
        <v>4300</v>
      </c>
      <c r="E48" s="263">
        <f t="shared" si="3"/>
        <v>0.63186046511627902</v>
      </c>
      <c r="F48" s="201">
        <f t="shared" si="4"/>
        <v>0.53874999999999995</v>
      </c>
      <c r="G48" s="202">
        <v>16</v>
      </c>
      <c r="H48" s="301"/>
      <c r="I48" s="129"/>
      <c r="K48" s="318"/>
    </row>
    <row r="49" spans="2:11" x14ac:dyDescent="0.25">
      <c r="B49" s="113">
        <f>+SUM(B43:B48)</f>
        <v>52.37</v>
      </c>
      <c r="C49" s="71"/>
      <c r="D49" s="72"/>
      <c r="H49" s="301"/>
      <c r="I49" s="129"/>
      <c r="K49" s="318"/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10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F56" s="484" t="s">
        <v>271</v>
      </c>
      <c r="G56" s="484" t="s">
        <v>267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F57" s="484">
        <v>1230</v>
      </c>
      <c r="G57" s="484">
        <v>784.3</v>
      </c>
      <c r="H57" s="301"/>
      <c r="I57" s="129"/>
      <c r="K57" s="318"/>
    </row>
    <row r="58" spans="2:11" x14ac:dyDescent="0.25">
      <c r="C58" s="71">
        <v>8</v>
      </c>
      <c r="D58" s="108">
        <v>4</v>
      </c>
      <c r="F58" s="432">
        <f>+G57/F57</f>
        <v>0.63764227642276416</v>
      </c>
      <c r="G58" s="484" t="s">
        <v>269</v>
      </c>
    </row>
    <row r="59" spans="2:11" x14ac:dyDescent="0.25">
      <c r="F59" s="484"/>
      <c r="G59" s="484">
        <v>140</v>
      </c>
      <c r="H59" s="359" t="s">
        <v>288</v>
      </c>
      <c r="I59" s="345"/>
      <c r="J59" s="199">
        <f>+J46</f>
        <v>346</v>
      </c>
      <c r="K59" s="346">
        <f>+J59*1.5</f>
        <v>519</v>
      </c>
    </row>
    <row r="60" spans="2:11" x14ac:dyDescent="0.25">
      <c r="B60" s="364" t="s">
        <v>231</v>
      </c>
      <c r="C60" s="199">
        <v>2561</v>
      </c>
      <c r="D60" s="384" t="s">
        <v>92</v>
      </c>
      <c r="F60" s="432">
        <f>(G59+G57)/F57</f>
        <v>0.75146341463414634</v>
      </c>
      <c r="G60" s="484" t="s">
        <v>270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162" t="s">
        <v>177</v>
      </c>
      <c r="G62" s="215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46102</v>
      </c>
      <c r="E65" s="129" t="s">
        <v>175</v>
      </c>
      <c r="F65" s="71"/>
      <c r="G65" s="297">
        <f t="shared" ref="G65:G75" si="5">+F65*1.5</f>
        <v>0</v>
      </c>
      <c r="H65" s="301"/>
      <c r="I65" s="129"/>
      <c r="K65" s="318"/>
    </row>
    <row r="66" spans="2:11" x14ac:dyDescent="0.25">
      <c r="C66" s="389"/>
      <c r="D66" s="301">
        <v>46102</v>
      </c>
      <c r="E66" s="129" t="s">
        <v>176</v>
      </c>
      <c r="F66" s="108">
        <v>173</v>
      </c>
      <c r="G66" s="297">
        <f t="shared" si="5"/>
        <v>259.5</v>
      </c>
      <c r="H66" s="301"/>
      <c r="I66" s="129"/>
      <c r="K66" s="318"/>
    </row>
    <row r="67" spans="2:11" x14ac:dyDescent="0.25">
      <c r="B67" s="71"/>
      <c r="C67" s="467" t="s">
        <v>80</v>
      </c>
      <c r="D67" s="301">
        <v>46103</v>
      </c>
      <c r="E67" s="129" t="s">
        <v>175</v>
      </c>
      <c r="F67" s="71">
        <v>218</v>
      </c>
      <c r="G67" s="297">
        <f t="shared" si="5"/>
        <v>327</v>
      </c>
      <c r="H67" s="301"/>
      <c r="I67" s="129"/>
      <c r="K67" s="318"/>
    </row>
    <row r="68" spans="2:11" x14ac:dyDescent="0.25">
      <c r="B68" s="71" t="s">
        <v>254</v>
      </c>
      <c r="C68" s="466">
        <v>1</v>
      </c>
      <c r="D68" s="301">
        <v>46103</v>
      </c>
      <c r="E68" s="129" t="s">
        <v>176</v>
      </c>
      <c r="F68" s="108">
        <v>230</v>
      </c>
      <c r="G68" s="297">
        <f t="shared" si="5"/>
        <v>345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46110</v>
      </c>
      <c r="E69" s="129" t="s">
        <v>175</v>
      </c>
      <c r="F69" s="71">
        <v>177</v>
      </c>
      <c r="G69" s="297">
        <f t="shared" si="5"/>
        <v>265.5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>
        <v>46110</v>
      </c>
      <c r="E70" s="129" t="s">
        <v>176</v>
      </c>
      <c r="F70" s="71">
        <v>201</v>
      </c>
      <c r="G70" s="297">
        <f t="shared" si="5"/>
        <v>301.5</v>
      </c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>
        <v>46123</v>
      </c>
      <c r="E71" s="129" t="s">
        <v>175</v>
      </c>
      <c r="F71" s="71">
        <v>65</v>
      </c>
      <c r="G71" s="297">
        <f t="shared" si="5"/>
        <v>97.5</v>
      </c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>
        <v>46123</v>
      </c>
      <c r="E72" s="129" t="s">
        <v>176</v>
      </c>
      <c r="F72" s="108">
        <v>188</v>
      </c>
      <c r="G72" s="297">
        <f t="shared" si="5"/>
        <v>282</v>
      </c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>
        <v>46124</v>
      </c>
      <c r="E73" s="129" t="s">
        <v>175</v>
      </c>
      <c r="F73" s="71">
        <v>2</v>
      </c>
      <c r="G73" s="297">
        <f t="shared" si="5"/>
        <v>3</v>
      </c>
      <c r="H73" s="301"/>
      <c r="I73" s="129"/>
      <c r="K73" s="318"/>
    </row>
    <row r="74" spans="2:11" x14ac:dyDescent="0.25">
      <c r="D74" s="301">
        <v>46124</v>
      </c>
      <c r="E74" s="129" t="s">
        <v>176</v>
      </c>
      <c r="F74" s="71">
        <v>200</v>
      </c>
      <c r="G74" s="297">
        <f t="shared" si="5"/>
        <v>300</v>
      </c>
      <c r="H74" s="301"/>
      <c r="I74" s="129"/>
      <c r="K74" s="318"/>
    </row>
    <row r="75" spans="2:11" x14ac:dyDescent="0.25">
      <c r="D75" s="301">
        <v>46125</v>
      </c>
      <c r="E75" s="129" t="s">
        <v>175</v>
      </c>
      <c r="F75" s="71">
        <v>167</v>
      </c>
      <c r="G75" s="297">
        <f t="shared" si="5"/>
        <v>250.5</v>
      </c>
      <c r="H75" s="301"/>
      <c r="I75" s="129"/>
      <c r="K75" s="318"/>
    </row>
    <row r="76" spans="2:11" x14ac:dyDescent="0.25">
      <c r="D76" s="344"/>
      <c r="E76" s="345"/>
      <c r="F76" s="435">
        <f>+F74+F73+F72+F71+F75</f>
        <v>622</v>
      </c>
      <c r="G76" s="436">
        <f>+F76*1.5</f>
        <v>933</v>
      </c>
      <c r="H76" s="431" t="s">
        <v>289</v>
      </c>
      <c r="I76" s="345"/>
      <c r="J76" s="200">
        <f>+J62+J63+J64</f>
        <v>22362</v>
      </c>
      <c r="K76" s="346">
        <f>+J76*0.025</f>
        <v>559.05000000000007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47" zoomScale="90" zoomScaleNormal="90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5" width="20.5703125" style="162" customWidth="1"/>
    <col min="6" max="6" width="15.7109375" style="162" customWidth="1"/>
    <col min="7" max="7" width="15.140625" style="162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85"/>
      <c r="C4" s="485"/>
      <c r="D4" s="165">
        <f>D25</f>
        <v>9267.6750000000011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2185</v>
      </c>
      <c r="D5" s="172">
        <v>93.341999999999999</v>
      </c>
      <c r="E5" s="80">
        <f t="shared" ref="E5:E25" si="0">+D5/$D$4</f>
        <v>1.0071781757560553E-2</v>
      </c>
      <c r="F5" s="58" t="s">
        <v>51</v>
      </c>
      <c r="G5" s="59">
        <v>46125</v>
      </c>
      <c r="H5" s="190">
        <v>5592</v>
      </c>
      <c r="I5" s="141">
        <v>7331.6200000000008</v>
      </c>
      <c r="J5" s="60">
        <f t="shared" ref="J5:J12" si="1">+I5/H5</f>
        <v>1.3110908440629472</v>
      </c>
    </row>
    <row r="6" spans="1:11" ht="15" customHeight="1" x14ac:dyDescent="0.25">
      <c r="A6" s="164"/>
      <c r="B6" s="169" t="s">
        <v>10</v>
      </c>
      <c r="C6" s="177">
        <v>10200</v>
      </c>
      <c r="D6" s="173">
        <v>435.28</v>
      </c>
      <c r="E6" s="80">
        <f t="shared" si="0"/>
        <v>4.6967551192720926E-2</v>
      </c>
      <c r="F6" s="58" t="s">
        <v>52</v>
      </c>
      <c r="G6" s="59">
        <v>46126</v>
      </c>
      <c r="H6" s="190">
        <v>8469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19530</v>
      </c>
      <c r="D7" s="173">
        <v>833.43</v>
      </c>
      <c r="E7" s="245">
        <f t="shared" si="0"/>
        <v>8.9928703801115145E-2</v>
      </c>
      <c r="F7" s="58" t="s">
        <v>53</v>
      </c>
      <c r="G7" s="59">
        <v>46127</v>
      </c>
      <c r="H7" s="190">
        <v>9233</v>
      </c>
      <c r="I7" s="141">
        <v>7851.4069999999992</v>
      </c>
      <c r="J7" s="60">
        <f t="shared" si="1"/>
        <v>0.85036358713310944</v>
      </c>
    </row>
    <row r="8" spans="1:11" ht="15" customHeight="1" x14ac:dyDescent="0.25">
      <c r="A8" s="164"/>
      <c r="B8" s="169" t="s">
        <v>4</v>
      </c>
      <c r="C8" s="177">
        <v>1550</v>
      </c>
      <c r="D8" s="173">
        <v>66.150000000000006</v>
      </c>
      <c r="E8" s="80">
        <f t="shared" si="0"/>
        <v>7.1377125330786845E-3</v>
      </c>
      <c r="F8" s="58" t="s">
        <v>54</v>
      </c>
      <c r="G8" s="59">
        <v>46128</v>
      </c>
      <c r="H8" s="190">
        <v>9011</v>
      </c>
      <c r="I8" s="141">
        <v>9267.6750000000011</v>
      </c>
      <c r="J8" s="60">
        <f t="shared" si="1"/>
        <v>1.0284846298967929</v>
      </c>
    </row>
    <row r="9" spans="1:11" ht="15" customHeight="1" x14ac:dyDescent="0.25">
      <c r="A9" s="164"/>
      <c r="B9" s="169" t="s">
        <v>37</v>
      </c>
      <c r="C9" s="177">
        <v>52036</v>
      </c>
      <c r="D9" s="173">
        <v>2220.732</v>
      </c>
      <c r="E9" s="245">
        <f t="shared" si="0"/>
        <v>0.23962126423293864</v>
      </c>
      <c r="F9" s="58" t="s">
        <v>55</v>
      </c>
      <c r="G9" s="59">
        <v>46129</v>
      </c>
      <c r="H9" s="190">
        <v>7896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48138</v>
      </c>
      <c r="D10" s="173">
        <v>2055.4180000000001</v>
      </c>
      <c r="E10" s="245">
        <f t="shared" si="0"/>
        <v>0.22178356491784615</v>
      </c>
      <c r="F10" s="58" t="s">
        <v>56</v>
      </c>
      <c r="G10" s="59">
        <v>46130</v>
      </c>
      <c r="H10" s="190">
        <v>6986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12625</v>
      </c>
      <c r="D11" s="173">
        <v>539.31600000000003</v>
      </c>
      <c r="E11" s="80">
        <f t="shared" si="0"/>
        <v>5.8193236167647225E-2</v>
      </c>
      <c r="F11" s="58" t="s">
        <v>57</v>
      </c>
      <c r="G11" s="59">
        <v>46131</v>
      </c>
      <c r="H11" s="190">
        <v>4382.9999999999991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7</v>
      </c>
      <c r="D12" s="173">
        <v>0.17699999999999999</v>
      </c>
      <c r="E12" s="80">
        <f t="shared" si="0"/>
        <v>1.9098641244972441E-5</v>
      </c>
      <c r="H12" s="139">
        <f>+SUM(H5:H11)</f>
        <v>51570</v>
      </c>
      <c r="I12" s="142">
        <f>+SUM(I5:I11)</f>
        <v>24450.702000000001</v>
      </c>
      <c r="J12" s="140">
        <f t="shared" si="1"/>
        <v>0.47412646887725424</v>
      </c>
    </row>
    <row r="13" spans="1:11" ht="15" customHeight="1" x14ac:dyDescent="0.25">
      <c r="A13" s="164"/>
      <c r="B13" s="169" t="s">
        <v>172</v>
      </c>
      <c r="C13" s="177">
        <v>15</v>
      </c>
      <c r="D13" s="173">
        <v>27.27</v>
      </c>
      <c r="E13" s="80">
        <f t="shared" si="0"/>
        <v>2.9424855748610085E-3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141</v>
      </c>
      <c r="C14" s="177">
        <v>46</v>
      </c>
      <c r="D14" s="173">
        <v>69.709999999999994</v>
      </c>
      <c r="E14" s="80">
        <f t="shared" si="0"/>
        <v>7.5218433965368861E-3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537</v>
      </c>
      <c r="D15" s="173">
        <v>811.21</v>
      </c>
      <c r="E15" s="80">
        <f t="shared" si="0"/>
        <v>8.7531122962339517E-2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338</v>
      </c>
      <c r="D16" s="173">
        <v>510.7</v>
      </c>
      <c r="E16" s="80">
        <f t="shared" si="0"/>
        <v>5.5105514597782068E-2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49</v>
      </c>
      <c r="C17" s="177">
        <v>65</v>
      </c>
      <c r="D17" s="173">
        <v>97.89</v>
      </c>
      <c r="E17" s="80">
        <f t="shared" si="0"/>
        <v>1.0562519725821199E-2</v>
      </c>
      <c r="F17" s="112" t="s">
        <v>111</v>
      </c>
      <c r="G17" s="190">
        <v>205343.72800000012</v>
      </c>
      <c r="H17" s="190">
        <v>198970.75799999986</v>
      </c>
      <c r="I17" s="190">
        <f>+D26</f>
        <v>118979.549</v>
      </c>
      <c r="J17" s="456">
        <f t="shared" si="2"/>
        <v>0.96896437956945902</v>
      </c>
      <c r="K17" s="456">
        <f t="shared" si="2"/>
        <v>0.59797505018300268</v>
      </c>
    </row>
    <row r="18" spans="1:11" ht="15" customHeight="1" x14ac:dyDescent="0.25">
      <c r="A18" s="164"/>
      <c r="B18" s="169" t="s">
        <v>45</v>
      </c>
      <c r="C18" s="177"/>
      <c r="D18" s="173"/>
      <c r="E18" s="80">
        <f t="shared" si="0"/>
        <v>0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41</v>
      </c>
      <c r="C19" s="177">
        <v>257</v>
      </c>
      <c r="D19" s="173">
        <v>386.85</v>
      </c>
      <c r="E19" s="80">
        <f t="shared" si="0"/>
        <v>4.1741860822698248E-2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88</v>
      </c>
      <c r="C20" s="177"/>
      <c r="D20" s="173">
        <v>60.4</v>
      </c>
      <c r="E20" s="80">
        <f t="shared" si="0"/>
        <v>6.5172764474369232E-3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782.75</v>
      </c>
      <c r="E21" s="80">
        <f t="shared" si="0"/>
        <v>8.4460234093232653E-2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/>
      <c r="E22" s="80">
        <f t="shared" si="0"/>
        <v>0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89.8</v>
      </c>
      <c r="E23" s="80">
        <f t="shared" si="0"/>
        <v>9.6895931288052267E-3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187.25</v>
      </c>
      <c r="E24" s="80">
        <f t="shared" si="0"/>
        <v>2.0204636006333841E-2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thickBot="1" x14ac:dyDescent="0.3">
      <c r="A25" s="164"/>
      <c r="B25" s="178" t="s">
        <v>0</v>
      </c>
      <c r="C25" s="170"/>
      <c r="D25" s="171">
        <f>SUM(D5:D24)</f>
        <v>9267.6750000000011</v>
      </c>
      <c r="E25" s="80">
        <f t="shared" si="0"/>
        <v>1</v>
      </c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A26" s="164"/>
      <c r="B26" s="166" t="s">
        <v>1</v>
      </c>
      <c r="C26" s="167"/>
      <c r="D26" s="233">
        <v>118979.549</v>
      </c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797030.18499999994</v>
      </c>
      <c r="J26" s="378"/>
      <c r="K26" s="378">
        <f>+I26/H26</f>
        <v>1.0355097441856163</v>
      </c>
    </row>
    <row r="27" spans="1:11" ht="19.5" thickBot="1" x14ac:dyDescent="0.3">
      <c r="E27" s="313">
        <f>+D26/K2</f>
        <v>0.53455456205794616</v>
      </c>
      <c r="G27" s="379" t="s">
        <v>229</v>
      </c>
      <c r="H27" s="380"/>
      <c r="I27" s="380">
        <v>2726927.1277059279</v>
      </c>
      <c r="J27" s="381">
        <f>+I26/H26</f>
        <v>1.0355097441856163</v>
      </c>
      <c r="K27" s="179"/>
    </row>
    <row r="28" spans="1:11" ht="15" customHeight="1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5" customHeight="1" thickBot="1" x14ac:dyDescent="0.3">
      <c r="B29" s="397" t="s">
        <v>251</v>
      </c>
      <c r="C29" s="486">
        <v>16</v>
      </c>
      <c r="D29" s="108">
        <f>K3*C29</f>
        <v>118707.7315781808</v>
      </c>
      <c r="E29" s="314">
        <f>+D29/K2</f>
        <v>0.53333333333333333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5" customHeight="1" thickBot="1" x14ac:dyDescent="0.3">
      <c r="D30" s="183">
        <f>+D26-D29</f>
        <v>271.81742181919981</v>
      </c>
      <c r="E30" s="99">
        <f>E27-E29</f>
        <v>1.2212287246128328E-3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0.59797505018300268</v>
      </c>
      <c r="J31" s="422">
        <f>+I17-H17</f>
        <v>-79991.208999999857</v>
      </c>
      <c r="K31" s="459">
        <f>J28+J31+J30+J29</f>
        <v>27331.79300000018</v>
      </c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1414</v>
      </c>
      <c r="D33" s="108">
        <v>2142</v>
      </c>
      <c r="E33" s="57">
        <f>+C33/D33</f>
        <v>0.66013071895424835</v>
      </c>
      <c r="G33" s="86" t="s">
        <v>86</v>
      </c>
      <c r="H33" s="87">
        <v>3842</v>
      </c>
      <c r="I33" s="88">
        <f>+H33*0.025</f>
        <v>96.050000000000011</v>
      </c>
      <c r="J33" s="224"/>
      <c r="K33" s="68"/>
    </row>
    <row r="34" spans="1:11" x14ac:dyDescent="0.25">
      <c r="B34" s="162" t="s">
        <v>62</v>
      </c>
      <c r="C34" s="162">
        <v>654</v>
      </c>
      <c r="D34" s="108">
        <v>1890</v>
      </c>
      <c r="E34" s="57">
        <f>+C34/D34</f>
        <v>0.34603174603174602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ht="15" customHeight="1" x14ac:dyDescent="0.25">
      <c r="B35" s="162" t="s">
        <v>63</v>
      </c>
      <c r="C35" s="67">
        <v>1374</v>
      </c>
      <c r="D35" s="108">
        <v>3006</v>
      </c>
      <c r="E35" s="57">
        <f>+C35/D35</f>
        <v>0.45708582834331335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3442</v>
      </c>
      <c r="D36" s="110">
        <f>+SUM(D33:D35)</f>
        <v>7038</v>
      </c>
      <c r="E36" s="57">
        <f>+C36/D36</f>
        <v>0.4890593918726911</v>
      </c>
      <c r="G36" s="89" t="s">
        <v>169</v>
      </c>
      <c r="H36" s="87">
        <v>106</v>
      </c>
      <c r="I36" s="88">
        <f>+H36*1.5</f>
        <v>159</v>
      </c>
      <c r="J36" s="298">
        <f>+I36+I33+I34+I35</f>
        <v>279.34999999999997</v>
      </c>
    </row>
    <row r="37" spans="1:11" x14ac:dyDescent="0.25">
      <c r="G37" s="89" t="s">
        <v>168</v>
      </c>
      <c r="H37" s="87">
        <v>10</v>
      </c>
      <c r="I37" s="88">
        <f>+H37*1.5</f>
        <v>15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22</v>
      </c>
      <c r="C40" s="74">
        <v>8</v>
      </c>
      <c r="D40" s="74">
        <v>16</v>
      </c>
      <c r="E40" s="75">
        <f>+SUM(B40:D40)</f>
        <v>46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10.93</v>
      </c>
      <c r="C44" s="199">
        <v>2162</v>
      </c>
      <c r="D44" s="200">
        <v>3600</v>
      </c>
      <c r="E44" s="201">
        <f t="shared" si="3"/>
        <v>0.60055555555555551</v>
      </c>
      <c r="F44" s="201">
        <f t="shared" si="4"/>
        <v>0.45541666666666664</v>
      </c>
      <c r="G44" s="202">
        <v>12</v>
      </c>
      <c r="H44" s="71"/>
    </row>
    <row r="45" spans="1:11" x14ac:dyDescent="0.25">
      <c r="A45" s="207" t="s">
        <v>72</v>
      </c>
      <c r="B45" s="199">
        <v>8.66</v>
      </c>
      <c r="C45" s="199">
        <v>0</v>
      </c>
      <c r="D45" s="200">
        <v>3900</v>
      </c>
      <c r="E45" s="201">
        <f t="shared" si="3"/>
        <v>0</v>
      </c>
      <c r="F45" s="201">
        <f t="shared" si="4"/>
        <v>0.36083333333333334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7.29</v>
      </c>
      <c r="C46" s="199">
        <v>3170</v>
      </c>
      <c r="D46" s="200">
        <v>3900</v>
      </c>
      <c r="E46" s="201">
        <f t="shared" si="3"/>
        <v>0.81282051282051282</v>
      </c>
      <c r="F46" s="201">
        <f t="shared" si="4"/>
        <v>0.30375000000000002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12.56</v>
      </c>
      <c r="C47" s="199">
        <v>2507</v>
      </c>
      <c r="D47" s="200">
        <v>3900</v>
      </c>
      <c r="E47" s="201">
        <f t="shared" si="3"/>
        <v>0.64282051282051278</v>
      </c>
      <c r="F47" s="201">
        <f t="shared" si="4"/>
        <v>0.52333333333333332</v>
      </c>
      <c r="G47" s="202">
        <v>12</v>
      </c>
      <c r="H47" s="301"/>
      <c r="I47" s="129"/>
      <c r="K47" s="318"/>
    </row>
    <row r="48" spans="1:11" x14ac:dyDescent="0.25">
      <c r="A48" s="259" t="s">
        <v>75</v>
      </c>
      <c r="B48" s="260">
        <v>12.93</v>
      </c>
      <c r="C48" s="261">
        <v>2717</v>
      </c>
      <c r="D48" s="262">
        <v>4300</v>
      </c>
      <c r="E48" s="263">
        <f t="shared" si="3"/>
        <v>0.63186046511627902</v>
      </c>
      <c r="F48" s="201">
        <f t="shared" si="4"/>
        <v>0.53874999999999995</v>
      </c>
      <c r="G48" s="202">
        <v>16</v>
      </c>
      <c r="H48" s="301"/>
      <c r="I48" s="129"/>
      <c r="K48" s="318"/>
    </row>
    <row r="49" spans="2:11" x14ac:dyDescent="0.25">
      <c r="B49" s="113">
        <f>+SUM(B43:B48)</f>
        <v>52.37</v>
      </c>
      <c r="C49" s="71"/>
      <c r="D49" s="72"/>
      <c r="H49" s="301"/>
      <c r="I49" s="129"/>
      <c r="K49" s="318"/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10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F56" s="486" t="s">
        <v>271</v>
      </c>
      <c r="G56" s="486" t="s">
        <v>267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F57" s="486">
        <v>1230</v>
      </c>
      <c r="G57" s="486">
        <v>784.3</v>
      </c>
      <c r="H57" s="301"/>
      <c r="I57" s="129"/>
      <c r="K57" s="318"/>
    </row>
    <row r="58" spans="2:11" x14ac:dyDescent="0.25">
      <c r="C58" s="71">
        <v>8</v>
      </c>
      <c r="D58" s="108">
        <v>4</v>
      </c>
      <c r="F58" s="432">
        <f>+G57/F57</f>
        <v>0.63764227642276416</v>
      </c>
      <c r="G58" s="486" t="s">
        <v>269</v>
      </c>
    </row>
    <row r="59" spans="2:11" x14ac:dyDescent="0.25">
      <c r="F59" s="486"/>
      <c r="G59" s="486">
        <v>140</v>
      </c>
      <c r="H59" s="359" t="s">
        <v>288</v>
      </c>
      <c r="I59" s="345"/>
      <c r="J59" s="199">
        <f>+J46</f>
        <v>346</v>
      </c>
      <c r="K59" s="346">
        <f>+J59*1.5</f>
        <v>519</v>
      </c>
    </row>
    <row r="60" spans="2:11" x14ac:dyDescent="0.25">
      <c r="B60" s="364" t="s">
        <v>231</v>
      </c>
      <c r="C60" s="199">
        <v>1497</v>
      </c>
      <c r="D60" s="384" t="s">
        <v>92</v>
      </c>
      <c r="F60" s="432">
        <f>(G59+G57)/F57</f>
        <v>0.75146341463414634</v>
      </c>
      <c r="G60" s="486" t="s">
        <v>270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162" t="s">
        <v>177</v>
      </c>
      <c r="G62" s="215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46102</v>
      </c>
      <c r="E65" s="129" t="s">
        <v>175</v>
      </c>
      <c r="F65" s="71"/>
      <c r="G65" s="297">
        <f t="shared" ref="G65:G75" si="5">+F65*1.5</f>
        <v>0</v>
      </c>
      <c r="H65" s="301"/>
      <c r="I65" s="129"/>
      <c r="K65" s="318"/>
    </row>
    <row r="66" spans="2:11" x14ac:dyDescent="0.25">
      <c r="C66" s="389"/>
      <c r="D66" s="301">
        <v>46102</v>
      </c>
      <c r="E66" s="129" t="s">
        <v>176</v>
      </c>
      <c r="F66" s="108">
        <v>173</v>
      </c>
      <c r="G66" s="297">
        <f t="shared" si="5"/>
        <v>259.5</v>
      </c>
      <c r="H66" s="301"/>
      <c r="I66" s="129"/>
      <c r="K66" s="318"/>
    </row>
    <row r="67" spans="2:11" x14ac:dyDescent="0.25">
      <c r="B67" s="71"/>
      <c r="C67" s="467" t="s">
        <v>80</v>
      </c>
      <c r="D67" s="301">
        <v>46103</v>
      </c>
      <c r="E67" s="129" t="s">
        <v>175</v>
      </c>
      <c r="F67" s="71">
        <v>218</v>
      </c>
      <c r="G67" s="297">
        <f t="shared" si="5"/>
        <v>327</v>
      </c>
      <c r="H67" s="301"/>
      <c r="I67" s="129"/>
      <c r="K67" s="318"/>
    </row>
    <row r="68" spans="2:11" x14ac:dyDescent="0.25">
      <c r="B68" s="71" t="s">
        <v>254</v>
      </c>
      <c r="C68" s="466">
        <v>1</v>
      </c>
      <c r="D68" s="301">
        <v>46103</v>
      </c>
      <c r="E68" s="129" t="s">
        <v>176</v>
      </c>
      <c r="F68" s="108">
        <v>230</v>
      </c>
      <c r="G68" s="297">
        <f t="shared" si="5"/>
        <v>345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46110</v>
      </c>
      <c r="E69" s="129" t="s">
        <v>175</v>
      </c>
      <c r="F69" s="71">
        <v>177</v>
      </c>
      <c r="G69" s="297">
        <f t="shared" si="5"/>
        <v>265.5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>
        <v>46110</v>
      </c>
      <c r="E70" s="129" t="s">
        <v>176</v>
      </c>
      <c r="F70" s="71">
        <v>201</v>
      </c>
      <c r="G70" s="297">
        <f t="shared" si="5"/>
        <v>301.5</v>
      </c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>
        <v>46123</v>
      </c>
      <c r="E71" s="129" t="s">
        <v>175</v>
      </c>
      <c r="F71" s="71">
        <v>65</v>
      </c>
      <c r="G71" s="297">
        <f t="shared" si="5"/>
        <v>97.5</v>
      </c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>
        <v>46123</v>
      </c>
      <c r="E72" s="129" t="s">
        <v>176</v>
      </c>
      <c r="F72" s="108">
        <v>188</v>
      </c>
      <c r="G72" s="297">
        <f t="shared" si="5"/>
        <v>282</v>
      </c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>
        <v>46124</v>
      </c>
      <c r="E73" s="129" t="s">
        <v>175</v>
      </c>
      <c r="F73" s="71">
        <v>2</v>
      </c>
      <c r="G73" s="297">
        <f t="shared" si="5"/>
        <v>3</v>
      </c>
      <c r="H73" s="301"/>
      <c r="I73" s="129"/>
      <c r="K73" s="318"/>
    </row>
    <row r="74" spans="2:11" x14ac:dyDescent="0.25">
      <c r="D74" s="301">
        <v>46124</v>
      </c>
      <c r="E74" s="129" t="s">
        <v>176</v>
      </c>
      <c r="F74" s="71">
        <v>200</v>
      </c>
      <c r="G74" s="297">
        <f t="shared" si="5"/>
        <v>300</v>
      </c>
      <c r="H74" s="301"/>
      <c r="I74" s="129"/>
      <c r="K74" s="318"/>
    </row>
    <row r="75" spans="2:11" x14ac:dyDescent="0.25">
      <c r="D75" s="301">
        <v>46125</v>
      </c>
      <c r="E75" s="129" t="s">
        <v>175</v>
      </c>
      <c r="F75" s="71">
        <v>167</v>
      </c>
      <c r="G75" s="297">
        <f t="shared" si="5"/>
        <v>250.5</v>
      </c>
      <c r="H75" s="301"/>
      <c r="I75" s="129"/>
      <c r="K75" s="318"/>
    </row>
    <row r="76" spans="2:11" x14ac:dyDescent="0.25">
      <c r="D76" s="344"/>
      <c r="E76" s="345"/>
      <c r="F76" s="435">
        <f>+F74+F73+F72+F71+F75</f>
        <v>622</v>
      </c>
      <c r="G76" s="436">
        <f>+F76*1.5</f>
        <v>933</v>
      </c>
      <c r="H76" s="431" t="s">
        <v>289</v>
      </c>
      <c r="I76" s="345"/>
      <c r="J76" s="200">
        <f>+J62+J63+J64</f>
        <v>22362</v>
      </c>
      <c r="K76" s="346">
        <f>+J76*0.025</f>
        <v>559.05000000000007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6"/>
  <sheetViews>
    <sheetView topLeftCell="A5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45.42578125" style="162" customWidth="1"/>
    <col min="3" max="3" width="13.28515625" style="162" customWidth="1"/>
    <col min="4" max="4" width="14.5703125" style="163" customWidth="1"/>
    <col min="5" max="5" width="14.85546875" style="162" customWidth="1"/>
    <col min="6" max="6" width="15.140625" style="162" customWidth="1"/>
    <col min="7" max="7" width="16.85546875" style="162" customWidth="1"/>
    <col min="8" max="10" width="11.42578125" style="162"/>
    <col min="11" max="11" width="7.85546875" style="162" bestFit="1" customWidth="1"/>
    <col min="12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85"/>
      <c r="C4" s="485"/>
      <c r="D4" s="165">
        <f>D24</f>
        <v>5182.018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3865</v>
      </c>
      <c r="D5" s="172">
        <v>165.13399999999999</v>
      </c>
      <c r="E5" s="80">
        <f t="shared" ref="E5:E24" si="0">+D5/$D$4</f>
        <v>3.1866736086211968E-2</v>
      </c>
      <c r="F5" s="58" t="s">
        <v>51</v>
      </c>
      <c r="G5" s="59">
        <v>46125</v>
      </c>
      <c r="H5" s="190">
        <v>5592</v>
      </c>
      <c r="I5" s="141">
        <v>7331.6200000000008</v>
      </c>
      <c r="J5" s="60">
        <f t="shared" ref="J5:J12" si="1">+I5/H5</f>
        <v>1.3110908440629472</v>
      </c>
    </row>
    <row r="6" spans="1:11" ht="15" customHeight="1" x14ac:dyDescent="0.25">
      <c r="A6" s="164"/>
      <c r="B6" s="169" t="s">
        <v>10</v>
      </c>
      <c r="C6" s="177">
        <v>17766</v>
      </c>
      <c r="D6" s="173">
        <v>758.56899999999996</v>
      </c>
      <c r="E6" s="80">
        <f t="shared" si="0"/>
        <v>0.14638486396612285</v>
      </c>
      <c r="F6" s="58" t="s">
        <v>52</v>
      </c>
      <c r="G6" s="59">
        <v>46126</v>
      </c>
      <c r="H6" s="190">
        <v>8469</v>
      </c>
      <c r="I6" s="141">
        <v>9771.94</v>
      </c>
      <c r="J6" s="60">
        <f t="shared" si="1"/>
        <v>1.1538481520840713</v>
      </c>
    </row>
    <row r="7" spans="1:11" ht="15" customHeight="1" x14ac:dyDescent="0.25">
      <c r="A7" s="164"/>
      <c r="B7" s="169" t="s">
        <v>35</v>
      </c>
      <c r="C7" s="177">
        <v>13255</v>
      </c>
      <c r="D7" s="173">
        <v>566.04999999999995</v>
      </c>
      <c r="E7" s="245">
        <f t="shared" si="0"/>
        <v>0.10923350710090161</v>
      </c>
      <c r="F7" s="58" t="s">
        <v>53</v>
      </c>
      <c r="G7" s="59">
        <v>46127</v>
      </c>
      <c r="H7" s="190">
        <v>9233</v>
      </c>
      <c r="I7" s="141">
        <v>7851.4069999999992</v>
      </c>
      <c r="J7" s="60">
        <f t="shared" si="1"/>
        <v>0.85036358713310944</v>
      </c>
    </row>
    <row r="8" spans="1:11" ht="15" customHeight="1" x14ac:dyDescent="0.25">
      <c r="A8" s="164"/>
      <c r="B8" s="169" t="s">
        <v>4</v>
      </c>
      <c r="C8" s="177">
        <v>4715</v>
      </c>
      <c r="D8" s="173">
        <v>200.96</v>
      </c>
      <c r="E8" s="80">
        <f t="shared" si="0"/>
        <v>3.8780258964750798E-2</v>
      </c>
      <c r="F8" s="58" t="s">
        <v>54</v>
      </c>
      <c r="G8" s="59">
        <v>46128</v>
      </c>
      <c r="H8" s="190">
        <v>9011</v>
      </c>
      <c r="I8" s="141">
        <v>9267.6750000000011</v>
      </c>
      <c r="J8" s="60">
        <f t="shared" si="1"/>
        <v>1.0284846298967929</v>
      </c>
    </row>
    <row r="9" spans="1:11" ht="15" customHeight="1" x14ac:dyDescent="0.25">
      <c r="A9" s="164"/>
      <c r="B9" s="169" t="s">
        <v>37</v>
      </c>
      <c r="C9" s="177">
        <v>14810</v>
      </c>
      <c r="D9" s="173">
        <v>632.66499999999996</v>
      </c>
      <c r="E9" s="245">
        <f t="shared" si="0"/>
        <v>0.1220885377086687</v>
      </c>
      <c r="F9" s="58" t="s">
        <v>55</v>
      </c>
      <c r="G9" s="59">
        <v>46129</v>
      </c>
      <c r="H9" s="190">
        <v>7896</v>
      </c>
      <c r="I9" s="141">
        <v>7997.01</v>
      </c>
      <c r="J9" s="60">
        <f t="shared" si="1"/>
        <v>1.0127925531914894</v>
      </c>
    </row>
    <row r="10" spans="1:11" ht="15" customHeight="1" x14ac:dyDescent="0.25">
      <c r="A10" s="164"/>
      <c r="B10" s="169" t="s">
        <v>38</v>
      </c>
      <c r="C10" s="177">
        <v>30744</v>
      </c>
      <c r="D10" s="173">
        <v>1312.4480000000001</v>
      </c>
      <c r="E10" s="245">
        <f t="shared" si="0"/>
        <v>0.25326967216246643</v>
      </c>
      <c r="F10" s="58" t="s">
        <v>56</v>
      </c>
      <c r="G10" s="59">
        <v>46130</v>
      </c>
      <c r="H10" s="190">
        <v>6986</v>
      </c>
      <c r="I10" s="141">
        <v>7116.69</v>
      </c>
      <c r="J10" s="60">
        <f t="shared" si="1"/>
        <v>1.0187074148296593</v>
      </c>
    </row>
    <row r="11" spans="1:11" ht="15" customHeight="1" x14ac:dyDescent="0.25">
      <c r="A11" s="164"/>
      <c r="B11" s="169" t="s">
        <v>42</v>
      </c>
      <c r="C11" s="177">
        <v>3050</v>
      </c>
      <c r="D11" s="173">
        <v>130.16999999999999</v>
      </c>
      <c r="E11" s="80">
        <f t="shared" si="0"/>
        <v>2.5119557670390182E-2</v>
      </c>
      <c r="F11" s="58" t="s">
        <v>57</v>
      </c>
      <c r="G11" s="59">
        <v>46131</v>
      </c>
      <c r="H11" s="190">
        <v>4382.9999999999991</v>
      </c>
      <c r="I11" s="141">
        <v>5182.018</v>
      </c>
      <c r="J11" s="60">
        <f t="shared" si="1"/>
        <v>1.1822993383527267</v>
      </c>
    </row>
    <row r="12" spans="1:11" ht="15" customHeight="1" x14ac:dyDescent="0.25">
      <c r="A12" s="164"/>
      <c r="B12" s="169" t="s">
        <v>196</v>
      </c>
      <c r="C12" s="177">
        <v>8069</v>
      </c>
      <c r="D12" s="173">
        <v>203.77199999999999</v>
      </c>
      <c r="E12" s="80">
        <f t="shared" si="0"/>
        <v>3.9322904706236061E-2</v>
      </c>
      <c r="H12" s="139">
        <f>+SUM(H5:H11)</f>
        <v>51570</v>
      </c>
      <c r="I12" s="142">
        <f>+SUM(I5:I11)</f>
        <v>54518.36</v>
      </c>
      <c r="J12" s="140">
        <f t="shared" si="1"/>
        <v>1.0571719992243553</v>
      </c>
    </row>
    <row r="13" spans="1:11" ht="15" customHeight="1" x14ac:dyDescent="0.25">
      <c r="A13" s="164"/>
      <c r="B13" s="169" t="s">
        <v>141</v>
      </c>
      <c r="C13" s="177">
        <v>23</v>
      </c>
      <c r="D13" s="173">
        <v>34.909999999999997</v>
      </c>
      <c r="E13" s="80">
        <f t="shared" si="0"/>
        <v>6.7367577650251304E-3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39</v>
      </c>
      <c r="C14" s="177">
        <v>134</v>
      </c>
      <c r="D14" s="173">
        <v>202.87</v>
      </c>
      <c r="E14" s="80">
        <f t="shared" si="0"/>
        <v>3.9148841242928917E-2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43</v>
      </c>
      <c r="C15" s="177">
        <v>156</v>
      </c>
      <c r="D15" s="173">
        <v>236.1</v>
      </c>
      <c r="E15" s="80">
        <f t="shared" si="0"/>
        <v>4.5561400983169104E-2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49</v>
      </c>
      <c r="C16" s="177">
        <v>20</v>
      </c>
      <c r="D16" s="173">
        <v>30.03</v>
      </c>
      <c r="E16" s="80">
        <f t="shared" si="0"/>
        <v>5.7950396930307848E-3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45</v>
      </c>
      <c r="C17" s="177"/>
      <c r="D17" s="173"/>
      <c r="E17" s="80">
        <f t="shared" si="0"/>
        <v>0</v>
      </c>
      <c r="F17" s="112" t="s">
        <v>111</v>
      </c>
      <c r="G17" s="190">
        <v>205343.72800000012</v>
      </c>
      <c r="H17" s="190">
        <v>198970.75799999986</v>
      </c>
      <c r="I17" s="190">
        <f>+D25</f>
        <v>139075.899</v>
      </c>
      <c r="J17" s="456">
        <f t="shared" si="2"/>
        <v>0.96896437956945902</v>
      </c>
      <c r="K17" s="456">
        <f t="shared" si="2"/>
        <v>0.69897657524127288</v>
      </c>
    </row>
    <row r="18" spans="1:11" ht="15" customHeight="1" x14ac:dyDescent="0.25">
      <c r="A18" s="164"/>
      <c r="B18" s="169" t="s">
        <v>41</v>
      </c>
      <c r="C18" s="177">
        <v>128</v>
      </c>
      <c r="D18" s="173">
        <v>192.4</v>
      </c>
      <c r="E18" s="80">
        <f t="shared" si="0"/>
        <v>3.7128392838465633E-2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88</v>
      </c>
      <c r="C19" s="177">
        <v>60</v>
      </c>
      <c r="D19" s="173">
        <v>89.32</v>
      </c>
      <c r="E19" s="80">
        <f t="shared" si="0"/>
        <v>1.7236528317732588E-2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336.13</v>
      </c>
      <c r="E20" s="80">
        <f t="shared" si="0"/>
        <v>6.4864691708905686E-2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265</v>
      </c>
      <c r="C21" s="177"/>
      <c r="D21" s="173"/>
      <c r="E21" s="80">
        <f t="shared" si="0"/>
        <v>0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9</v>
      </c>
      <c r="C22" s="177"/>
      <c r="D22" s="173">
        <v>60.35</v>
      </c>
      <c r="E22" s="80">
        <f t="shared" si="0"/>
        <v>1.1646042140339923E-2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thickBot="1" x14ac:dyDescent="0.3">
      <c r="A23" s="164"/>
      <c r="B23" s="169" t="s">
        <v>46</v>
      </c>
      <c r="C23" s="177"/>
      <c r="D23" s="173">
        <v>30.14</v>
      </c>
      <c r="E23" s="80">
        <f t="shared" si="0"/>
        <v>5.8162669446536076E-3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78" t="s">
        <v>0</v>
      </c>
      <c r="C24" s="170"/>
      <c r="D24" s="171">
        <f>SUM(D5:D23)</f>
        <v>5182.018</v>
      </c>
      <c r="E24" s="80">
        <f t="shared" si="0"/>
        <v>1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x14ac:dyDescent="0.25">
      <c r="A25" s="164"/>
      <c r="B25" s="166" t="s">
        <v>1</v>
      </c>
      <c r="C25" s="167"/>
      <c r="D25" s="233">
        <v>139075.899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817126.53499999992</v>
      </c>
      <c r="J26" s="378"/>
      <c r="K26" s="378">
        <f>+I26/H26</f>
        <v>1.0616191270411284</v>
      </c>
    </row>
    <row r="27" spans="1:11" ht="19.5" thickBot="1" x14ac:dyDescent="0.3">
      <c r="E27" s="313">
        <f>+D25/K2</f>
        <v>0.62484399132123247</v>
      </c>
      <c r="G27" s="379" t="s">
        <v>229</v>
      </c>
      <c r="H27" s="380"/>
      <c r="I27" s="380">
        <v>2726927.1277059279</v>
      </c>
      <c r="J27" s="381">
        <f>+I26/H26</f>
        <v>1.0616191270411284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86">
        <v>19</v>
      </c>
      <c r="D29" s="108">
        <f>K3*C29</f>
        <v>140965.43124908971</v>
      </c>
      <c r="E29" s="314">
        <f>+D29/K2</f>
        <v>0.63333333333333341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+D25-D29</f>
        <v>-1889.5322490897088</v>
      </c>
      <c r="E30" s="99">
        <f>E27-E29</f>
        <v>-8.4893420121009422E-3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0.69897657524127288</v>
      </c>
      <c r="J31" s="422">
        <f>+I17-H17</f>
        <v>-59894.858999999851</v>
      </c>
      <c r="K31" s="459">
        <f>J28+J31+J30+J29</f>
        <v>47428.143000000186</v>
      </c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331</v>
      </c>
      <c r="D33" s="108">
        <v>2142</v>
      </c>
      <c r="E33" s="57">
        <f>+C33/D33</f>
        <v>0.15452847805788983</v>
      </c>
      <c r="G33" s="86" t="s">
        <v>86</v>
      </c>
      <c r="H33" s="87">
        <f>5003+1267</f>
        <v>6270</v>
      </c>
      <c r="I33" s="88">
        <f>+H33*0.025</f>
        <v>156.75</v>
      </c>
      <c r="J33" s="224"/>
      <c r="K33" s="68"/>
    </row>
    <row r="34" spans="1:11" x14ac:dyDescent="0.25">
      <c r="B34" s="162" t="s">
        <v>62</v>
      </c>
      <c r="C34" s="162">
        <v>1320</v>
      </c>
      <c r="D34" s="108">
        <v>1890</v>
      </c>
      <c r="E34" s="57">
        <f>+C34/D34</f>
        <v>0.69841269841269837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ht="15" customHeight="1" x14ac:dyDescent="0.25">
      <c r="B35" s="162" t="s">
        <v>63</v>
      </c>
      <c r="C35" s="67">
        <v>2195</v>
      </c>
      <c r="D35" s="108">
        <v>3006</v>
      </c>
      <c r="E35" s="57">
        <f>+C35/D35</f>
        <v>0.73020625415834994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3846</v>
      </c>
      <c r="D36" s="110">
        <f>+SUM(D33:D35)</f>
        <v>7038</v>
      </c>
      <c r="E36" s="57">
        <f>+C36/D36</f>
        <v>0.54646206308610401</v>
      </c>
      <c r="G36" s="89" t="s">
        <v>169</v>
      </c>
      <c r="H36" s="87">
        <v>354</v>
      </c>
      <c r="I36" s="88">
        <f>+H36*1.5</f>
        <v>531</v>
      </c>
      <c r="J36" s="298">
        <f>+I36+I33+I34+I35</f>
        <v>712.05</v>
      </c>
    </row>
    <row r="37" spans="1:11" x14ac:dyDescent="0.25">
      <c r="G37" s="89" t="s">
        <v>168</v>
      </c>
      <c r="H37" s="87">
        <v>10</v>
      </c>
      <c r="I37" s="88">
        <f>+H37*1.5</f>
        <v>15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2</v>
      </c>
      <c r="C40" s="74">
        <v>0</v>
      </c>
      <c r="D40" s="74">
        <v>8</v>
      </c>
      <c r="E40" s="75">
        <f>+SUM(B40:D40)</f>
        <v>10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3.79</v>
      </c>
      <c r="C44" s="199">
        <v>2164</v>
      </c>
      <c r="D44" s="200">
        <v>3600</v>
      </c>
      <c r="E44" s="201">
        <f t="shared" si="3"/>
        <v>0.60111111111111115</v>
      </c>
      <c r="F44" s="201">
        <f t="shared" si="4"/>
        <v>0.15791666666666668</v>
      </c>
      <c r="G44" s="202">
        <v>12</v>
      </c>
      <c r="H44" s="71"/>
    </row>
    <row r="45" spans="1:11" x14ac:dyDescent="0.25">
      <c r="A45" s="207" t="s">
        <v>72</v>
      </c>
      <c r="B45" s="199">
        <v>10.27</v>
      </c>
      <c r="C45" s="199">
        <v>0</v>
      </c>
      <c r="D45" s="200">
        <v>3900</v>
      </c>
      <c r="E45" s="201">
        <f t="shared" si="3"/>
        <v>0</v>
      </c>
      <c r="F45" s="201">
        <f t="shared" si="4"/>
        <v>0.42791666666666667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6.24</v>
      </c>
      <c r="C46" s="199">
        <v>2532</v>
      </c>
      <c r="D46" s="200">
        <v>3900</v>
      </c>
      <c r="E46" s="201">
        <f t="shared" si="3"/>
        <v>0.64923076923076928</v>
      </c>
      <c r="F46" s="201">
        <f t="shared" si="4"/>
        <v>0.26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13.29</v>
      </c>
      <c r="C47" s="199">
        <v>2250</v>
      </c>
      <c r="D47" s="200">
        <v>3900</v>
      </c>
      <c r="E47" s="201">
        <f t="shared" si="3"/>
        <v>0.57692307692307687</v>
      </c>
      <c r="F47" s="201">
        <f t="shared" si="4"/>
        <v>0.55374999999999996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1.26</v>
      </c>
      <c r="C48" s="261">
        <v>186</v>
      </c>
      <c r="D48" s="262">
        <v>4300</v>
      </c>
      <c r="E48" s="263">
        <f t="shared" si="3"/>
        <v>4.3255813953488369E-2</v>
      </c>
      <c r="F48" s="201">
        <f t="shared" si="4"/>
        <v>5.2499999999999998E-2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49" si="5">+J48*1.5</f>
        <v>129</v>
      </c>
    </row>
    <row r="49" spans="2:11" x14ac:dyDescent="0.25">
      <c r="B49" s="113">
        <f>+SUM(B43:B48)</f>
        <v>34.849999999999994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5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3</v>
      </c>
      <c r="H54" s="301"/>
      <c r="I54" s="129"/>
      <c r="K54" s="318"/>
    </row>
    <row r="55" spans="2:11" x14ac:dyDescent="0.25">
      <c r="C55" s="71">
        <v>5</v>
      </c>
      <c r="D55" s="108">
        <v>7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5</v>
      </c>
    </row>
    <row r="59" spans="2:11" x14ac:dyDescent="0.25">
      <c r="H59" s="359" t="s">
        <v>291</v>
      </c>
      <c r="I59" s="345"/>
      <c r="J59" s="199">
        <f>+J47+J48+J49</f>
        <v>307</v>
      </c>
      <c r="K59" s="346">
        <f>+J59*1.5</f>
        <v>460.5</v>
      </c>
    </row>
    <row r="60" spans="2:11" x14ac:dyDescent="0.25">
      <c r="B60" s="364" t="s">
        <v>231</v>
      </c>
      <c r="C60" s="199">
        <v>1369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46102</v>
      </c>
      <c r="E65" s="129" t="s">
        <v>175</v>
      </c>
      <c r="F65" s="71"/>
      <c r="G65" s="297">
        <f t="shared" ref="G65:G75" si="6">+F65*1.5</f>
        <v>0</v>
      </c>
      <c r="H65" s="301"/>
      <c r="I65" s="129"/>
      <c r="K65" s="318"/>
    </row>
    <row r="66" spans="2:11" x14ac:dyDescent="0.25">
      <c r="C66" s="389"/>
      <c r="D66" s="301">
        <v>46102</v>
      </c>
      <c r="E66" s="129" t="s">
        <v>176</v>
      </c>
      <c r="F66" s="108">
        <v>173</v>
      </c>
      <c r="G66" s="297">
        <f t="shared" si="6"/>
        <v>259.5</v>
      </c>
      <c r="H66" s="301"/>
      <c r="I66" s="129"/>
      <c r="K66" s="318"/>
    </row>
    <row r="67" spans="2:11" x14ac:dyDescent="0.25">
      <c r="B67" s="71"/>
      <c r="C67" s="467" t="s">
        <v>80</v>
      </c>
      <c r="D67" s="301">
        <v>46103</v>
      </c>
      <c r="E67" s="129" t="s">
        <v>175</v>
      </c>
      <c r="F67" s="71">
        <v>218</v>
      </c>
      <c r="G67" s="297">
        <f t="shared" si="6"/>
        <v>327</v>
      </c>
      <c r="H67" s="301"/>
      <c r="I67" s="129"/>
      <c r="K67" s="318"/>
    </row>
    <row r="68" spans="2:11" x14ac:dyDescent="0.25">
      <c r="B68" s="71" t="s">
        <v>254</v>
      </c>
      <c r="C68" s="466">
        <v>1</v>
      </c>
      <c r="D68" s="301">
        <v>46103</v>
      </c>
      <c r="E68" s="129" t="s">
        <v>176</v>
      </c>
      <c r="F68" s="108">
        <v>230</v>
      </c>
      <c r="G68" s="297">
        <f t="shared" si="6"/>
        <v>345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46110</v>
      </c>
      <c r="E69" s="129" t="s">
        <v>175</v>
      </c>
      <c r="F69" s="71">
        <v>177</v>
      </c>
      <c r="G69" s="297">
        <f t="shared" si="6"/>
        <v>265.5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>
        <v>46110</v>
      </c>
      <c r="E70" s="129" t="s">
        <v>176</v>
      </c>
      <c r="F70" s="71">
        <v>201</v>
      </c>
      <c r="G70" s="297">
        <f t="shared" si="6"/>
        <v>301.5</v>
      </c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>
        <v>46123</v>
      </c>
      <c r="E71" s="129" t="s">
        <v>175</v>
      </c>
      <c r="F71" s="71">
        <v>65</v>
      </c>
      <c r="G71" s="297">
        <f t="shared" si="6"/>
        <v>97.5</v>
      </c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>
        <v>46123</v>
      </c>
      <c r="E72" s="129" t="s">
        <v>176</v>
      </c>
      <c r="F72" s="108">
        <v>188</v>
      </c>
      <c r="G72" s="297">
        <f t="shared" si="6"/>
        <v>282</v>
      </c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>
        <v>46124</v>
      </c>
      <c r="E73" s="129" t="s">
        <v>175</v>
      </c>
      <c r="F73" s="71">
        <v>2</v>
      </c>
      <c r="G73" s="297">
        <f t="shared" si="6"/>
        <v>3</v>
      </c>
      <c r="H73" s="301"/>
      <c r="I73" s="129"/>
      <c r="K73" s="318"/>
    </row>
    <row r="74" spans="2:11" x14ac:dyDescent="0.25">
      <c r="D74" s="301">
        <v>46124</v>
      </c>
      <c r="E74" s="129" t="s">
        <v>176</v>
      </c>
      <c r="F74" s="71">
        <v>200</v>
      </c>
      <c r="G74" s="297">
        <f t="shared" si="6"/>
        <v>300</v>
      </c>
      <c r="H74" s="301"/>
      <c r="I74" s="129"/>
      <c r="K74" s="318"/>
    </row>
    <row r="75" spans="2:11" x14ac:dyDescent="0.25">
      <c r="D75" s="301">
        <v>46125</v>
      </c>
      <c r="E75" s="129" t="s">
        <v>175</v>
      </c>
      <c r="F75" s="71">
        <v>167</v>
      </c>
      <c r="G75" s="297">
        <f t="shared" si="6"/>
        <v>250.5</v>
      </c>
      <c r="H75" s="301"/>
      <c r="I75" s="129"/>
      <c r="K75" s="318"/>
    </row>
    <row r="76" spans="2:11" x14ac:dyDescent="0.25">
      <c r="D76" s="344"/>
      <c r="E76" s="345"/>
      <c r="F76" s="435">
        <f>+F74+F73+F72+F71+F75</f>
        <v>622</v>
      </c>
      <c r="G76" s="436">
        <f>+F76*1.5</f>
        <v>933</v>
      </c>
      <c r="H76" s="431" t="s">
        <v>290</v>
      </c>
      <c r="I76" s="345"/>
      <c r="J76" s="200">
        <f>+J62+J63+J64</f>
        <v>22362</v>
      </c>
      <c r="K76" s="346">
        <f>+J76*0.025</f>
        <v>559.05000000000007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6"/>
  <sheetViews>
    <sheetView topLeftCell="A13" workbookViewId="0">
      <selection activeCell="I36" sqref="I36"/>
    </sheetView>
  </sheetViews>
  <sheetFormatPr baseColWidth="10" defaultColWidth="11.42578125" defaultRowHeight="15.75" x14ac:dyDescent="0.25"/>
  <cols>
    <col min="1" max="1" width="2.42578125" style="162" customWidth="1"/>
    <col min="2" max="2" width="41.5703125" style="162" customWidth="1"/>
    <col min="3" max="3" width="13.28515625" style="162" customWidth="1"/>
    <col min="4" max="4" width="14.5703125" style="163" customWidth="1"/>
    <col min="5" max="5" width="14.85546875" style="162" customWidth="1"/>
    <col min="6" max="6" width="16.85546875" style="162" customWidth="1"/>
    <col min="7" max="7" width="16.140625" style="162" customWidth="1"/>
    <col min="8" max="8" width="14.28515625" style="162" customWidth="1"/>
    <col min="9" max="10" width="11.42578125" style="162"/>
    <col min="11" max="11" width="7.85546875" style="162" bestFit="1" customWidth="1"/>
    <col min="12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85"/>
      <c r="C4" s="485"/>
      <c r="D4" s="165">
        <f>D25</f>
        <v>7816.34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2980</v>
      </c>
      <c r="D5" s="172">
        <v>127.182</v>
      </c>
      <c r="E5" s="80">
        <f t="shared" ref="E5:E24" si="0">+D5/$D$4</f>
        <v>1.6271298331444129E-2</v>
      </c>
      <c r="F5" s="58" t="s">
        <v>51</v>
      </c>
      <c r="G5" s="59">
        <v>46132</v>
      </c>
      <c r="H5" s="190">
        <v>7071.2000000000007</v>
      </c>
      <c r="I5" s="141">
        <v>7816.34</v>
      </c>
      <c r="J5" s="60">
        <f t="shared" ref="J5:J12" si="1">+I5/H5</f>
        <v>1.1053767394501639</v>
      </c>
    </row>
    <row r="6" spans="1:11" ht="15" customHeight="1" x14ac:dyDescent="0.25">
      <c r="A6" s="164"/>
      <c r="B6" s="169" t="s">
        <v>10</v>
      </c>
      <c r="C6" s="177">
        <v>14045</v>
      </c>
      <c r="D6" s="173">
        <v>599.39599999999996</v>
      </c>
      <c r="E6" s="80">
        <f t="shared" si="0"/>
        <v>7.6684995790868862E-2</v>
      </c>
      <c r="F6" s="58" t="s">
        <v>52</v>
      </c>
      <c r="G6" s="59">
        <v>46133</v>
      </c>
      <c r="H6" s="190">
        <v>8223.2999999999993</v>
      </c>
      <c r="I6" s="141"/>
      <c r="J6" s="60">
        <f t="shared" si="1"/>
        <v>0</v>
      </c>
    </row>
    <row r="7" spans="1:11" ht="15" customHeight="1" x14ac:dyDescent="0.25">
      <c r="A7" s="164"/>
      <c r="B7" s="169" t="s">
        <v>35</v>
      </c>
      <c r="C7" s="177">
        <v>24158</v>
      </c>
      <c r="D7" s="173">
        <v>1029.7239999999999</v>
      </c>
      <c r="E7" s="245">
        <f t="shared" si="0"/>
        <v>0.13173991919491732</v>
      </c>
      <c r="F7" s="58" t="s">
        <v>53</v>
      </c>
      <c r="G7" s="59">
        <v>46134</v>
      </c>
      <c r="H7" s="190">
        <v>9360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</v>
      </c>
      <c r="C8" s="177">
        <v>2440</v>
      </c>
      <c r="D8" s="173">
        <v>104.03</v>
      </c>
      <c r="E8" s="80">
        <f t="shared" si="0"/>
        <v>1.3309298213741981E-2</v>
      </c>
      <c r="F8" s="58" t="s">
        <v>54</v>
      </c>
      <c r="G8" s="59">
        <v>46135</v>
      </c>
      <c r="H8" s="190">
        <v>9626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33122</v>
      </c>
      <c r="D9" s="173">
        <v>1414.1420000000001</v>
      </c>
      <c r="E9" s="245">
        <f t="shared" si="0"/>
        <v>0.1809212495874028</v>
      </c>
      <c r="F9" s="58" t="s">
        <v>55</v>
      </c>
      <c r="G9" s="59">
        <v>46136</v>
      </c>
      <c r="H9" s="190">
        <v>8114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36891</v>
      </c>
      <c r="D10" s="173">
        <v>1575.212</v>
      </c>
      <c r="E10" s="245">
        <f t="shared" si="0"/>
        <v>0.20152808091766733</v>
      </c>
      <c r="F10" s="58" t="s">
        <v>56</v>
      </c>
      <c r="G10" s="59">
        <v>46137</v>
      </c>
      <c r="H10" s="190">
        <v>7623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7055</v>
      </c>
      <c r="D11" s="173">
        <v>301.49200000000002</v>
      </c>
      <c r="E11" s="80">
        <f t="shared" si="0"/>
        <v>3.8572017082163776E-2</v>
      </c>
      <c r="F11" s="58" t="s">
        <v>57</v>
      </c>
      <c r="G11" s="59">
        <v>46138</v>
      </c>
      <c r="H11" s="190">
        <v>5111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1345</v>
      </c>
      <c r="D12" s="173">
        <v>33.99</v>
      </c>
      <c r="E12" s="80">
        <f t="shared" si="0"/>
        <v>4.3485825846879744E-3</v>
      </c>
      <c r="H12" s="139">
        <f>+SUM(H5:H11)</f>
        <v>55128.5</v>
      </c>
      <c r="I12" s="142">
        <f>+SUM(I5:I11)</f>
        <v>7816.34</v>
      </c>
      <c r="J12" s="140">
        <f t="shared" si="1"/>
        <v>0.14178401371341504</v>
      </c>
    </row>
    <row r="13" spans="1:11" ht="15" customHeight="1" x14ac:dyDescent="0.25">
      <c r="A13" s="164"/>
      <c r="B13" s="169" t="s">
        <v>196</v>
      </c>
      <c r="C13" s="177">
        <v>18898</v>
      </c>
      <c r="D13" s="173">
        <v>475.33199999999999</v>
      </c>
      <c r="E13" s="80">
        <f t="shared" si="0"/>
        <v>6.0812605388199589E-2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141</v>
      </c>
      <c r="C14" s="177"/>
      <c r="D14" s="173"/>
      <c r="E14" s="80">
        <f t="shared" si="0"/>
        <v>0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307</v>
      </c>
      <c r="D15" s="173">
        <v>464.08</v>
      </c>
      <c r="E15" s="80">
        <f t="shared" si="0"/>
        <v>5.9373056955045453E-2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229</v>
      </c>
      <c r="D16" s="173">
        <v>346.1</v>
      </c>
      <c r="E16" s="80">
        <f t="shared" si="0"/>
        <v>4.4279035968240892E-2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49</v>
      </c>
      <c r="C17" s="177">
        <v>67</v>
      </c>
      <c r="D17" s="173">
        <v>101.01</v>
      </c>
      <c r="E17" s="80">
        <f t="shared" si="0"/>
        <v>1.2922928122369294E-2</v>
      </c>
      <c r="F17" s="112" t="s">
        <v>111</v>
      </c>
      <c r="G17" s="190">
        <v>205343.72800000012</v>
      </c>
      <c r="H17" s="190">
        <v>198970.75799999986</v>
      </c>
      <c r="I17" s="190">
        <f>+D26</f>
        <v>146924.44899999999</v>
      </c>
      <c r="J17" s="456">
        <f t="shared" si="2"/>
        <v>0.96896437956945902</v>
      </c>
      <c r="K17" s="456">
        <f t="shared" si="2"/>
        <v>0.7384223213342741</v>
      </c>
    </row>
    <row r="18" spans="1:11" ht="15" customHeight="1" x14ac:dyDescent="0.25">
      <c r="A18" s="164"/>
      <c r="B18" s="169" t="s">
        <v>45</v>
      </c>
      <c r="C18" s="177">
        <v>45</v>
      </c>
      <c r="D18" s="173">
        <v>67.760000000000005</v>
      </c>
      <c r="E18" s="80">
        <f t="shared" si="0"/>
        <v>8.6690190037792634E-3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41</v>
      </c>
      <c r="C19" s="177">
        <v>194</v>
      </c>
      <c r="D19" s="173">
        <v>292.13</v>
      </c>
      <c r="E19" s="80">
        <f t="shared" si="0"/>
        <v>3.7374269798908441E-2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88</v>
      </c>
      <c r="C20" s="177"/>
      <c r="D20" s="173">
        <v>91.53</v>
      </c>
      <c r="E20" s="80">
        <f t="shared" si="0"/>
        <v>1.1710084259384827E-2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426.84</v>
      </c>
      <c r="E21" s="80">
        <f t="shared" si="0"/>
        <v>5.4608678742224616E-2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60.59</v>
      </c>
      <c r="E22" s="80">
        <f t="shared" si="0"/>
        <v>7.7517098795599993E-3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122.82</v>
      </c>
      <c r="E23" s="80">
        <f t="shared" si="0"/>
        <v>1.5713236629931654E-2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182.98</v>
      </c>
      <c r="E24" s="80">
        <f t="shared" si="0"/>
        <v>2.3409933549461765E-2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thickBot="1" x14ac:dyDescent="0.3">
      <c r="A25" s="164"/>
      <c r="B25" s="178" t="s">
        <v>0</v>
      </c>
      <c r="C25" s="170"/>
      <c r="D25" s="171">
        <f>SUM(D5:D24)</f>
        <v>7816.34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A26" s="164"/>
      <c r="B26" s="166" t="s">
        <v>1</v>
      </c>
      <c r="C26" s="167"/>
      <c r="D26" s="233">
        <v>146924.44899999999</v>
      </c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824975.08499999996</v>
      </c>
      <c r="J26" s="378"/>
      <c r="K26" s="378">
        <f>+I26/H26</f>
        <v>1.071816043237882</v>
      </c>
    </row>
    <row r="27" spans="1:11" ht="19.5" thickBot="1" x14ac:dyDescent="0.3">
      <c r="E27" s="313">
        <f>+D26/K2</f>
        <v>0.6601061707739373</v>
      </c>
      <c r="G27" s="379" t="s">
        <v>229</v>
      </c>
      <c r="H27" s="380"/>
      <c r="I27" s="380">
        <v>2726927.1277059279</v>
      </c>
      <c r="J27" s="381">
        <f>+I26/H26</f>
        <v>1.071816043237882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86">
        <v>20</v>
      </c>
      <c r="D29" s="108">
        <f>K3*C29</f>
        <v>148384.664472726</v>
      </c>
      <c r="E29" s="314">
        <f>+D29/K2</f>
        <v>0.66666666666666663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+D26-D29</f>
        <v>-1460.2154727260058</v>
      </c>
      <c r="E30" s="99">
        <f>E27-E29</f>
        <v>-6.5604958927293344E-3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5" customHeight="1" thickBot="1" x14ac:dyDescent="0.3">
      <c r="H31" s="420" t="s">
        <v>286</v>
      </c>
      <c r="I31" s="421">
        <f>+I17/H17</f>
        <v>0.7384223213342741</v>
      </c>
      <c r="J31" s="422">
        <f>+I17-H17</f>
        <v>-52046.308999999863</v>
      </c>
      <c r="K31" s="459">
        <f>J28+J31+J30+J29</f>
        <v>55276.693000000174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854</v>
      </c>
      <c r="D33" s="108">
        <v>2142</v>
      </c>
      <c r="E33" s="57">
        <f>+C33/D33</f>
        <v>0.39869281045751637</v>
      </c>
      <c r="G33" s="86" t="s">
        <v>86</v>
      </c>
      <c r="H33" s="87">
        <f>5283+1267+11083</f>
        <v>17633</v>
      </c>
      <c r="I33" s="88">
        <f>+H33*0.025</f>
        <v>440.82500000000005</v>
      </c>
      <c r="J33" s="224"/>
      <c r="K33" s="68"/>
    </row>
    <row r="34" spans="1:11" ht="15" customHeight="1" x14ac:dyDescent="0.25">
      <c r="B34" s="162" t="s">
        <v>62</v>
      </c>
      <c r="C34" s="162">
        <v>1070</v>
      </c>
      <c r="D34" s="108">
        <v>1890</v>
      </c>
      <c r="E34" s="57">
        <f>+C34/D34</f>
        <v>0.56613756613756616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976</v>
      </c>
      <c r="D35" s="108">
        <v>3006</v>
      </c>
      <c r="E35" s="57">
        <f>+C35/D35</f>
        <v>0.32468396540252825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2900</v>
      </c>
      <c r="D36" s="110">
        <f>+SUM(D33:D35)</f>
        <v>7038</v>
      </c>
      <c r="E36" s="57">
        <f>+C36/D36</f>
        <v>0.41204887752202329</v>
      </c>
      <c r="G36" s="89" t="s">
        <v>169</v>
      </c>
      <c r="H36" s="87">
        <v>241</v>
      </c>
      <c r="I36" s="88">
        <f>+H36*1.5</f>
        <v>361.5</v>
      </c>
      <c r="J36" s="298">
        <f>+I36+I33+I34+I35</f>
        <v>826.625</v>
      </c>
    </row>
    <row r="37" spans="1:11" x14ac:dyDescent="0.25">
      <c r="G37" s="89" t="s">
        <v>168</v>
      </c>
      <c r="H37" s="87">
        <v>9</v>
      </c>
      <c r="I37" s="88">
        <f>+H37*1.5</f>
        <v>13.5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28</v>
      </c>
      <c r="C40" s="74">
        <v>5</v>
      </c>
      <c r="D40" s="74">
        <v>9</v>
      </c>
      <c r="E40" s="75">
        <f>+SUM(B40:D40)</f>
        <v>42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3.6</v>
      </c>
      <c r="C43" s="199">
        <v>2010</v>
      </c>
      <c r="D43" s="200">
        <v>2400</v>
      </c>
      <c r="E43" s="201">
        <f t="shared" ref="E43:E48" si="3">+C43/D43</f>
        <v>0.83750000000000002</v>
      </c>
      <c r="F43" s="201">
        <f t="shared" ref="F43:F48" si="4">+B43/24</f>
        <v>0.15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6.53</v>
      </c>
      <c r="C44" s="199">
        <v>2174</v>
      </c>
      <c r="D44" s="200">
        <v>3600</v>
      </c>
      <c r="E44" s="201">
        <f t="shared" si="3"/>
        <v>0.60388888888888892</v>
      </c>
      <c r="F44" s="201">
        <f t="shared" si="4"/>
        <v>0.27208333333333334</v>
      </c>
      <c r="G44" s="202">
        <v>12</v>
      </c>
      <c r="H44" s="71"/>
    </row>
    <row r="45" spans="1:11" x14ac:dyDescent="0.25">
      <c r="A45" s="207" t="s">
        <v>72</v>
      </c>
      <c r="B45" s="199">
        <v>13.01</v>
      </c>
      <c r="C45" s="199">
        <v>2620</v>
      </c>
      <c r="D45" s="200">
        <v>3900</v>
      </c>
      <c r="E45" s="201">
        <f t="shared" si="3"/>
        <v>0.67179487179487174</v>
      </c>
      <c r="F45" s="201">
        <f t="shared" si="4"/>
        <v>0.54208333333333336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16.260000000000002</v>
      </c>
      <c r="C46" s="199">
        <v>2640</v>
      </c>
      <c r="D46" s="200">
        <v>3900</v>
      </c>
      <c r="E46" s="201">
        <f t="shared" si="3"/>
        <v>0.67692307692307696</v>
      </c>
      <c r="F46" s="201">
        <f t="shared" si="4"/>
        <v>0.6775000000000001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14.73</v>
      </c>
      <c r="C47" s="199">
        <v>2077</v>
      </c>
      <c r="D47" s="200">
        <v>3900</v>
      </c>
      <c r="E47" s="201">
        <f t="shared" si="3"/>
        <v>0.53256410256410258</v>
      </c>
      <c r="F47" s="201">
        <f t="shared" si="4"/>
        <v>0.61375000000000002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0</v>
      </c>
      <c r="C48" s="261">
        <v>0</v>
      </c>
      <c r="D48" s="262">
        <v>4300</v>
      </c>
      <c r="E48" s="263">
        <f t="shared" si="3"/>
        <v>0</v>
      </c>
      <c r="F48" s="201">
        <f t="shared" si="4"/>
        <v>0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49" si="5">+J48*1.5</f>
        <v>129</v>
      </c>
    </row>
    <row r="49" spans="2:11" x14ac:dyDescent="0.25">
      <c r="B49" s="113">
        <f>+SUM(B43:B48)</f>
        <v>54.13000000000001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5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4</v>
      </c>
      <c r="H54" s="301"/>
      <c r="I54" s="129"/>
      <c r="K54" s="318"/>
    </row>
    <row r="55" spans="2:11" x14ac:dyDescent="0.25">
      <c r="C55" s="71">
        <v>5</v>
      </c>
      <c r="D55" s="108">
        <v>10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8</v>
      </c>
    </row>
    <row r="59" spans="2:11" x14ac:dyDescent="0.25">
      <c r="H59" s="359" t="s">
        <v>292</v>
      </c>
      <c r="I59" s="345"/>
      <c r="J59" s="199">
        <f>+J47+J48+J49</f>
        <v>307</v>
      </c>
      <c r="K59" s="346">
        <f>+J59*1.5</f>
        <v>460.5</v>
      </c>
    </row>
    <row r="60" spans="2:11" x14ac:dyDescent="0.25">
      <c r="B60" s="364" t="s">
        <v>231</v>
      </c>
      <c r="C60" s="199">
        <v>1876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46102</v>
      </c>
      <c r="E65" s="129" t="s">
        <v>175</v>
      </c>
      <c r="F65" s="71"/>
      <c r="G65" s="297">
        <f t="shared" ref="G65:G75" si="6">+F65*1.5</f>
        <v>0</v>
      </c>
      <c r="H65" s="301">
        <v>46129</v>
      </c>
      <c r="I65" s="129" t="s">
        <v>175</v>
      </c>
      <c r="J65" s="162">
        <v>5040</v>
      </c>
      <c r="K65" s="318">
        <f>+J65*0.025</f>
        <v>126</v>
      </c>
    </row>
    <row r="66" spans="2:11" x14ac:dyDescent="0.25">
      <c r="C66" s="389"/>
      <c r="D66" s="301">
        <v>46102</v>
      </c>
      <c r="E66" s="129" t="s">
        <v>176</v>
      </c>
      <c r="F66" s="108">
        <v>173</v>
      </c>
      <c r="G66" s="297">
        <f t="shared" si="6"/>
        <v>259.5</v>
      </c>
      <c r="H66" s="301">
        <v>46132</v>
      </c>
      <c r="I66" s="129" t="s">
        <v>175</v>
      </c>
      <c r="J66" s="162">
        <v>5136</v>
      </c>
      <c r="K66" s="318">
        <f>+J66*0.025</f>
        <v>128.4</v>
      </c>
    </row>
    <row r="67" spans="2:11" x14ac:dyDescent="0.25">
      <c r="B67" s="71"/>
      <c r="C67" s="467" t="s">
        <v>80</v>
      </c>
      <c r="D67" s="301">
        <v>46103</v>
      </c>
      <c r="E67" s="129" t="s">
        <v>175</v>
      </c>
      <c r="F67" s="71">
        <v>218</v>
      </c>
      <c r="G67" s="297">
        <f t="shared" si="6"/>
        <v>327</v>
      </c>
      <c r="H67" s="301">
        <v>46132</v>
      </c>
      <c r="I67" s="129" t="s">
        <v>176</v>
      </c>
      <c r="J67" s="162">
        <v>5941</v>
      </c>
      <c r="K67" s="318">
        <f>+J67*0.025</f>
        <v>148.52500000000001</v>
      </c>
    </row>
    <row r="68" spans="2:11" x14ac:dyDescent="0.25">
      <c r="B68" s="71" t="s">
        <v>254</v>
      </c>
      <c r="C68" s="466">
        <v>1</v>
      </c>
      <c r="D68" s="301">
        <v>46103</v>
      </c>
      <c r="E68" s="129" t="s">
        <v>176</v>
      </c>
      <c r="F68" s="108">
        <v>230</v>
      </c>
      <c r="G68" s="297">
        <f t="shared" si="6"/>
        <v>345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46110</v>
      </c>
      <c r="E69" s="129" t="s">
        <v>175</v>
      </c>
      <c r="F69" s="71">
        <v>177</v>
      </c>
      <c r="G69" s="297">
        <f t="shared" si="6"/>
        <v>265.5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>
        <v>46110</v>
      </c>
      <c r="E70" s="129" t="s">
        <v>176</v>
      </c>
      <c r="F70" s="71">
        <v>201</v>
      </c>
      <c r="G70" s="297">
        <f t="shared" si="6"/>
        <v>301.5</v>
      </c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>
        <v>46123</v>
      </c>
      <c r="E71" s="129" t="s">
        <v>175</v>
      </c>
      <c r="F71" s="71">
        <v>65</v>
      </c>
      <c r="G71" s="297">
        <f t="shared" si="6"/>
        <v>97.5</v>
      </c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>
        <v>46123</v>
      </c>
      <c r="E72" s="129" t="s">
        <v>176</v>
      </c>
      <c r="F72" s="108">
        <v>188</v>
      </c>
      <c r="G72" s="297">
        <f t="shared" si="6"/>
        <v>282</v>
      </c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>
        <v>46124</v>
      </c>
      <c r="E73" s="129" t="s">
        <v>175</v>
      </c>
      <c r="F73" s="71">
        <v>2</v>
      </c>
      <c r="G73" s="297">
        <f t="shared" si="6"/>
        <v>3</v>
      </c>
      <c r="H73" s="301"/>
      <c r="I73" s="129"/>
      <c r="K73" s="318"/>
    </row>
    <row r="74" spans="2:11" x14ac:dyDescent="0.25">
      <c r="D74" s="301">
        <v>46124</v>
      </c>
      <c r="E74" s="129" t="s">
        <v>176</v>
      </c>
      <c r="F74" s="71">
        <v>200</v>
      </c>
      <c r="G74" s="297">
        <f t="shared" si="6"/>
        <v>300</v>
      </c>
      <c r="H74" s="301"/>
      <c r="I74" s="129"/>
      <c r="K74" s="318"/>
    </row>
    <row r="75" spans="2:11" x14ac:dyDescent="0.25">
      <c r="D75" s="301">
        <v>46125</v>
      </c>
      <c r="E75" s="129" t="s">
        <v>175</v>
      </c>
      <c r="F75" s="71">
        <v>167</v>
      </c>
      <c r="G75" s="297">
        <f t="shared" si="6"/>
        <v>250.5</v>
      </c>
      <c r="H75" s="301"/>
      <c r="I75" s="129"/>
      <c r="K75" s="318"/>
    </row>
    <row r="76" spans="2:11" x14ac:dyDescent="0.25">
      <c r="D76" s="344"/>
      <c r="E76" s="345"/>
      <c r="F76" s="435">
        <f>+F74+F73+F72+F71+F75</f>
        <v>622</v>
      </c>
      <c r="G76" s="436">
        <f>+F76*1.5</f>
        <v>933</v>
      </c>
      <c r="H76" s="431" t="s">
        <v>293</v>
      </c>
      <c r="I76" s="345"/>
      <c r="J76" s="200">
        <f>+J67+J66+J65</f>
        <v>16117</v>
      </c>
      <c r="K76" s="346">
        <f>+J76*0.025</f>
        <v>402.92500000000001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6"/>
  <sheetViews>
    <sheetView topLeftCell="A57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37.7109375" style="162" customWidth="1"/>
    <col min="3" max="3" width="13.28515625" style="162" customWidth="1"/>
    <col min="4" max="4" width="14.5703125" style="163" customWidth="1"/>
    <col min="5" max="5" width="14.85546875" style="162" customWidth="1"/>
    <col min="6" max="6" width="16.85546875" style="162" customWidth="1"/>
    <col min="7" max="7" width="16.140625" style="162" customWidth="1"/>
    <col min="8" max="8" width="16.85546875" style="162" customWidth="1"/>
    <col min="9" max="10" width="11.42578125" style="162"/>
    <col min="11" max="11" width="7.85546875" style="162" bestFit="1" customWidth="1"/>
    <col min="12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87"/>
      <c r="C4" s="487"/>
      <c r="D4" s="165">
        <f>D25</f>
        <v>8918.9320000000007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3986</v>
      </c>
      <c r="D5" s="172">
        <v>170.214</v>
      </c>
      <c r="E5" s="80">
        <f t="shared" ref="E5:E24" si="0">+D5/$D$4</f>
        <v>1.9084572009294386E-2</v>
      </c>
      <c r="F5" s="58" t="s">
        <v>51</v>
      </c>
      <c r="G5" s="59">
        <v>46132</v>
      </c>
      <c r="H5" s="190">
        <v>7071.2000000000007</v>
      </c>
      <c r="I5" s="141">
        <v>7816.34</v>
      </c>
      <c r="J5" s="60">
        <f t="shared" ref="J5:J12" si="1">+I5/H5</f>
        <v>1.1053767394501639</v>
      </c>
    </row>
    <row r="6" spans="1:11" ht="15" customHeight="1" x14ac:dyDescent="0.25">
      <c r="A6" s="164"/>
      <c r="B6" s="169" t="s">
        <v>10</v>
      </c>
      <c r="C6" s="177">
        <v>24519</v>
      </c>
      <c r="D6" s="173">
        <v>1046.2760000000001</v>
      </c>
      <c r="E6" s="80">
        <f t="shared" si="0"/>
        <v>0.11730956127931012</v>
      </c>
      <c r="F6" s="58" t="s">
        <v>52</v>
      </c>
      <c r="G6" s="59">
        <v>46133</v>
      </c>
      <c r="H6" s="190">
        <v>8223.2999999999993</v>
      </c>
      <c r="I6" s="141">
        <v>8918.9320000000007</v>
      </c>
      <c r="J6" s="60">
        <f t="shared" si="1"/>
        <v>1.0845928033757739</v>
      </c>
    </row>
    <row r="7" spans="1:11" ht="15" customHeight="1" x14ac:dyDescent="0.25">
      <c r="A7" s="164"/>
      <c r="B7" s="169" t="s">
        <v>35</v>
      </c>
      <c r="C7" s="177">
        <v>26674</v>
      </c>
      <c r="D7" s="173">
        <v>1135.8679999999999</v>
      </c>
      <c r="E7" s="245">
        <f t="shared" si="0"/>
        <v>0.12735471018278868</v>
      </c>
      <c r="F7" s="58" t="s">
        <v>53</v>
      </c>
      <c r="G7" s="59">
        <v>46134</v>
      </c>
      <c r="H7" s="190">
        <v>9360</v>
      </c>
      <c r="I7" s="141"/>
      <c r="J7" s="60">
        <f t="shared" si="1"/>
        <v>0</v>
      </c>
    </row>
    <row r="8" spans="1:11" ht="15" customHeight="1" x14ac:dyDescent="0.25">
      <c r="A8" s="164"/>
      <c r="B8" s="169" t="s">
        <v>4</v>
      </c>
      <c r="C8" s="177">
        <v>1520</v>
      </c>
      <c r="D8" s="173">
        <v>64.78</v>
      </c>
      <c r="E8" s="80">
        <f t="shared" si="0"/>
        <v>7.2632014685166339E-3</v>
      </c>
      <c r="F8" s="58" t="s">
        <v>54</v>
      </c>
      <c r="G8" s="59">
        <v>46135</v>
      </c>
      <c r="H8" s="190">
        <v>9626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27229</v>
      </c>
      <c r="D9" s="173">
        <v>1163.394</v>
      </c>
      <c r="E9" s="245">
        <f t="shared" si="0"/>
        <v>0.13044095414114604</v>
      </c>
      <c r="F9" s="58" t="s">
        <v>55</v>
      </c>
      <c r="G9" s="59">
        <v>46136</v>
      </c>
      <c r="H9" s="190">
        <v>8114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49600</v>
      </c>
      <c r="D10" s="173">
        <v>2117.58</v>
      </c>
      <c r="E10" s="245">
        <f t="shared" si="0"/>
        <v>0.2374252881398804</v>
      </c>
      <c r="F10" s="58" t="s">
        <v>56</v>
      </c>
      <c r="G10" s="59">
        <v>46137</v>
      </c>
      <c r="H10" s="190">
        <v>7623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11958</v>
      </c>
      <c r="D11" s="173">
        <v>510.89400000000001</v>
      </c>
      <c r="E11" s="80">
        <f t="shared" si="0"/>
        <v>5.7281970531897763E-2</v>
      </c>
      <c r="F11" s="58" t="s">
        <v>57</v>
      </c>
      <c r="G11" s="59">
        <v>46138</v>
      </c>
      <c r="H11" s="190">
        <v>5111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1350</v>
      </c>
      <c r="D12" s="173">
        <v>33.966000000000001</v>
      </c>
      <c r="E12" s="80">
        <f t="shared" si="0"/>
        <v>3.8083035053972829E-3</v>
      </c>
      <c r="H12" s="139">
        <f>+SUM(H5:H11)</f>
        <v>55128.5</v>
      </c>
      <c r="I12" s="142">
        <f>+SUM(I5:I11)</f>
        <v>16735.272000000001</v>
      </c>
      <c r="J12" s="140">
        <f t="shared" si="1"/>
        <v>0.30356842649446297</v>
      </c>
    </row>
    <row r="13" spans="1:11" ht="15" customHeight="1" x14ac:dyDescent="0.25">
      <c r="A13" s="164"/>
      <c r="B13" s="169" t="s">
        <v>196</v>
      </c>
      <c r="C13" s="177"/>
      <c r="D13" s="173"/>
      <c r="E13" s="80">
        <f t="shared" si="0"/>
        <v>0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141</v>
      </c>
      <c r="C14" s="177">
        <v>60</v>
      </c>
      <c r="D14" s="173">
        <v>90.52</v>
      </c>
      <c r="E14" s="80">
        <f t="shared" si="0"/>
        <v>1.0149197235722841E-2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528</v>
      </c>
      <c r="D15" s="173">
        <v>797.34</v>
      </c>
      <c r="E15" s="80">
        <f t="shared" si="0"/>
        <v>8.9398596154786236E-2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201</v>
      </c>
      <c r="D16" s="173">
        <v>303.39</v>
      </c>
      <c r="E16" s="80">
        <f t="shared" si="0"/>
        <v>3.4016404654727717E-2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49</v>
      </c>
      <c r="C17" s="177">
        <v>21</v>
      </c>
      <c r="D17" s="173">
        <v>31.52</v>
      </c>
      <c r="E17" s="80">
        <f t="shared" si="0"/>
        <v>3.5340554227793189E-3</v>
      </c>
      <c r="F17" s="112" t="s">
        <v>111</v>
      </c>
      <c r="G17" s="190">
        <v>205343.72800000012</v>
      </c>
      <c r="H17" s="190">
        <v>198970.75799999986</v>
      </c>
      <c r="I17" s="190">
        <f>+D26</f>
        <v>155843.38099999999</v>
      </c>
      <c r="J17" s="456">
        <f t="shared" si="2"/>
        <v>0.96896437956945902</v>
      </c>
      <c r="K17" s="456">
        <f t="shared" si="2"/>
        <v>0.78324766195040629</v>
      </c>
    </row>
    <row r="18" spans="1:11" ht="15" customHeight="1" x14ac:dyDescent="0.25">
      <c r="A18" s="164"/>
      <c r="B18" s="169" t="s">
        <v>45</v>
      </c>
      <c r="C18" s="177"/>
      <c r="D18" s="173"/>
      <c r="E18" s="80">
        <f t="shared" si="0"/>
        <v>0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41</v>
      </c>
      <c r="C19" s="177">
        <v>231</v>
      </c>
      <c r="D19" s="173">
        <v>347.15</v>
      </c>
      <c r="E19" s="80">
        <f t="shared" si="0"/>
        <v>3.8922821701073619E-2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88</v>
      </c>
      <c r="C20" s="177">
        <v>161</v>
      </c>
      <c r="D20" s="173">
        <v>242.38</v>
      </c>
      <c r="E20" s="80">
        <f t="shared" si="0"/>
        <v>2.7175899535953407E-2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491.51</v>
      </c>
      <c r="E21" s="80">
        <f t="shared" si="0"/>
        <v>5.510861614372662E-2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32.32</v>
      </c>
      <c r="E22" s="80">
        <f t="shared" si="0"/>
        <v>3.623752260920926E-3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60.66</v>
      </c>
      <c r="E23" s="80">
        <f t="shared" si="0"/>
        <v>6.8012627520873566E-3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279.17</v>
      </c>
      <c r="E24" s="80">
        <f t="shared" si="0"/>
        <v>3.130083287999056E-2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thickBot="1" x14ac:dyDescent="0.3">
      <c r="A25" s="164"/>
      <c r="B25" s="178" t="s">
        <v>0</v>
      </c>
      <c r="C25" s="170"/>
      <c r="D25" s="171">
        <f>SUM(D5:D24)</f>
        <v>8918.9320000000007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A26" s="164"/>
      <c r="B26" s="166" t="s">
        <v>1</v>
      </c>
      <c r="C26" s="167"/>
      <c r="D26" s="233">
        <v>155843.38099999999</v>
      </c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833894.01699999999</v>
      </c>
      <c r="J26" s="378"/>
      <c r="K26" s="378">
        <f>+I26/H26</f>
        <v>1.0834036106444149</v>
      </c>
    </row>
    <row r="27" spans="1:11" ht="19.5" thickBot="1" x14ac:dyDescent="0.3">
      <c r="E27" s="313">
        <f>+D26/K2</f>
        <v>0.70017739166320636</v>
      </c>
      <c r="G27" s="379" t="s">
        <v>229</v>
      </c>
      <c r="H27" s="380"/>
      <c r="I27" s="380">
        <v>2726927.1277059279</v>
      </c>
      <c r="J27" s="381">
        <f>+I26/H26</f>
        <v>1.0834036106444149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88">
        <v>21</v>
      </c>
      <c r="D29" s="108">
        <f>K3*C29</f>
        <v>155803.89769636228</v>
      </c>
      <c r="E29" s="314">
        <f>+D29/K2</f>
        <v>0.7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+D26-D29</f>
        <v>39.483303637709469</v>
      </c>
      <c r="E30" s="99">
        <f>E27-E29</f>
        <v>1.7739166320640543E-4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0.78324766195040629</v>
      </c>
      <c r="J31" s="422">
        <f>+I17-H17</f>
        <v>-43127.376999999862</v>
      </c>
      <c r="K31" s="459">
        <f>J28+J31+J30+J29</f>
        <v>64195.625000000175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1378</v>
      </c>
      <c r="D33" s="108">
        <v>2142</v>
      </c>
      <c r="E33" s="57">
        <f>+C33/D33</f>
        <v>0.64332399626517278</v>
      </c>
      <c r="G33" s="86" t="s">
        <v>86</v>
      </c>
      <c r="H33" s="87">
        <f>3841+11083</f>
        <v>14924</v>
      </c>
      <c r="I33" s="88">
        <f>+H33*0.025</f>
        <v>373.1</v>
      </c>
      <c r="J33" s="224"/>
      <c r="K33" s="68"/>
    </row>
    <row r="34" spans="1:11" x14ac:dyDescent="0.25">
      <c r="B34" s="162" t="s">
        <v>62</v>
      </c>
      <c r="C34" s="162">
        <v>728</v>
      </c>
      <c r="D34" s="108">
        <v>1890</v>
      </c>
      <c r="E34" s="57">
        <f>+C34/D34</f>
        <v>0.38518518518518519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620</v>
      </c>
      <c r="D35" s="108">
        <v>3006</v>
      </c>
      <c r="E35" s="57">
        <f>+C35/D35</f>
        <v>0.20625415834996674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ht="15" customHeight="1" x14ac:dyDescent="0.25">
      <c r="C36" s="162">
        <f>+SUM(C33:C35)</f>
        <v>2726</v>
      </c>
      <c r="D36" s="110">
        <f>+SUM(D33:D35)</f>
        <v>7038</v>
      </c>
      <c r="E36" s="57">
        <f>+C36/D36</f>
        <v>0.38732594487070188</v>
      </c>
      <c r="G36" s="89" t="s">
        <v>169</v>
      </c>
      <c r="H36" s="87">
        <v>138</v>
      </c>
      <c r="I36" s="88">
        <f>+H36*1.5</f>
        <v>207</v>
      </c>
      <c r="J36" s="298">
        <f>+I36+I33+I34+I35</f>
        <v>604.4</v>
      </c>
    </row>
    <row r="37" spans="1:11" x14ac:dyDescent="0.25">
      <c r="G37" s="89" t="s">
        <v>168</v>
      </c>
      <c r="H37" s="87">
        <v>9</v>
      </c>
      <c r="I37" s="88">
        <f>+H37*1.5</f>
        <v>13.5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37</v>
      </c>
      <c r="C40" s="74">
        <v>5</v>
      </c>
      <c r="D40" s="74">
        <v>26</v>
      </c>
      <c r="E40" s="75">
        <f>+SUM(B40:D40)</f>
        <v>68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1.7</v>
      </c>
      <c r="C43" s="199">
        <v>1744</v>
      </c>
      <c r="D43" s="200">
        <v>2400</v>
      </c>
      <c r="E43" s="201">
        <f t="shared" ref="E43:E48" si="3">+C43/D43</f>
        <v>0.72666666666666668</v>
      </c>
      <c r="F43" s="201">
        <f t="shared" ref="F43:F48" si="4">+B43/24</f>
        <v>7.0833333333333331E-2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10.95</v>
      </c>
      <c r="C44" s="199">
        <v>2110</v>
      </c>
      <c r="D44" s="200">
        <v>3600</v>
      </c>
      <c r="E44" s="201">
        <f t="shared" si="3"/>
        <v>0.58611111111111114</v>
      </c>
      <c r="F44" s="201">
        <f t="shared" si="4"/>
        <v>0.45624999999999999</v>
      </c>
      <c r="G44" s="202">
        <v>12</v>
      </c>
      <c r="H44" s="71"/>
    </row>
    <row r="45" spans="1:11" x14ac:dyDescent="0.25">
      <c r="A45" s="207" t="s">
        <v>72</v>
      </c>
      <c r="B45" s="199">
        <v>12.88</v>
      </c>
      <c r="C45" s="199">
        <v>3100</v>
      </c>
      <c r="D45" s="200">
        <v>3900</v>
      </c>
      <c r="E45" s="201">
        <f t="shared" si="3"/>
        <v>0.79487179487179482</v>
      </c>
      <c r="F45" s="201">
        <f t="shared" si="4"/>
        <v>0.53666666666666674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11.75</v>
      </c>
      <c r="C46" s="199">
        <v>3029</v>
      </c>
      <c r="D46" s="200">
        <v>3900</v>
      </c>
      <c r="E46" s="201">
        <f t="shared" si="3"/>
        <v>0.77666666666666662</v>
      </c>
      <c r="F46" s="201">
        <f t="shared" si="4"/>
        <v>0.48958333333333331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15.67</v>
      </c>
      <c r="C47" s="199">
        <v>2505</v>
      </c>
      <c r="D47" s="200">
        <v>3900</v>
      </c>
      <c r="E47" s="201">
        <f t="shared" si="3"/>
        <v>0.64230769230769236</v>
      </c>
      <c r="F47" s="201">
        <f t="shared" si="4"/>
        <v>0.6529166666666667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2.15</v>
      </c>
      <c r="C48" s="261">
        <v>2491</v>
      </c>
      <c r="D48" s="262">
        <v>4300</v>
      </c>
      <c r="E48" s="263">
        <f t="shared" si="3"/>
        <v>0.57930232558139538</v>
      </c>
      <c r="F48" s="201">
        <f t="shared" si="4"/>
        <v>8.9583333333333334E-2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49" si="5">+J48*1.5</f>
        <v>129</v>
      </c>
    </row>
    <row r="49" spans="2:11" x14ac:dyDescent="0.25">
      <c r="B49" s="113">
        <f>+SUM(B43:B48)</f>
        <v>55.1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5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/>
      <c r="I50" s="129"/>
      <c r="K50" s="318"/>
    </row>
    <row r="51" spans="2:11" x14ac:dyDescent="0.25">
      <c r="C51" s="71">
        <v>1</v>
      </c>
      <c r="D51" s="225">
        <v>0</v>
      </c>
      <c r="E51" s="225" t="s">
        <v>250</v>
      </c>
      <c r="H51" s="301"/>
      <c r="I51" s="129"/>
      <c r="K51" s="318"/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1</v>
      </c>
      <c r="H54" s="301"/>
      <c r="I54" s="129"/>
      <c r="K54" s="318"/>
    </row>
    <row r="55" spans="2:11" x14ac:dyDescent="0.25">
      <c r="C55" s="71">
        <v>5</v>
      </c>
      <c r="D55" s="108">
        <v>12</v>
      </c>
      <c r="H55" s="301"/>
      <c r="I55" s="129"/>
      <c r="K55" s="318"/>
    </row>
    <row r="56" spans="2:11" x14ac:dyDescent="0.25">
      <c r="C56" s="71">
        <v>6</v>
      </c>
      <c r="D56" s="108">
        <v>1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10</v>
      </c>
    </row>
    <row r="59" spans="2:11" x14ac:dyDescent="0.25">
      <c r="H59" s="359" t="s">
        <v>292</v>
      </c>
      <c r="I59" s="345"/>
      <c r="J59" s="199">
        <f>+J47+J48+J49</f>
        <v>307</v>
      </c>
      <c r="K59" s="346">
        <f>+J59*1.5</f>
        <v>460.5</v>
      </c>
    </row>
    <row r="60" spans="2:11" x14ac:dyDescent="0.25">
      <c r="B60" s="364" t="s">
        <v>231</v>
      </c>
      <c r="C60" s="199">
        <v>1945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46102</v>
      </c>
      <c r="E65" s="129" t="s">
        <v>175</v>
      </c>
      <c r="F65" s="71"/>
      <c r="G65" s="297">
        <f t="shared" ref="G65:G75" si="6">+F65*1.5</f>
        <v>0</v>
      </c>
      <c r="H65" s="301">
        <v>46129</v>
      </c>
      <c r="I65" s="129" t="s">
        <v>175</v>
      </c>
      <c r="J65" s="162">
        <v>5040</v>
      </c>
      <c r="K65" s="318">
        <f>+J65*0.025</f>
        <v>126</v>
      </c>
    </row>
    <row r="66" spans="2:11" x14ac:dyDescent="0.25">
      <c r="C66" s="389"/>
      <c r="D66" s="301">
        <v>46102</v>
      </c>
      <c r="E66" s="129" t="s">
        <v>176</v>
      </c>
      <c r="F66" s="108">
        <v>173</v>
      </c>
      <c r="G66" s="297">
        <f t="shared" si="6"/>
        <v>259.5</v>
      </c>
      <c r="H66" s="301">
        <v>46132</v>
      </c>
      <c r="I66" s="129" t="s">
        <v>175</v>
      </c>
      <c r="J66" s="162">
        <v>5136</v>
      </c>
      <c r="K66" s="318">
        <f>+J66*0.025</f>
        <v>128.4</v>
      </c>
    </row>
    <row r="67" spans="2:11" x14ac:dyDescent="0.25">
      <c r="B67" s="71"/>
      <c r="C67" s="467" t="s">
        <v>80</v>
      </c>
      <c r="D67" s="301">
        <v>46103</v>
      </c>
      <c r="E67" s="129" t="s">
        <v>175</v>
      </c>
      <c r="F67" s="71">
        <v>218</v>
      </c>
      <c r="G67" s="297">
        <f t="shared" si="6"/>
        <v>327</v>
      </c>
      <c r="H67" s="301">
        <v>46132</v>
      </c>
      <c r="I67" s="129" t="s">
        <v>176</v>
      </c>
      <c r="J67" s="162">
        <v>5941</v>
      </c>
      <c r="K67" s="318">
        <f>+J67*0.025</f>
        <v>148.52500000000001</v>
      </c>
    </row>
    <row r="68" spans="2:11" x14ac:dyDescent="0.25">
      <c r="B68" s="71" t="s">
        <v>254</v>
      </c>
      <c r="C68" s="466">
        <v>1</v>
      </c>
      <c r="D68" s="301">
        <v>46103</v>
      </c>
      <c r="E68" s="129" t="s">
        <v>176</v>
      </c>
      <c r="F68" s="108">
        <v>230</v>
      </c>
      <c r="G68" s="297">
        <f t="shared" si="6"/>
        <v>345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46110</v>
      </c>
      <c r="E69" s="129" t="s">
        <v>175</v>
      </c>
      <c r="F69" s="71">
        <v>177</v>
      </c>
      <c r="G69" s="297">
        <f t="shared" si="6"/>
        <v>265.5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>
        <v>46110</v>
      </c>
      <c r="E70" s="129" t="s">
        <v>176</v>
      </c>
      <c r="F70" s="71">
        <v>201</v>
      </c>
      <c r="G70" s="297">
        <f t="shared" si="6"/>
        <v>301.5</v>
      </c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>
        <v>46123</v>
      </c>
      <c r="E71" s="129" t="s">
        <v>175</v>
      </c>
      <c r="F71" s="71">
        <v>65</v>
      </c>
      <c r="G71" s="297">
        <f t="shared" si="6"/>
        <v>97.5</v>
      </c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>
        <v>46123</v>
      </c>
      <c r="E72" s="129" t="s">
        <v>176</v>
      </c>
      <c r="F72" s="108">
        <v>188</v>
      </c>
      <c r="G72" s="297">
        <f t="shared" si="6"/>
        <v>282</v>
      </c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>
        <v>46124</v>
      </c>
      <c r="E73" s="129" t="s">
        <v>175</v>
      </c>
      <c r="F73" s="71">
        <v>2</v>
      </c>
      <c r="G73" s="297">
        <f t="shared" si="6"/>
        <v>3</v>
      </c>
      <c r="H73" s="301"/>
      <c r="I73" s="129"/>
      <c r="K73" s="318"/>
    </row>
    <row r="74" spans="2:11" x14ac:dyDescent="0.25">
      <c r="D74" s="301">
        <v>46124</v>
      </c>
      <c r="E74" s="129" t="s">
        <v>176</v>
      </c>
      <c r="F74" s="71">
        <v>200</v>
      </c>
      <c r="G74" s="297">
        <f t="shared" si="6"/>
        <v>300</v>
      </c>
      <c r="H74" s="301"/>
      <c r="I74" s="129"/>
      <c r="K74" s="318"/>
    </row>
    <row r="75" spans="2:11" x14ac:dyDescent="0.25">
      <c r="D75" s="301">
        <v>46125</v>
      </c>
      <c r="E75" s="129" t="s">
        <v>175</v>
      </c>
      <c r="F75" s="71">
        <v>167</v>
      </c>
      <c r="G75" s="297">
        <f t="shared" si="6"/>
        <v>250.5</v>
      </c>
      <c r="H75" s="301"/>
      <c r="I75" s="129"/>
      <c r="K75" s="318"/>
    </row>
    <row r="76" spans="2:11" x14ac:dyDescent="0.25">
      <c r="D76" s="344"/>
      <c r="E76" s="345"/>
      <c r="F76" s="435">
        <f>+F74+F73+F72+F71+F75</f>
        <v>622</v>
      </c>
      <c r="G76" s="436">
        <f>+F76*1.5</f>
        <v>933</v>
      </c>
      <c r="H76" s="431" t="s">
        <v>293</v>
      </c>
      <c r="I76" s="345"/>
      <c r="J76" s="200">
        <f>+J67+J66+J65</f>
        <v>16117</v>
      </c>
      <c r="K76" s="346">
        <f>+J76*0.025</f>
        <v>402.92500000000001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6"/>
  <sheetViews>
    <sheetView topLeftCell="A17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41.28515625" style="162" customWidth="1"/>
    <col min="3" max="3" width="13.28515625" style="162" customWidth="1"/>
    <col min="4" max="4" width="14.5703125" style="163" customWidth="1"/>
    <col min="5" max="5" width="14.85546875" style="162" customWidth="1"/>
    <col min="6" max="6" width="12" style="162" bestFit="1" customWidth="1"/>
    <col min="7" max="7" width="15.7109375" style="162" bestFit="1" customWidth="1"/>
    <col min="8" max="8" width="16.85546875" style="162" customWidth="1"/>
    <col min="9" max="10" width="11.42578125" style="162"/>
    <col min="11" max="11" width="7.85546875" style="162" bestFit="1" customWidth="1"/>
    <col min="12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89"/>
      <c r="C4" s="489"/>
      <c r="D4" s="165">
        <f>D23</f>
        <v>9460.4290000000001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3879</v>
      </c>
      <c r="D5" s="172">
        <v>165.47</v>
      </c>
      <c r="E5" s="80">
        <f t="shared" ref="E5:E23" si="0">+D5/$D$4</f>
        <v>1.7490750155199093E-2</v>
      </c>
      <c r="F5" s="58" t="s">
        <v>51</v>
      </c>
      <c r="G5" s="59">
        <v>46132</v>
      </c>
      <c r="H5" s="190">
        <v>7071.2000000000007</v>
      </c>
      <c r="I5" s="141">
        <v>7816.34</v>
      </c>
      <c r="J5" s="60">
        <f t="shared" ref="J5:J12" si="1">+I5/H5</f>
        <v>1.1053767394501639</v>
      </c>
    </row>
    <row r="6" spans="1:11" ht="15" customHeight="1" x14ac:dyDescent="0.25">
      <c r="A6" s="164"/>
      <c r="B6" s="169" t="s">
        <v>10</v>
      </c>
      <c r="C6" s="177">
        <v>9606</v>
      </c>
      <c r="D6" s="173">
        <v>409.69</v>
      </c>
      <c r="E6" s="80">
        <f t="shared" si="0"/>
        <v>4.3305647132915431E-2</v>
      </c>
      <c r="F6" s="58" t="s">
        <v>52</v>
      </c>
      <c r="G6" s="59">
        <v>46133</v>
      </c>
      <c r="H6" s="190">
        <v>8223.2999999999993</v>
      </c>
      <c r="I6" s="141">
        <v>8918.9320000000007</v>
      </c>
      <c r="J6" s="60">
        <f t="shared" si="1"/>
        <v>1.0845928033757739</v>
      </c>
    </row>
    <row r="7" spans="1:11" ht="15" customHeight="1" x14ac:dyDescent="0.25">
      <c r="A7" s="164"/>
      <c r="B7" s="169" t="s">
        <v>35</v>
      </c>
      <c r="C7" s="177">
        <v>32814</v>
      </c>
      <c r="D7" s="173">
        <v>1398.1020000000001</v>
      </c>
      <c r="E7" s="245">
        <f t="shared" si="0"/>
        <v>0.14778420724895247</v>
      </c>
      <c r="F7" s="58" t="s">
        <v>53</v>
      </c>
      <c r="G7" s="59">
        <v>46134</v>
      </c>
      <c r="H7" s="190">
        <v>9360</v>
      </c>
      <c r="I7" s="141">
        <v>9460.4290000000001</v>
      </c>
      <c r="J7" s="60">
        <f t="shared" si="1"/>
        <v>1.0107295940170939</v>
      </c>
    </row>
    <row r="8" spans="1:11" ht="15" customHeight="1" x14ac:dyDescent="0.25">
      <c r="A8" s="164"/>
      <c r="B8" s="169" t="s">
        <v>4</v>
      </c>
      <c r="C8" s="177">
        <v>1520</v>
      </c>
      <c r="D8" s="173">
        <v>64.930000000000007</v>
      </c>
      <c r="E8" s="80">
        <f t="shared" si="0"/>
        <v>6.8633251198227906E-3</v>
      </c>
      <c r="F8" s="58" t="s">
        <v>54</v>
      </c>
      <c r="G8" s="59">
        <v>46135</v>
      </c>
      <c r="H8" s="190">
        <v>9626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51893</v>
      </c>
      <c r="D9" s="173">
        <v>2215.27</v>
      </c>
      <c r="E9" s="245">
        <f t="shared" si="0"/>
        <v>0.23416168547959082</v>
      </c>
      <c r="F9" s="58" t="s">
        <v>55</v>
      </c>
      <c r="G9" s="59">
        <v>46136</v>
      </c>
      <c r="H9" s="190">
        <v>8114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49195</v>
      </c>
      <c r="D10" s="173">
        <v>2100.0070000000001</v>
      </c>
      <c r="E10" s="245">
        <f t="shared" si="0"/>
        <v>0.22197798852462189</v>
      </c>
      <c r="F10" s="58" t="s">
        <v>56</v>
      </c>
      <c r="G10" s="59">
        <v>46137</v>
      </c>
      <c r="H10" s="190">
        <v>7623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14098</v>
      </c>
      <c r="D11" s="173">
        <v>602.34</v>
      </c>
      <c r="E11" s="80">
        <f t="shared" si="0"/>
        <v>6.3669417105714762E-2</v>
      </c>
      <c r="F11" s="58" t="s">
        <v>57</v>
      </c>
      <c r="G11" s="59">
        <v>46138</v>
      </c>
      <c r="H11" s="190">
        <v>5111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141</v>
      </c>
      <c r="C12" s="177">
        <v>65</v>
      </c>
      <c r="D12" s="173">
        <v>98.36</v>
      </c>
      <c r="E12" s="80">
        <f t="shared" si="0"/>
        <v>1.0396991510638682E-2</v>
      </c>
      <c r="H12" s="139">
        <f>+SUM(H5:H11)</f>
        <v>55128.5</v>
      </c>
      <c r="I12" s="142">
        <f>+SUM(I5:I11)</f>
        <v>26195.701000000001</v>
      </c>
      <c r="J12" s="140">
        <f t="shared" si="1"/>
        <v>0.47517529045774876</v>
      </c>
    </row>
    <row r="13" spans="1:11" ht="15" customHeight="1" x14ac:dyDescent="0.25">
      <c r="A13" s="164"/>
      <c r="B13" s="169" t="s">
        <v>39</v>
      </c>
      <c r="C13" s="177">
        <v>464</v>
      </c>
      <c r="D13" s="173">
        <v>701.82</v>
      </c>
      <c r="E13" s="80">
        <f t="shared" si="0"/>
        <v>7.418479648227369E-2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43</v>
      </c>
      <c r="C14" s="177">
        <v>227</v>
      </c>
      <c r="D14" s="173">
        <v>343.32</v>
      </c>
      <c r="E14" s="80">
        <f t="shared" si="0"/>
        <v>3.6290109042623753E-2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49</v>
      </c>
      <c r="C15" s="177"/>
      <c r="D15" s="173"/>
      <c r="E15" s="80">
        <f t="shared" si="0"/>
        <v>0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45</v>
      </c>
      <c r="C16" s="177">
        <v>88</v>
      </c>
      <c r="D16" s="173">
        <v>132.54</v>
      </c>
      <c r="E16" s="80">
        <f t="shared" si="0"/>
        <v>1.4009935490240452E-2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41</v>
      </c>
      <c r="C17" s="177">
        <v>210</v>
      </c>
      <c r="D17" s="173">
        <v>315.94</v>
      </c>
      <c r="E17" s="80">
        <f t="shared" si="0"/>
        <v>3.3395948534680614E-2</v>
      </c>
      <c r="F17" s="112" t="s">
        <v>111</v>
      </c>
      <c r="G17" s="190">
        <v>205343.72800000012</v>
      </c>
      <c r="H17" s="190">
        <v>198970.75799999986</v>
      </c>
      <c r="I17" s="190">
        <f>+D24</f>
        <v>165270.68</v>
      </c>
      <c r="J17" s="456">
        <f t="shared" si="2"/>
        <v>0.96896437956945902</v>
      </c>
      <c r="K17" s="456">
        <f t="shared" si="2"/>
        <v>0.83062798604808108</v>
      </c>
    </row>
    <row r="18" spans="1:11" ht="15" customHeight="1" x14ac:dyDescent="0.25">
      <c r="A18" s="164"/>
      <c r="B18" s="169" t="s">
        <v>88</v>
      </c>
      <c r="C18" s="177"/>
      <c r="D18" s="173">
        <v>150.5</v>
      </c>
      <c r="E18" s="80">
        <f t="shared" si="0"/>
        <v>1.5908369483032956E-2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40</v>
      </c>
      <c r="C19" s="177"/>
      <c r="D19" s="173">
        <v>333.88</v>
      </c>
      <c r="E19" s="80">
        <f t="shared" si="0"/>
        <v>3.529226845843883E-2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265</v>
      </c>
      <c r="C20" s="177"/>
      <c r="D20" s="173">
        <v>32.4</v>
      </c>
      <c r="E20" s="80">
        <f t="shared" si="0"/>
        <v>3.4247918355499521E-3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9</v>
      </c>
      <c r="C21" s="177"/>
      <c r="D21" s="173">
        <v>213.86</v>
      </c>
      <c r="E21" s="80">
        <f t="shared" si="0"/>
        <v>2.2605740183663976E-2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thickBot="1" x14ac:dyDescent="0.3">
      <c r="A22" s="164"/>
      <c r="B22" s="169" t="s">
        <v>46</v>
      </c>
      <c r="C22" s="177"/>
      <c r="D22" s="173">
        <v>182</v>
      </c>
      <c r="E22" s="80">
        <f t="shared" si="0"/>
        <v>1.9238028212039855E-2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thickBot="1" x14ac:dyDescent="0.3">
      <c r="A23" s="164"/>
      <c r="B23" s="178" t="s">
        <v>0</v>
      </c>
      <c r="C23" s="170"/>
      <c r="D23" s="171">
        <f>SUM(D5:D22)</f>
        <v>9460.4290000000001</v>
      </c>
      <c r="E23" s="80">
        <f t="shared" si="0"/>
        <v>1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x14ac:dyDescent="0.25">
      <c r="A24" s="164"/>
      <c r="B24" s="166" t="s">
        <v>1</v>
      </c>
      <c r="C24" s="167"/>
      <c r="D24" s="233">
        <v>165270.68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843321.31599999988</v>
      </c>
      <c r="J26" s="378"/>
      <c r="K26" s="378">
        <f>+I26/H26</f>
        <v>1.0956516536414957</v>
      </c>
    </row>
    <row r="27" spans="1:11" ht="19.5" thickBot="1" x14ac:dyDescent="0.3">
      <c r="E27" s="313">
        <f>+D24/K2</f>
        <v>0.74253261767212586</v>
      </c>
      <c r="G27" s="379" t="s">
        <v>229</v>
      </c>
      <c r="H27" s="380"/>
      <c r="I27" s="380">
        <v>2726927.1277059279</v>
      </c>
      <c r="J27" s="381">
        <f>+I26/H26</f>
        <v>1.0956516536414957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90">
        <v>22</v>
      </c>
      <c r="D29" s="108">
        <f>K3*C29</f>
        <v>163223.1309199986</v>
      </c>
      <c r="E29" s="314">
        <f>+D29/K2</f>
        <v>0.73333333333333328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+D24-D29</f>
        <v>2047.549080001394</v>
      </c>
      <c r="E30" s="99">
        <f>E27-E29</f>
        <v>9.1992843387925793E-3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5" customHeight="1" thickBot="1" x14ac:dyDescent="0.3">
      <c r="H31" s="420" t="s">
        <v>286</v>
      </c>
      <c r="I31" s="421">
        <f>+I17/H17</f>
        <v>0.83062798604808108</v>
      </c>
      <c r="J31" s="422">
        <f>+I17-H17</f>
        <v>-33700.077999999863</v>
      </c>
      <c r="K31" s="459">
        <f>J28+J31+J30+J29</f>
        <v>73622.924000000174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1548</v>
      </c>
      <c r="D33" s="108">
        <v>2142</v>
      </c>
      <c r="E33" s="57">
        <f>+C33/D33</f>
        <v>0.72268907563025209</v>
      </c>
      <c r="G33" s="86" t="s">
        <v>86</v>
      </c>
      <c r="H33" s="87">
        <f>3841+11083</f>
        <v>14924</v>
      </c>
      <c r="I33" s="88">
        <f>+H33*0.025</f>
        <v>373.1</v>
      </c>
      <c r="J33" s="224"/>
      <c r="K33" s="68"/>
    </row>
    <row r="34" spans="1:11" ht="15" customHeight="1" x14ac:dyDescent="0.25">
      <c r="B34" s="162" t="s">
        <v>62</v>
      </c>
      <c r="C34" s="162">
        <v>890</v>
      </c>
      <c r="D34" s="108">
        <v>1890</v>
      </c>
      <c r="E34" s="57">
        <f>+C34/D34</f>
        <v>0.47089947089947087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610</v>
      </c>
      <c r="D35" s="108">
        <v>3006</v>
      </c>
      <c r="E35" s="57">
        <f>+C35/D35</f>
        <v>0.20292747837658018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3048</v>
      </c>
      <c r="D36" s="110">
        <f>+SUM(D33:D35)</f>
        <v>7038</v>
      </c>
      <c r="E36" s="57">
        <f>+C36/D36</f>
        <v>0.43307757885762999</v>
      </c>
      <c r="G36" s="89" t="s">
        <v>169</v>
      </c>
      <c r="H36" s="87">
        <v>229</v>
      </c>
      <c r="I36" s="88">
        <f>+H36*1.5</f>
        <v>343.5</v>
      </c>
      <c r="J36" s="298">
        <f>+I36+I33+I34+I35</f>
        <v>740.9</v>
      </c>
    </row>
    <row r="37" spans="1:11" x14ac:dyDescent="0.25">
      <c r="G37" s="89" t="s">
        <v>168</v>
      </c>
      <c r="H37" s="87">
        <v>9</v>
      </c>
      <c r="I37" s="88">
        <f>+H37*1.5</f>
        <v>13.5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25</v>
      </c>
      <c r="C40" s="74">
        <v>4</v>
      </c>
      <c r="D40" s="74">
        <v>7</v>
      </c>
      <c r="E40" s="75">
        <f>+SUM(B40:D40)</f>
        <v>36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10.85</v>
      </c>
      <c r="C44" s="199">
        <v>2242</v>
      </c>
      <c r="D44" s="200">
        <v>3600</v>
      </c>
      <c r="E44" s="201">
        <f t="shared" si="3"/>
        <v>0.62277777777777776</v>
      </c>
      <c r="F44" s="201">
        <f t="shared" si="4"/>
        <v>0.45208333333333334</v>
      </c>
      <c r="G44" s="202">
        <v>12</v>
      </c>
      <c r="H44" s="71"/>
    </row>
    <row r="45" spans="1:11" x14ac:dyDescent="0.25">
      <c r="A45" s="207" t="s">
        <v>72</v>
      </c>
      <c r="B45" s="199">
        <v>12.85</v>
      </c>
      <c r="C45" s="199">
        <v>3077</v>
      </c>
      <c r="D45" s="200">
        <v>3900</v>
      </c>
      <c r="E45" s="201">
        <f t="shared" si="3"/>
        <v>0.78897435897435897</v>
      </c>
      <c r="F45" s="201">
        <f t="shared" si="4"/>
        <v>0.53541666666666665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15.12</v>
      </c>
      <c r="C46" s="199">
        <v>3090</v>
      </c>
      <c r="D46" s="200">
        <v>3900</v>
      </c>
      <c r="E46" s="201">
        <f t="shared" si="3"/>
        <v>0.79230769230769227</v>
      </c>
      <c r="F46" s="201">
        <f t="shared" si="4"/>
        <v>0.63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14.81</v>
      </c>
      <c r="C47" s="199">
        <v>2233</v>
      </c>
      <c r="D47" s="200">
        <v>3900</v>
      </c>
      <c r="E47" s="201">
        <f t="shared" si="3"/>
        <v>0.57256410256410262</v>
      </c>
      <c r="F47" s="201">
        <f t="shared" si="4"/>
        <v>0.61708333333333332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14.84</v>
      </c>
      <c r="C48" s="261">
        <v>1677</v>
      </c>
      <c r="D48" s="262">
        <v>4300</v>
      </c>
      <c r="E48" s="263">
        <f t="shared" si="3"/>
        <v>0.39</v>
      </c>
      <c r="F48" s="201">
        <f t="shared" si="4"/>
        <v>0.61833333333333329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1" si="5">+J48*1.5</f>
        <v>129</v>
      </c>
    </row>
    <row r="49" spans="2:11" x14ac:dyDescent="0.25">
      <c r="B49" s="113">
        <f>+SUM(B43:B48)</f>
        <v>68.47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5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5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5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5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6</v>
      </c>
    </row>
    <row r="59" spans="2:11" x14ac:dyDescent="0.25">
      <c r="H59" s="359" t="s">
        <v>233</v>
      </c>
      <c r="I59" s="345"/>
      <c r="J59" s="199">
        <f>+J50+J51</f>
        <v>234</v>
      </c>
      <c r="K59" s="346">
        <f>+J59*1.5</f>
        <v>351</v>
      </c>
    </row>
    <row r="60" spans="2:11" x14ac:dyDescent="0.25">
      <c r="B60" s="364" t="s">
        <v>231</v>
      </c>
      <c r="C60" s="199">
        <v>2049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46102</v>
      </c>
      <c r="E65" s="129" t="s">
        <v>175</v>
      </c>
      <c r="F65" s="71"/>
      <c r="G65" s="297">
        <f t="shared" ref="G65:G75" si="6">+F65*1.5</f>
        <v>0</v>
      </c>
      <c r="H65" s="301">
        <v>46129</v>
      </c>
      <c r="I65" s="129" t="s">
        <v>175</v>
      </c>
      <c r="J65" s="162">
        <v>5040</v>
      </c>
      <c r="K65" s="318">
        <f>+J65*0.025</f>
        <v>126</v>
      </c>
    </row>
    <row r="66" spans="2:11" x14ac:dyDescent="0.25">
      <c r="C66" s="389"/>
      <c r="D66" s="301">
        <v>46102</v>
      </c>
      <c r="E66" s="129" t="s">
        <v>176</v>
      </c>
      <c r="F66" s="108">
        <v>173</v>
      </c>
      <c r="G66" s="297">
        <f t="shared" si="6"/>
        <v>259.5</v>
      </c>
      <c r="H66" s="301">
        <v>46132</v>
      </c>
      <c r="I66" s="129" t="s">
        <v>175</v>
      </c>
      <c r="J66" s="162">
        <v>5136</v>
      </c>
      <c r="K66" s="318">
        <f>+J66*0.025</f>
        <v>128.4</v>
      </c>
    </row>
    <row r="67" spans="2:11" x14ac:dyDescent="0.25">
      <c r="B67" s="71"/>
      <c r="C67" s="467" t="s">
        <v>80</v>
      </c>
      <c r="D67" s="301">
        <v>46103</v>
      </c>
      <c r="E67" s="129" t="s">
        <v>175</v>
      </c>
      <c r="F67" s="71">
        <v>218</v>
      </c>
      <c r="G67" s="297">
        <f t="shared" si="6"/>
        <v>327</v>
      </c>
      <c r="H67" s="301">
        <v>46132</v>
      </c>
      <c r="I67" s="129" t="s">
        <v>176</v>
      </c>
      <c r="J67" s="162">
        <v>5941</v>
      </c>
      <c r="K67" s="318">
        <f>+J67*0.025</f>
        <v>148.52500000000001</v>
      </c>
    </row>
    <row r="68" spans="2:11" x14ac:dyDescent="0.25">
      <c r="B68" s="71" t="s">
        <v>254</v>
      </c>
      <c r="C68" s="466">
        <v>1</v>
      </c>
      <c r="D68" s="301">
        <v>46103</v>
      </c>
      <c r="E68" s="129" t="s">
        <v>176</v>
      </c>
      <c r="F68" s="108">
        <v>230</v>
      </c>
      <c r="G68" s="297">
        <f t="shared" si="6"/>
        <v>345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46110</v>
      </c>
      <c r="E69" s="129" t="s">
        <v>175</v>
      </c>
      <c r="F69" s="71">
        <v>177</v>
      </c>
      <c r="G69" s="297">
        <f t="shared" si="6"/>
        <v>265.5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>
        <v>46110</v>
      </c>
      <c r="E70" s="129" t="s">
        <v>176</v>
      </c>
      <c r="F70" s="71">
        <v>201</v>
      </c>
      <c r="G70" s="297">
        <f t="shared" si="6"/>
        <v>301.5</v>
      </c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>
        <v>46123</v>
      </c>
      <c r="E71" s="129" t="s">
        <v>175</v>
      </c>
      <c r="F71" s="71">
        <v>65</v>
      </c>
      <c r="G71" s="297">
        <f t="shared" si="6"/>
        <v>97.5</v>
      </c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>
        <v>46123</v>
      </c>
      <c r="E72" s="129" t="s">
        <v>176</v>
      </c>
      <c r="F72" s="108">
        <v>188</v>
      </c>
      <c r="G72" s="297">
        <f t="shared" si="6"/>
        <v>282</v>
      </c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>
        <v>46124</v>
      </c>
      <c r="E73" s="129" t="s">
        <v>175</v>
      </c>
      <c r="F73" s="71">
        <v>2</v>
      </c>
      <c r="G73" s="297">
        <f t="shared" si="6"/>
        <v>3</v>
      </c>
      <c r="H73" s="301"/>
      <c r="I73" s="129"/>
      <c r="K73" s="318"/>
    </row>
    <row r="74" spans="2:11" x14ac:dyDescent="0.25">
      <c r="D74" s="301">
        <v>46124</v>
      </c>
      <c r="E74" s="129" t="s">
        <v>176</v>
      </c>
      <c r="F74" s="71">
        <v>200</v>
      </c>
      <c r="G74" s="297">
        <f t="shared" si="6"/>
        <v>300</v>
      </c>
      <c r="H74" s="301"/>
      <c r="I74" s="129"/>
      <c r="K74" s="318"/>
    </row>
    <row r="75" spans="2:11" x14ac:dyDescent="0.25">
      <c r="D75" s="301">
        <v>46125</v>
      </c>
      <c r="E75" s="129" t="s">
        <v>175</v>
      </c>
      <c r="F75" s="71">
        <v>167</v>
      </c>
      <c r="G75" s="297">
        <f t="shared" si="6"/>
        <v>250.5</v>
      </c>
      <c r="H75" s="301"/>
      <c r="I75" s="129"/>
      <c r="K75" s="318"/>
    </row>
    <row r="76" spans="2:11" x14ac:dyDescent="0.25">
      <c r="D76" s="344"/>
      <c r="E76" s="345"/>
      <c r="F76" s="435">
        <f>+F74+F73+F72+F71+F75</f>
        <v>622</v>
      </c>
      <c r="G76" s="436">
        <f>+F76*1.5</f>
        <v>933</v>
      </c>
      <c r="H76" s="431" t="s">
        <v>293</v>
      </c>
      <c r="I76" s="345"/>
      <c r="J76" s="200">
        <f>+J67+J66+J65</f>
        <v>16117</v>
      </c>
      <c r="K76" s="346">
        <f>+J76*0.025</f>
        <v>402.92500000000001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6"/>
  <sheetViews>
    <sheetView topLeftCell="A50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45.42578125" style="162" bestFit="1" customWidth="1"/>
    <col min="3" max="3" width="6.28515625" style="162" bestFit="1" customWidth="1"/>
    <col min="4" max="4" width="14.5703125" style="163" customWidth="1"/>
    <col min="5" max="5" width="9.5703125" style="162" bestFit="1" customWidth="1"/>
    <col min="6" max="6" width="16.85546875" style="162" customWidth="1"/>
    <col min="7" max="7" width="16.140625" style="162" customWidth="1"/>
    <col min="8" max="8" width="16.85546875" style="162" customWidth="1"/>
    <col min="9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92"/>
      <c r="C4" s="492"/>
      <c r="D4" s="165">
        <f>D23</f>
        <v>8914.0140000000029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38</v>
      </c>
      <c r="C5" s="176">
        <v>51337</v>
      </c>
      <c r="D5" s="172">
        <v>2191.6320000000005</v>
      </c>
      <c r="E5" s="80">
        <f t="shared" ref="E5:E23" si="0">+D5/$D$4</f>
        <v>0.24586364795926952</v>
      </c>
      <c r="F5" s="58" t="s">
        <v>51</v>
      </c>
      <c r="G5" s="59">
        <v>46132</v>
      </c>
      <c r="H5" s="190">
        <v>7071.2000000000007</v>
      </c>
      <c r="I5" s="141">
        <v>7816.34</v>
      </c>
      <c r="J5" s="60">
        <f t="shared" ref="J5:J12" si="1">+I5/H5</f>
        <v>1.1053767394501639</v>
      </c>
    </row>
    <row r="6" spans="1:11" ht="15" customHeight="1" x14ac:dyDescent="0.25">
      <c r="A6" s="164"/>
      <c r="B6" s="169" t="s">
        <v>37</v>
      </c>
      <c r="C6" s="177">
        <v>39929</v>
      </c>
      <c r="D6" s="173">
        <v>1705.1480000000004</v>
      </c>
      <c r="E6" s="80">
        <f t="shared" si="0"/>
        <v>0.19128845882449813</v>
      </c>
      <c r="F6" s="58" t="s">
        <v>52</v>
      </c>
      <c r="G6" s="59">
        <v>46133</v>
      </c>
      <c r="H6" s="190">
        <v>8223.2999999999993</v>
      </c>
      <c r="I6" s="141">
        <v>8918.9320000000007</v>
      </c>
      <c r="J6" s="60">
        <f t="shared" si="1"/>
        <v>1.0845928033757739</v>
      </c>
    </row>
    <row r="7" spans="1:11" ht="15" customHeight="1" x14ac:dyDescent="0.25">
      <c r="A7" s="164"/>
      <c r="B7" s="169" t="s">
        <v>35</v>
      </c>
      <c r="C7" s="177">
        <v>25896</v>
      </c>
      <c r="D7" s="173">
        <v>1103.0710000000001</v>
      </c>
      <c r="E7" s="245">
        <f t="shared" si="0"/>
        <v>0.12374571096702336</v>
      </c>
      <c r="F7" s="58" t="s">
        <v>53</v>
      </c>
      <c r="G7" s="59">
        <v>46134</v>
      </c>
      <c r="H7" s="190">
        <v>9360</v>
      </c>
      <c r="I7" s="141">
        <v>9460.4290000000001</v>
      </c>
      <c r="J7" s="60">
        <f t="shared" si="1"/>
        <v>1.0107295940170939</v>
      </c>
    </row>
    <row r="8" spans="1:11" ht="15" customHeight="1" x14ac:dyDescent="0.25">
      <c r="A8" s="164"/>
      <c r="B8" s="169" t="s">
        <v>42</v>
      </c>
      <c r="C8" s="177">
        <v>15241</v>
      </c>
      <c r="D8" s="173">
        <v>650.75599999999997</v>
      </c>
      <c r="E8" s="80">
        <f t="shared" si="0"/>
        <v>7.3003699567893848E-2</v>
      </c>
      <c r="F8" s="58" t="s">
        <v>54</v>
      </c>
      <c r="G8" s="59">
        <v>46135</v>
      </c>
      <c r="H8" s="190">
        <v>9626</v>
      </c>
      <c r="I8" s="141">
        <v>8914.0140000000029</v>
      </c>
      <c r="J8" s="60">
        <f t="shared" si="1"/>
        <v>0.92603511323498888</v>
      </c>
    </row>
    <row r="9" spans="1:11" ht="15" customHeight="1" x14ac:dyDescent="0.25">
      <c r="A9" s="164"/>
      <c r="B9" s="169" t="s">
        <v>10</v>
      </c>
      <c r="C9" s="177">
        <v>14815</v>
      </c>
      <c r="D9" s="173">
        <v>631.69299999999998</v>
      </c>
      <c r="E9" s="245">
        <f t="shared" si="0"/>
        <v>7.0865156819363284E-2</v>
      </c>
      <c r="F9" s="58" t="s">
        <v>55</v>
      </c>
      <c r="G9" s="59">
        <v>46136</v>
      </c>
      <c r="H9" s="190">
        <v>8114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6</v>
      </c>
      <c r="C10" s="177">
        <v>2993</v>
      </c>
      <c r="D10" s="173">
        <v>127.724</v>
      </c>
      <c r="E10" s="245">
        <f t="shared" si="0"/>
        <v>1.4328449562677372E-2</v>
      </c>
      <c r="F10" s="58" t="s">
        <v>56</v>
      </c>
      <c r="G10" s="59">
        <v>46137</v>
      </c>
      <c r="H10" s="190">
        <v>7623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</v>
      </c>
      <c r="C11" s="177">
        <v>2357</v>
      </c>
      <c r="D11" s="173">
        <v>100.55000000000001</v>
      </c>
      <c r="E11" s="80">
        <f t="shared" si="0"/>
        <v>1.1279991258707916E-2</v>
      </c>
      <c r="F11" s="58" t="s">
        <v>57</v>
      </c>
      <c r="G11" s="59">
        <v>46138</v>
      </c>
      <c r="H11" s="190">
        <v>5111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95</v>
      </c>
      <c r="C12" s="177">
        <v>1200</v>
      </c>
      <c r="D12" s="173">
        <v>30.2</v>
      </c>
      <c r="E12" s="80">
        <f t="shared" si="0"/>
        <v>3.3879237793434012E-3</v>
      </c>
      <c r="H12" s="139">
        <f>+SUM(H5:H11)</f>
        <v>55128.5</v>
      </c>
      <c r="I12" s="142">
        <f>+SUM(I5:I11)</f>
        <v>35109.715000000004</v>
      </c>
      <c r="J12" s="140">
        <f t="shared" si="1"/>
        <v>0.63687049348340696</v>
      </c>
    </row>
    <row r="13" spans="1:11" ht="15" customHeight="1" x14ac:dyDescent="0.25">
      <c r="A13" s="164"/>
      <c r="B13" s="169" t="s">
        <v>43</v>
      </c>
      <c r="C13" s="177">
        <v>430</v>
      </c>
      <c r="D13" s="173">
        <v>650.85</v>
      </c>
      <c r="E13" s="80">
        <f t="shared" si="0"/>
        <v>7.301424476111433E-2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39</v>
      </c>
      <c r="C14" s="177">
        <v>349</v>
      </c>
      <c r="D14" s="173">
        <v>527.77</v>
      </c>
      <c r="E14" s="80">
        <f t="shared" si="0"/>
        <v>5.9206772616690953E-2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41</v>
      </c>
      <c r="C15" s="177">
        <v>227</v>
      </c>
      <c r="D15" s="173">
        <v>341.40999999999997</v>
      </c>
      <c r="E15" s="80">
        <f t="shared" si="0"/>
        <v>3.8300366142570548E-2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44</v>
      </c>
      <c r="C16" s="177">
        <v>40</v>
      </c>
      <c r="D16" s="173">
        <v>60.64</v>
      </c>
      <c r="E16" s="80">
        <f t="shared" si="0"/>
        <v>6.8027714562709889E-3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49</v>
      </c>
      <c r="C17" s="177">
        <v>22</v>
      </c>
      <c r="D17" s="173">
        <v>33.07</v>
      </c>
      <c r="E17" s="80">
        <f t="shared" si="0"/>
        <v>3.7098887212876253E-3</v>
      </c>
      <c r="F17" s="112" t="s">
        <v>111</v>
      </c>
      <c r="G17" s="190">
        <v>205343.72800000012</v>
      </c>
      <c r="H17" s="190">
        <v>198970.75799999986</v>
      </c>
      <c r="I17" s="190">
        <f>+D24</f>
        <v>174248.00599999999</v>
      </c>
      <c r="J17" s="456">
        <f t="shared" si="2"/>
        <v>0.96896437956945902</v>
      </c>
      <c r="K17" s="456">
        <f t="shared" si="2"/>
        <v>0.87574680697552609</v>
      </c>
    </row>
    <row r="18" spans="1:11" ht="15" customHeight="1" x14ac:dyDescent="0.25">
      <c r="A18" s="164"/>
      <c r="B18" s="169" t="s">
        <v>88</v>
      </c>
      <c r="C18" s="177">
        <v>60</v>
      </c>
      <c r="D18" s="173">
        <v>120.87</v>
      </c>
      <c r="E18" s="80">
        <f t="shared" si="0"/>
        <v>1.3559547920835659E-2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40</v>
      </c>
      <c r="C19" s="177"/>
      <c r="D19" s="173">
        <v>456.78</v>
      </c>
      <c r="E19" s="80">
        <f t="shared" si="0"/>
        <v>5.1242908077101947E-2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9</v>
      </c>
      <c r="C20" s="177"/>
      <c r="D20" s="173">
        <v>120.1</v>
      </c>
      <c r="E20" s="80">
        <f t="shared" si="0"/>
        <v>1.3473167082753063E-2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46</v>
      </c>
      <c r="C21" s="177"/>
      <c r="D21" s="173">
        <v>61.75</v>
      </c>
      <c r="E21" s="80">
        <f t="shared" si="0"/>
        <v>6.9272944825978485E-3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thickBot="1" x14ac:dyDescent="0.3">
      <c r="A22" s="164"/>
      <c r="B22" s="169" t="s">
        <v>46</v>
      </c>
      <c r="C22" s="177"/>
      <c r="D22" s="173"/>
      <c r="E22" s="80">
        <f t="shared" si="0"/>
        <v>0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thickBot="1" x14ac:dyDescent="0.3">
      <c r="A23" s="164"/>
      <c r="B23" s="178" t="s">
        <v>0</v>
      </c>
      <c r="C23" s="170"/>
      <c r="D23" s="171">
        <f>SUM(D5:D22)</f>
        <v>8914.0140000000029</v>
      </c>
      <c r="E23" s="80">
        <f t="shared" si="0"/>
        <v>1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x14ac:dyDescent="0.25">
      <c r="A24" s="164"/>
      <c r="B24" s="166" t="s">
        <v>1</v>
      </c>
      <c r="C24" s="167"/>
      <c r="D24" s="233">
        <v>174248.00599999999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852298.64199999999</v>
      </c>
      <c r="J26" s="378"/>
      <c r="K26" s="378">
        <f>+I26/H26</f>
        <v>1.1073150871283102</v>
      </c>
    </row>
    <row r="27" spans="1:11" ht="19.5" thickBot="1" x14ac:dyDescent="0.3">
      <c r="E27" s="313">
        <f>+D24/K2</f>
        <v>0.78286619271687086</v>
      </c>
      <c r="G27" s="379" t="s">
        <v>229</v>
      </c>
      <c r="H27" s="380"/>
      <c r="I27" s="380">
        <v>2726927.1277059279</v>
      </c>
      <c r="J27" s="381">
        <f>+I26/H26</f>
        <v>1.1073150871283102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93">
        <v>23</v>
      </c>
      <c r="D29" s="108">
        <f>K3*C29</f>
        <v>170642.36414363491</v>
      </c>
      <c r="E29" s="314">
        <f>+D29/K2</f>
        <v>0.76666666666666672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+D24-D29</f>
        <v>3605.6418563650805</v>
      </c>
      <c r="E30" s="99">
        <f>E27-E29</f>
        <v>1.6199526050204138E-2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5" customHeight="1" thickBot="1" x14ac:dyDescent="0.3">
      <c r="H31" s="420" t="s">
        <v>286</v>
      </c>
      <c r="I31" s="421">
        <f>+I17/H17</f>
        <v>0.87574680697552609</v>
      </c>
      <c r="J31" s="422">
        <f>+I17-H17</f>
        <v>-24722.751999999862</v>
      </c>
      <c r="K31" s="459">
        <f>J28+J31+J30+J29</f>
        <v>82600.250000000175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1417</v>
      </c>
      <c r="D33" s="108">
        <v>2142</v>
      </c>
      <c r="E33" s="57">
        <f>+C33/D33</f>
        <v>0.66153127917833798</v>
      </c>
      <c r="G33" s="86" t="s">
        <v>86</v>
      </c>
      <c r="H33" s="87">
        <f>3841+9883</f>
        <v>13724</v>
      </c>
      <c r="I33" s="88">
        <f>+H33*0.025</f>
        <v>343.1</v>
      </c>
      <c r="J33" s="224"/>
      <c r="K33" s="68"/>
    </row>
    <row r="34" spans="1:11" ht="15" customHeight="1" x14ac:dyDescent="0.25">
      <c r="B34" s="162" t="s">
        <v>62</v>
      </c>
      <c r="C34" s="162">
        <v>784</v>
      </c>
      <c r="D34" s="108">
        <v>1890</v>
      </c>
      <c r="E34" s="57">
        <f>+C34/D34</f>
        <v>0.4148148148148148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1275</v>
      </c>
      <c r="D35" s="108">
        <v>3006</v>
      </c>
      <c r="E35" s="57">
        <f>+C35/D35</f>
        <v>0.42415169660678642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3476</v>
      </c>
      <c r="D36" s="110">
        <f>+SUM(D33:D35)</f>
        <v>7038</v>
      </c>
      <c r="E36" s="57">
        <f>+C36/D36</f>
        <v>0.49389030974708725</v>
      </c>
      <c r="G36" s="89" t="s">
        <v>169</v>
      </c>
      <c r="H36" s="87">
        <v>169</v>
      </c>
      <c r="I36" s="88">
        <f>+H36*1.5</f>
        <v>253.5</v>
      </c>
      <c r="J36" s="298">
        <f>+I36+I33+I34+I35</f>
        <v>620.9</v>
      </c>
    </row>
    <row r="37" spans="1:11" x14ac:dyDescent="0.25">
      <c r="G37" s="89" t="s">
        <v>168</v>
      </c>
      <c r="H37" s="87">
        <v>9</v>
      </c>
      <c r="I37" s="88">
        <f>+H37*1.5</f>
        <v>13.5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7</v>
      </c>
      <c r="C40" s="74">
        <v>4</v>
      </c>
      <c r="D40" s="74">
        <v>15</v>
      </c>
      <c r="E40" s="75">
        <f>+SUM(B40:D40)</f>
        <v>26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11.51</v>
      </c>
      <c r="C44" s="199">
        <v>2286</v>
      </c>
      <c r="D44" s="200">
        <v>3600</v>
      </c>
      <c r="E44" s="201">
        <f t="shared" si="3"/>
        <v>0.63500000000000001</v>
      </c>
      <c r="F44" s="201">
        <f t="shared" si="4"/>
        <v>0.47958333333333331</v>
      </c>
      <c r="G44" s="202">
        <v>12</v>
      </c>
      <c r="H44" s="71"/>
    </row>
    <row r="45" spans="1:11" x14ac:dyDescent="0.25">
      <c r="A45" s="207" t="s">
        <v>72</v>
      </c>
      <c r="B45" s="199">
        <v>10.130000000000001</v>
      </c>
      <c r="C45" s="199">
        <v>3266</v>
      </c>
      <c r="D45" s="200">
        <v>3900</v>
      </c>
      <c r="E45" s="201">
        <f t="shared" si="3"/>
        <v>0.83743589743589741</v>
      </c>
      <c r="F45" s="201">
        <f t="shared" si="4"/>
        <v>0.42208333333333337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8.08</v>
      </c>
      <c r="C46" s="199">
        <v>2625</v>
      </c>
      <c r="D46" s="200">
        <v>3900</v>
      </c>
      <c r="E46" s="201">
        <f t="shared" si="3"/>
        <v>0.67307692307692313</v>
      </c>
      <c r="F46" s="201">
        <f t="shared" si="4"/>
        <v>0.33666666666666667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9.7100000000000009</v>
      </c>
      <c r="C47" s="199">
        <v>2621</v>
      </c>
      <c r="D47" s="200">
        <v>3900</v>
      </c>
      <c r="E47" s="201">
        <f t="shared" si="3"/>
        <v>0.67205128205128206</v>
      </c>
      <c r="F47" s="201">
        <f t="shared" si="4"/>
        <v>0.40458333333333335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17.5</v>
      </c>
      <c r="C48" s="261">
        <v>2344</v>
      </c>
      <c r="D48" s="262">
        <v>4300</v>
      </c>
      <c r="E48" s="263">
        <f t="shared" si="3"/>
        <v>0.54511627906976745</v>
      </c>
      <c r="F48" s="201">
        <f t="shared" si="4"/>
        <v>0.72916666666666663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1" si="5">+J48*1.5</f>
        <v>129</v>
      </c>
    </row>
    <row r="49" spans="2:11" x14ac:dyDescent="0.25">
      <c r="B49" s="113">
        <f>+SUM(B43:B48)</f>
        <v>56.93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5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5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5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4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6</v>
      </c>
    </row>
    <row r="59" spans="2:11" x14ac:dyDescent="0.25">
      <c r="H59" s="359" t="s">
        <v>233</v>
      </c>
      <c r="I59" s="345"/>
      <c r="J59" s="199">
        <f>+J50+J51</f>
        <v>234</v>
      </c>
      <c r="K59" s="346">
        <f>+J59*1.5</f>
        <v>351</v>
      </c>
    </row>
    <row r="60" spans="2:11" x14ac:dyDescent="0.25">
      <c r="B60" s="364" t="s">
        <v>231</v>
      </c>
      <c r="C60" s="199">
        <v>1343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6">+F65*1.5</f>
        <v>97.5</v>
      </c>
      <c r="H65" s="301">
        <v>46129</v>
      </c>
      <c r="I65" s="129" t="s">
        <v>175</v>
      </c>
      <c r="J65" s="162">
        <v>5040</v>
      </c>
      <c r="K65" s="318">
        <f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6"/>
        <v>282</v>
      </c>
      <c r="H66" s="301">
        <v>46132</v>
      </c>
      <c r="I66" s="129" t="s">
        <v>175</v>
      </c>
      <c r="J66" s="162">
        <v>5136</v>
      </c>
      <c r="K66" s="318">
        <f>+J66*0.025</f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6"/>
        <v>3</v>
      </c>
      <c r="H67" s="301">
        <v>46132</v>
      </c>
      <c r="I67" s="129" t="s">
        <v>176</v>
      </c>
      <c r="J67" s="162">
        <v>5941</v>
      </c>
      <c r="K67" s="318">
        <f>+J67*0.025</f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6"/>
        <v>300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6"/>
        <v>250.5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/>
      <c r="E70" s="129"/>
      <c r="F70" s="71"/>
      <c r="G70" s="297"/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/>
      <c r="E73" s="129"/>
      <c r="F73" s="71"/>
      <c r="G73" s="297"/>
      <c r="H73" s="301"/>
      <c r="I73" s="129"/>
      <c r="K73" s="318"/>
    </row>
    <row r="74" spans="2:11" x14ac:dyDescent="0.25">
      <c r="D74" s="301"/>
      <c r="E74" s="129"/>
      <c r="F74" s="71"/>
      <c r="G74" s="297"/>
      <c r="H74" s="301"/>
      <c r="I74" s="129"/>
      <c r="K74" s="318"/>
    </row>
    <row r="75" spans="2:11" x14ac:dyDescent="0.25">
      <c r="D75" s="301"/>
      <c r="E75" s="129"/>
      <c r="F75" s="71"/>
      <c r="G75" s="297"/>
      <c r="H75" s="301"/>
      <c r="I75" s="129"/>
      <c r="K75" s="318"/>
    </row>
    <row r="76" spans="2:11" x14ac:dyDescent="0.25">
      <c r="D76" s="344"/>
      <c r="E76" s="345"/>
      <c r="F76" s="435">
        <f>+F74+F73+F72+F71+F75</f>
        <v>0</v>
      </c>
      <c r="G76" s="436">
        <f>+F76*1.5</f>
        <v>0</v>
      </c>
      <c r="H76" s="431" t="s">
        <v>293</v>
      </c>
      <c r="I76" s="345"/>
      <c r="J76" s="200">
        <f>+J67+J66+J65</f>
        <v>16117</v>
      </c>
      <c r="K76" s="346">
        <f>+J76*0.025</f>
        <v>402.92500000000001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6"/>
  <sheetViews>
    <sheetView topLeftCell="A22" workbookViewId="0">
      <selection activeCell="A28" sqref="A28:K91"/>
    </sheetView>
  </sheetViews>
  <sheetFormatPr baseColWidth="10" defaultColWidth="11.42578125" defaultRowHeight="15.75" x14ac:dyDescent="0.25"/>
  <cols>
    <col min="1" max="1" width="2.42578125" style="162" customWidth="1"/>
    <col min="2" max="2" width="39.5703125" style="162" customWidth="1"/>
    <col min="3" max="3" width="12.42578125" style="162" bestFit="1" customWidth="1"/>
    <col min="4" max="4" width="14.140625" style="163" customWidth="1"/>
    <col min="5" max="5" width="9.5703125" style="162" bestFit="1" customWidth="1"/>
    <col min="6" max="6" width="16.85546875" style="162" customWidth="1"/>
    <col min="7" max="7" width="16.140625" style="162" customWidth="1"/>
    <col min="8" max="8" width="16.85546875" style="162" customWidth="1"/>
    <col min="9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494"/>
      <c r="C4" s="494"/>
      <c r="D4" s="165">
        <f>D21</f>
        <v>5091.0520000000006</v>
      </c>
      <c r="E4" s="80"/>
      <c r="F4" s="57"/>
      <c r="H4" s="69" t="s">
        <v>58</v>
      </c>
      <c r="I4" s="278" t="s">
        <v>59</v>
      </c>
      <c r="J4" s="69" t="s">
        <v>80</v>
      </c>
      <c r="K4" s="162" t="s">
        <v>294</v>
      </c>
    </row>
    <row r="5" spans="1:11" ht="15" customHeight="1" x14ac:dyDescent="0.25">
      <c r="A5" s="164"/>
      <c r="B5" s="168" t="s">
        <v>10</v>
      </c>
      <c r="C5" s="176">
        <v>16875</v>
      </c>
      <c r="D5" s="172">
        <v>719.65199999999993</v>
      </c>
      <c r="E5" s="80">
        <f t="shared" ref="E5:E21" si="0">+D5/$D$4</f>
        <v>0.14135624621394555</v>
      </c>
      <c r="F5" s="58" t="s">
        <v>51</v>
      </c>
      <c r="G5" s="59">
        <v>46132</v>
      </c>
      <c r="H5" s="190">
        <v>7071.2000000000007</v>
      </c>
      <c r="I5" s="141">
        <v>7816.34</v>
      </c>
      <c r="J5" s="60">
        <f t="shared" ref="J5:J12" si="1">+I5/H5</f>
        <v>1.1053767394501639</v>
      </c>
      <c r="K5" s="162">
        <v>6265.9999999999991</v>
      </c>
    </row>
    <row r="6" spans="1:11" ht="15" customHeight="1" x14ac:dyDescent="0.25">
      <c r="A6" s="164"/>
      <c r="B6" s="169" t="s">
        <v>35</v>
      </c>
      <c r="C6" s="177">
        <v>14462</v>
      </c>
      <c r="D6" s="173">
        <v>617.29</v>
      </c>
      <c r="E6" s="80">
        <f t="shared" si="0"/>
        <v>0.12124998919673181</v>
      </c>
      <c r="F6" s="58" t="s">
        <v>52</v>
      </c>
      <c r="G6" s="59">
        <v>46133</v>
      </c>
      <c r="H6" s="190">
        <v>8223.2999999999993</v>
      </c>
      <c r="I6" s="141">
        <v>8918.9320000000007</v>
      </c>
      <c r="J6" s="60">
        <f t="shared" si="1"/>
        <v>1.0845928033757739</v>
      </c>
      <c r="K6" s="162">
        <v>9033</v>
      </c>
    </row>
    <row r="7" spans="1:11" ht="15" customHeight="1" x14ac:dyDescent="0.25">
      <c r="A7" s="164"/>
      <c r="B7" s="169" t="s">
        <v>4</v>
      </c>
      <c r="C7" s="177">
        <v>870</v>
      </c>
      <c r="D7" s="173">
        <v>37.159999999999997</v>
      </c>
      <c r="E7" s="245">
        <f t="shared" si="0"/>
        <v>7.2990808186598746E-3</v>
      </c>
      <c r="F7" s="58" t="s">
        <v>53</v>
      </c>
      <c r="G7" s="59">
        <v>46134</v>
      </c>
      <c r="H7" s="190">
        <v>9360</v>
      </c>
      <c r="I7" s="141">
        <v>9460.4290000000001</v>
      </c>
      <c r="J7" s="60">
        <f t="shared" si="1"/>
        <v>1.0107295940170939</v>
      </c>
      <c r="K7" s="162">
        <v>9505</v>
      </c>
    </row>
    <row r="8" spans="1:11" ht="15" customHeight="1" x14ac:dyDescent="0.25">
      <c r="A8" s="164"/>
      <c r="B8" s="169" t="s">
        <v>37</v>
      </c>
      <c r="C8" s="177">
        <v>11990</v>
      </c>
      <c r="D8" s="173">
        <v>511.96800000000002</v>
      </c>
      <c r="E8" s="80">
        <f t="shared" si="0"/>
        <v>0.10056231992916198</v>
      </c>
      <c r="F8" s="58" t="s">
        <v>54</v>
      </c>
      <c r="G8" s="59">
        <v>46135</v>
      </c>
      <c r="H8" s="190">
        <v>9626</v>
      </c>
      <c r="I8" s="141">
        <v>8914.0140000000029</v>
      </c>
      <c r="J8" s="60">
        <f t="shared" si="1"/>
        <v>0.92603511323498888</v>
      </c>
      <c r="K8" s="162">
        <v>8881</v>
      </c>
    </row>
    <row r="9" spans="1:11" ht="15" customHeight="1" x14ac:dyDescent="0.25">
      <c r="A9" s="164"/>
      <c r="B9" s="169" t="s">
        <v>38</v>
      </c>
      <c r="C9" s="177">
        <v>21905</v>
      </c>
      <c r="D9" s="173">
        <v>935.21800000000019</v>
      </c>
      <c r="E9" s="245">
        <f t="shared" si="0"/>
        <v>0.18369837903835987</v>
      </c>
      <c r="F9" s="58" t="s">
        <v>55</v>
      </c>
      <c r="G9" s="59">
        <v>46136</v>
      </c>
      <c r="H9" s="190">
        <v>8114</v>
      </c>
      <c r="I9" s="141">
        <v>7862.15</v>
      </c>
      <c r="J9" s="60">
        <f t="shared" si="1"/>
        <v>0.96896105496672413</v>
      </c>
      <c r="K9" s="162">
        <v>6314</v>
      </c>
    </row>
    <row r="10" spans="1:11" ht="15" customHeight="1" x14ac:dyDescent="0.25">
      <c r="A10" s="164"/>
      <c r="B10" s="169" t="s">
        <v>42</v>
      </c>
      <c r="C10" s="177">
        <v>8664</v>
      </c>
      <c r="D10" s="173">
        <v>370.12000000000006</v>
      </c>
      <c r="E10" s="245">
        <f t="shared" si="0"/>
        <v>7.2700102061420704E-2</v>
      </c>
      <c r="F10" s="58" t="s">
        <v>56</v>
      </c>
      <c r="G10" s="59">
        <v>46137</v>
      </c>
      <c r="H10" s="190">
        <v>7623</v>
      </c>
      <c r="I10" s="141">
        <v>7006.69</v>
      </c>
      <c r="J10" s="60">
        <f t="shared" si="1"/>
        <v>0.91915125278761634</v>
      </c>
      <c r="K10" s="162">
        <v>7362</v>
      </c>
    </row>
    <row r="11" spans="1:11" ht="15" customHeight="1" x14ac:dyDescent="0.25">
      <c r="A11" s="164"/>
      <c r="B11" s="169" t="s">
        <v>196</v>
      </c>
      <c r="C11" s="177">
        <v>17404</v>
      </c>
      <c r="D11" s="173">
        <v>440.56199999999995</v>
      </c>
      <c r="E11" s="80">
        <f t="shared" si="0"/>
        <v>8.6536535081550903E-2</v>
      </c>
      <c r="F11" s="58" t="s">
        <v>57</v>
      </c>
      <c r="G11" s="59">
        <v>46138</v>
      </c>
      <c r="H11" s="190">
        <v>5111</v>
      </c>
      <c r="I11" s="141">
        <v>5091.0520000000006</v>
      </c>
      <c r="J11" s="60">
        <f t="shared" si="1"/>
        <v>0.99609704558794765</v>
      </c>
      <c r="K11" s="162">
        <v>4900</v>
      </c>
    </row>
    <row r="12" spans="1:11" ht="15" customHeight="1" x14ac:dyDescent="0.25">
      <c r="A12" s="164"/>
      <c r="B12" s="169" t="s">
        <v>95</v>
      </c>
      <c r="C12" s="177">
        <v>1296</v>
      </c>
      <c r="D12" s="173">
        <v>32.582000000000001</v>
      </c>
      <c r="E12" s="80">
        <f t="shared" si="0"/>
        <v>6.3998560611834244E-3</v>
      </c>
      <c r="H12" s="139">
        <f>+SUM(H5:H11)</f>
        <v>55128.5</v>
      </c>
      <c r="I12" s="142">
        <f>+SUM(I5:I11)</f>
        <v>55069.607000000011</v>
      </c>
      <c r="J12" s="140">
        <f t="shared" si="1"/>
        <v>0.99893171408618064</v>
      </c>
    </row>
    <row r="13" spans="1:11" ht="15" customHeight="1" x14ac:dyDescent="0.25">
      <c r="A13" s="164"/>
      <c r="B13" s="169" t="s">
        <v>39</v>
      </c>
      <c r="C13" s="177">
        <v>111</v>
      </c>
      <c r="D13" s="173">
        <v>167.8</v>
      </c>
      <c r="E13" s="80">
        <f t="shared" si="0"/>
        <v>3.2959789057350031E-2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49</v>
      </c>
      <c r="C14" s="177">
        <v>64</v>
      </c>
      <c r="D14" s="173">
        <v>96.32</v>
      </c>
      <c r="E14" s="80">
        <f t="shared" si="0"/>
        <v>1.8919468903480063E-2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41</v>
      </c>
      <c r="C15" s="177">
        <v>143</v>
      </c>
      <c r="D15" s="173">
        <v>214.73999999999998</v>
      </c>
      <c r="E15" s="80">
        <f t="shared" si="0"/>
        <v>4.2179887378875715E-2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85</v>
      </c>
      <c r="C16" s="177">
        <v>201</v>
      </c>
      <c r="D16" s="173">
        <v>303.87</v>
      </c>
      <c r="E16" s="80">
        <f t="shared" si="0"/>
        <v>5.9687074498551568E-2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88</v>
      </c>
      <c r="C17" s="177">
        <v>23</v>
      </c>
      <c r="D17" s="173">
        <v>34.729999999999997</v>
      </c>
      <c r="E17" s="80">
        <f t="shared" si="0"/>
        <v>6.8217727888067129E-3</v>
      </c>
      <c r="F17" s="112" t="s">
        <v>111</v>
      </c>
      <c r="G17" s="190">
        <v>205343.72800000012</v>
      </c>
      <c r="H17" s="190">
        <v>198970.75799999986</v>
      </c>
      <c r="I17" s="190">
        <f>+D22</f>
        <v>194470.11900000001</v>
      </c>
      <c r="J17" s="456">
        <f t="shared" si="2"/>
        <v>0.96896437956945902</v>
      </c>
      <c r="K17" s="456">
        <f t="shared" si="2"/>
        <v>0.9773803997871896</v>
      </c>
    </row>
    <row r="18" spans="1:11" ht="15" customHeight="1" x14ac:dyDescent="0.25">
      <c r="A18" s="164"/>
      <c r="B18" s="169" t="s">
        <v>40</v>
      </c>
      <c r="C18" s="177"/>
      <c r="D18" s="173">
        <v>391.6</v>
      </c>
      <c r="E18" s="80">
        <f t="shared" si="0"/>
        <v>7.6919269337653584E-2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9</v>
      </c>
      <c r="C19" s="177"/>
      <c r="D19" s="173">
        <v>121.27000000000001</v>
      </c>
      <c r="E19" s="80">
        <f t="shared" si="0"/>
        <v>2.3820224189420966E-2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thickBot="1" x14ac:dyDescent="0.3">
      <c r="A20" s="164"/>
      <c r="B20" s="169" t="s">
        <v>46</v>
      </c>
      <c r="C20" s="177"/>
      <c r="D20" s="173">
        <v>96.169999999999987</v>
      </c>
      <c r="E20" s="80">
        <f t="shared" si="0"/>
        <v>1.889000544484715E-2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thickBot="1" x14ac:dyDescent="0.3">
      <c r="A21" s="164"/>
      <c r="B21" s="178" t="s">
        <v>0</v>
      </c>
      <c r="C21" s="170"/>
      <c r="D21" s="171">
        <f>SUM(D5:D20)</f>
        <v>5091.0520000000006</v>
      </c>
      <c r="E21" s="80">
        <f t="shared" si="0"/>
        <v>1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6" t="s">
        <v>1</v>
      </c>
      <c r="C22" s="167"/>
      <c r="D22" s="233">
        <v>194470.11900000001</v>
      </c>
      <c r="E22" s="80"/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x14ac:dyDescent="0.25">
      <c r="E23" s="80"/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x14ac:dyDescent="0.25"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872520.75499999989</v>
      </c>
      <c r="J26" s="378"/>
      <c r="K26" s="378">
        <f>+I26/H26</f>
        <v>1.133587862555909</v>
      </c>
    </row>
    <row r="27" spans="1:11" ht="15" customHeight="1" thickBot="1" x14ac:dyDescent="0.3">
      <c r="E27" s="313">
        <f>+D22/K2</f>
        <v>0.87372065341583771</v>
      </c>
      <c r="G27" s="379" t="s">
        <v>229</v>
      </c>
      <c r="H27" s="380"/>
      <c r="I27" s="380">
        <v>2726927.1277059279</v>
      </c>
      <c r="J27" s="381">
        <f>+I26/H26</f>
        <v>1.133587862555909</v>
      </c>
      <c r="K27" s="179"/>
    </row>
    <row r="28" spans="1:11" ht="15" customHeight="1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95">
        <v>26</v>
      </c>
      <c r="D29" s="108">
        <f>K3*C29</f>
        <v>192900.0638145438</v>
      </c>
      <c r="E29" s="314">
        <f>+D29/K2</f>
        <v>0.8666666666666667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+D22-D29</f>
        <v>1570.0551854562073</v>
      </c>
      <c r="E30" s="99">
        <f>E27-E29</f>
        <v>7.0539867491710151E-3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0.9773803997871896</v>
      </c>
      <c r="J31" s="422">
        <f>+I17-H17</f>
        <v>-4500.6389999998501</v>
      </c>
      <c r="K31" s="459">
        <f>J28+J31+J30+J29</f>
        <v>102822.36300000019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2080</v>
      </c>
      <c r="D33" s="108">
        <v>2142</v>
      </c>
      <c r="E33" s="57">
        <f>+C33/D33</f>
        <v>0.97105508870214752</v>
      </c>
      <c r="G33" s="86" t="s">
        <v>86</v>
      </c>
      <c r="H33" s="87">
        <f>2460+8502</f>
        <v>10962</v>
      </c>
      <c r="I33" s="88">
        <f>+H33*0.025</f>
        <v>274.05</v>
      </c>
      <c r="J33" s="224"/>
      <c r="K33" s="68"/>
    </row>
    <row r="34" spans="1:11" x14ac:dyDescent="0.25">
      <c r="B34" s="162" t="s">
        <v>62</v>
      </c>
      <c r="C34" s="162">
        <v>1260</v>
      </c>
      <c r="D34" s="108">
        <v>1890</v>
      </c>
      <c r="E34" s="57">
        <f>+C34/D34</f>
        <v>0.66666666666666663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1463</v>
      </c>
      <c r="D35" s="108">
        <v>3006</v>
      </c>
      <c r="E35" s="57">
        <f>+C35/D35</f>
        <v>0.48669328010645374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4803</v>
      </c>
      <c r="D36" s="110">
        <f>+SUM(D33:D35)</f>
        <v>7038</v>
      </c>
      <c r="E36" s="57">
        <f>+C36/D36</f>
        <v>0.68243819266837169</v>
      </c>
      <c r="G36" s="89" t="s">
        <v>169</v>
      </c>
      <c r="H36" s="87">
        <v>68</v>
      </c>
      <c r="I36" s="88">
        <f>+H36*1.5</f>
        <v>102</v>
      </c>
      <c r="J36" s="298">
        <f>+I36+I33+I34+I35</f>
        <v>400.34999999999997</v>
      </c>
    </row>
    <row r="37" spans="1:11" x14ac:dyDescent="0.25">
      <c r="G37" s="89" t="s">
        <v>168</v>
      </c>
      <c r="H37" s="87">
        <v>203</v>
      </c>
      <c r="I37" s="88">
        <f>+H37*1.5</f>
        <v>304.5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9</v>
      </c>
      <c r="C40" s="74">
        <v>0</v>
      </c>
      <c r="D40" s="74">
        <v>6</v>
      </c>
      <c r="E40" s="75">
        <f>+SUM(B40:D40)</f>
        <v>15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7.27</v>
      </c>
      <c r="C44" s="199">
        <v>2391</v>
      </c>
      <c r="D44" s="200">
        <v>3600</v>
      </c>
      <c r="E44" s="201">
        <f t="shared" si="3"/>
        <v>0.66416666666666668</v>
      </c>
      <c r="F44" s="201">
        <f t="shared" si="4"/>
        <v>0.30291666666666667</v>
      </c>
      <c r="G44" s="202">
        <v>12</v>
      </c>
      <c r="H44" s="71"/>
    </row>
    <row r="45" spans="1:11" x14ac:dyDescent="0.25">
      <c r="A45" s="207" t="s">
        <v>72</v>
      </c>
      <c r="B45" s="199">
        <v>7.34</v>
      </c>
      <c r="C45" s="199">
        <v>2710</v>
      </c>
      <c r="D45" s="200">
        <v>3900</v>
      </c>
      <c r="E45" s="201">
        <f t="shared" si="3"/>
        <v>0.69487179487179485</v>
      </c>
      <c r="F45" s="201">
        <f t="shared" si="4"/>
        <v>0.30583333333333335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7.56</v>
      </c>
      <c r="C46" s="199">
        <v>2367</v>
      </c>
      <c r="D46" s="200">
        <v>3900</v>
      </c>
      <c r="E46" s="201">
        <f t="shared" si="3"/>
        <v>0.6069230769230769</v>
      </c>
      <c r="F46" s="201">
        <f t="shared" si="4"/>
        <v>0.315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9.15</v>
      </c>
      <c r="C47" s="199">
        <v>1356</v>
      </c>
      <c r="D47" s="200">
        <v>3900</v>
      </c>
      <c r="E47" s="201">
        <f t="shared" si="3"/>
        <v>0.34769230769230769</v>
      </c>
      <c r="F47" s="201">
        <f t="shared" si="4"/>
        <v>0.38125000000000003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17.3</v>
      </c>
      <c r="C48" s="261">
        <v>2037</v>
      </c>
      <c r="D48" s="262">
        <v>4300</v>
      </c>
      <c r="E48" s="263">
        <f t="shared" si="3"/>
        <v>0.47372093023255812</v>
      </c>
      <c r="F48" s="201">
        <f t="shared" si="4"/>
        <v>0.72083333333333333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1" si="5">+J48*1.5</f>
        <v>129</v>
      </c>
    </row>
    <row r="49" spans="2:11" x14ac:dyDescent="0.25">
      <c r="B49" s="113">
        <f>+SUM(B43:B48)</f>
        <v>48.620000000000005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5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5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5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10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4</v>
      </c>
    </row>
    <row r="59" spans="2:11" x14ac:dyDescent="0.25">
      <c r="H59" s="359" t="s">
        <v>233</v>
      </c>
      <c r="I59" s="345"/>
      <c r="J59" s="199">
        <f>+J50+J51</f>
        <v>234</v>
      </c>
      <c r="K59" s="346">
        <f>+J59*1.5</f>
        <v>351</v>
      </c>
    </row>
    <row r="60" spans="2:11" x14ac:dyDescent="0.25">
      <c r="B60" s="364" t="s">
        <v>231</v>
      </c>
      <c r="C60" s="199">
        <v>426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6">+F65*1.5</f>
        <v>97.5</v>
      </c>
      <c r="H65" s="301">
        <v>46129</v>
      </c>
      <c r="I65" s="129" t="s">
        <v>175</v>
      </c>
      <c r="J65" s="162">
        <v>5040</v>
      </c>
      <c r="K65" s="318">
        <f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6"/>
        <v>282</v>
      </c>
      <c r="H66" s="301">
        <v>46132</v>
      </c>
      <c r="I66" s="129" t="s">
        <v>175</v>
      </c>
      <c r="J66" s="162">
        <v>5136</v>
      </c>
      <c r="K66" s="318">
        <f>+J66*0.025</f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6"/>
        <v>3</v>
      </c>
      <c r="H67" s="301">
        <v>46132</v>
      </c>
      <c r="I67" s="129" t="s">
        <v>176</v>
      </c>
      <c r="J67" s="162">
        <v>5941</v>
      </c>
      <c r="K67" s="318">
        <f>+J67*0.025</f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6"/>
        <v>300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6"/>
        <v>250.5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/>
      <c r="E70" s="129"/>
      <c r="F70" s="71"/>
      <c r="G70" s="297"/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/>
      <c r="E73" s="129"/>
      <c r="F73" s="71"/>
      <c r="G73" s="297"/>
      <c r="H73" s="301"/>
      <c r="I73" s="129"/>
      <c r="K73" s="318"/>
    </row>
    <row r="74" spans="2:11" x14ac:dyDescent="0.25">
      <c r="D74" s="301"/>
      <c r="E74" s="129"/>
      <c r="F74" s="71"/>
      <c r="G74" s="297"/>
      <c r="H74" s="301"/>
      <c r="I74" s="129"/>
      <c r="K74" s="318"/>
    </row>
    <row r="75" spans="2:11" x14ac:dyDescent="0.25">
      <c r="D75" s="301"/>
      <c r="E75" s="129"/>
      <c r="F75" s="71"/>
      <c r="G75" s="297"/>
      <c r="H75" s="301"/>
      <c r="I75" s="129"/>
      <c r="K75" s="318"/>
    </row>
    <row r="76" spans="2:11" x14ac:dyDescent="0.25">
      <c r="D76" s="344"/>
      <c r="E76" s="345"/>
      <c r="F76" s="435">
        <f>+F74+F73+F72+F71+F75</f>
        <v>0</v>
      </c>
      <c r="G76" s="436">
        <f>+F76*1.5</f>
        <v>0</v>
      </c>
      <c r="H76" s="431" t="s">
        <v>293</v>
      </c>
      <c r="I76" s="345"/>
      <c r="J76" s="200">
        <f>+J67+J66+J65</f>
        <v>16117</v>
      </c>
      <c r="K76" s="346">
        <f>+J76*0.025</f>
        <v>402.92500000000001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6"/>
  <sheetViews>
    <sheetView topLeftCell="A20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41.28515625" style="162" customWidth="1"/>
    <col min="3" max="3" width="12.42578125" style="162" bestFit="1" customWidth="1"/>
    <col min="4" max="4" width="16.5703125" style="163" bestFit="1" customWidth="1"/>
    <col min="5" max="5" width="17.85546875" style="162" customWidth="1"/>
    <col min="6" max="6" width="12" style="162" bestFit="1" customWidth="1"/>
    <col min="7" max="7" width="15.7109375" style="162" bestFit="1" customWidth="1"/>
    <col min="8" max="8" width="14.28515625" style="162" bestFit="1" customWidth="1"/>
    <col min="9" max="10" width="11.42578125" style="162"/>
    <col min="11" max="11" width="7.85546875" style="162" bestFit="1" customWidth="1"/>
    <col min="12" max="16384" width="11.42578125" style="162"/>
  </cols>
  <sheetData>
    <row r="1" spans="1:12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2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2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2" ht="19.5" customHeight="1" thickBot="1" x14ac:dyDescent="0.4">
      <c r="A4" s="164"/>
      <c r="B4" s="496"/>
      <c r="C4" s="496"/>
      <c r="D4" s="165">
        <f>D23</f>
        <v>6147.7720000000008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2" ht="15" customHeight="1" x14ac:dyDescent="0.25">
      <c r="A5" s="164"/>
      <c r="B5" s="168" t="s">
        <v>6</v>
      </c>
      <c r="C5" s="176">
        <v>4540</v>
      </c>
      <c r="D5" s="172">
        <v>194.04599999999999</v>
      </c>
      <c r="E5" s="80">
        <f t="shared" ref="E5:E21" si="0">+D5/$D$4</f>
        <v>3.1563629880873911E-2</v>
      </c>
      <c r="F5" s="58" t="s">
        <v>51</v>
      </c>
      <c r="G5" s="59">
        <v>46139</v>
      </c>
      <c r="H5" s="190">
        <v>6265.9999999999991</v>
      </c>
      <c r="I5" s="141">
        <v>6147.7720000000008</v>
      </c>
      <c r="J5" s="60">
        <f t="shared" ref="J5:J12" si="1">+I5/H5</f>
        <v>0.98113182253431241</v>
      </c>
    </row>
    <row r="6" spans="1:12" ht="15" customHeight="1" x14ac:dyDescent="0.25">
      <c r="A6" s="164"/>
      <c r="B6" s="169" t="s">
        <v>10</v>
      </c>
      <c r="C6" s="177">
        <v>12451</v>
      </c>
      <c r="D6" s="173">
        <v>531.56999999999994</v>
      </c>
      <c r="E6" s="80">
        <f t="shared" si="0"/>
        <v>8.6465470742896761E-2</v>
      </c>
      <c r="F6" s="58" t="s">
        <v>52</v>
      </c>
      <c r="G6" s="59">
        <v>46140</v>
      </c>
      <c r="H6" s="190">
        <v>9033</v>
      </c>
      <c r="I6" s="141"/>
      <c r="J6" s="60">
        <f t="shared" si="1"/>
        <v>0</v>
      </c>
    </row>
    <row r="7" spans="1:12" ht="15" customHeight="1" x14ac:dyDescent="0.25">
      <c r="A7" s="164"/>
      <c r="B7" s="169" t="s">
        <v>35</v>
      </c>
      <c r="C7" s="177">
        <v>17512</v>
      </c>
      <c r="D7" s="173">
        <v>747.70299999999997</v>
      </c>
      <c r="E7" s="245">
        <f t="shared" si="0"/>
        <v>0.1216217842821757</v>
      </c>
      <c r="F7" s="58" t="s">
        <v>53</v>
      </c>
      <c r="G7" s="59">
        <v>46141</v>
      </c>
      <c r="H7" s="190">
        <v>9505</v>
      </c>
      <c r="I7" s="141"/>
      <c r="J7" s="60">
        <f t="shared" si="1"/>
        <v>0</v>
      </c>
    </row>
    <row r="8" spans="1:12" ht="15" customHeight="1" x14ac:dyDescent="0.25">
      <c r="A8" s="164"/>
      <c r="B8" s="169" t="s">
        <v>37</v>
      </c>
      <c r="C8" s="177">
        <v>30617</v>
      </c>
      <c r="D8" s="173">
        <v>1307.104</v>
      </c>
      <c r="E8" s="80">
        <f t="shared" si="0"/>
        <v>0.21261426090622748</v>
      </c>
      <c r="F8" s="58" t="s">
        <v>54</v>
      </c>
      <c r="G8" s="59">
        <v>46142</v>
      </c>
      <c r="H8" s="190">
        <v>8881</v>
      </c>
      <c r="I8" s="141"/>
      <c r="J8" s="60">
        <f t="shared" si="1"/>
        <v>0</v>
      </c>
    </row>
    <row r="9" spans="1:12" ht="15" customHeight="1" x14ac:dyDescent="0.25">
      <c r="A9" s="164"/>
      <c r="B9" s="169" t="s">
        <v>38</v>
      </c>
      <c r="C9" s="177">
        <v>31394</v>
      </c>
      <c r="D9" s="173">
        <v>1340.9549999999999</v>
      </c>
      <c r="E9" s="245">
        <f t="shared" si="0"/>
        <v>0.218120483323064</v>
      </c>
      <c r="F9" s="58" t="s">
        <v>55</v>
      </c>
      <c r="G9" s="59">
        <v>46143</v>
      </c>
      <c r="H9" s="190">
        <v>6314</v>
      </c>
      <c r="I9" s="141"/>
      <c r="J9" s="60">
        <f t="shared" si="1"/>
        <v>0</v>
      </c>
    </row>
    <row r="10" spans="1:12" ht="15" customHeight="1" x14ac:dyDescent="0.25">
      <c r="A10" s="164"/>
      <c r="B10" s="169" t="s">
        <v>42</v>
      </c>
      <c r="C10" s="177">
        <v>3050</v>
      </c>
      <c r="D10" s="173">
        <v>130.17600000000002</v>
      </c>
      <c r="E10" s="245">
        <f t="shared" si="0"/>
        <v>2.1174500290511749E-2</v>
      </c>
      <c r="F10" s="58" t="s">
        <v>56</v>
      </c>
      <c r="G10" s="59">
        <v>46144</v>
      </c>
      <c r="H10" s="190">
        <v>7362</v>
      </c>
      <c r="I10" s="141"/>
      <c r="J10" s="60">
        <f t="shared" si="1"/>
        <v>0</v>
      </c>
    </row>
    <row r="11" spans="1:12" ht="15" customHeight="1" x14ac:dyDescent="0.25">
      <c r="A11" s="164"/>
      <c r="B11" s="169" t="s">
        <v>196</v>
      </c>
      <c r="C11" s="177">
        <v>2785</v>
      </c>
      <c r="D11" s="173">
        <v>70.616000000000014</v>
      </c>
      <c r="E11" s="80">
        <f t="shared" si="0"/>
        <v>1.1486437688320257E-2</v>
      </c>
      <c r="F11" s="58" t="s">
        <v>57</v>
      </c>
      <c r="G11" s="59">
        <v>46145</v>
      </c>
      <c r="H11" s="190">
        <v>4900</v>
      </c>
      <c r="I11" s="141"/>
      <c r="J11" s="60">
        <f t="shared" si="1"/>
        <v>0</v>
      </c>
    </row>
    <row r="12" spans="1:12" ht="15" customHeight="1" x14ac:dyDescent="0.25">
      <c r="A12" s="164"/>
      <c r="B12" s="169" t="s">
        <v>100</v>
      </c>
      <c r="C12" s="177">
        <v>1296</v>
      </c>
      <c r="D12" s="173">
        <v>32.89</v>
      </c>
      <c r="E12" s="80">
        <f t="shared" si="0"/>
        <v>5.3499056243465105E-3</v>
      </c>
      <c r="H12" s="139">
        <f>+SUM(H5:H11)</f>
        <v>52261</v>
      </c>
      <c r="I12" s="142">
        <f>+SUM(I5:I11)</f>
        <v>6147.7720000000008</v>
      </c>
      <c r="J12" s="140">
        <f t="shared" si="1"/>
        <v>0.11763594267235608</v>
      </c>
    </row>
    <row r="13" spans="1:12" ht="15" customHeight="1" x14ac:dyDescent="0.25">
      <c r="A13" s="164"/>
      <c r="B13" s="169" t="s">
        <v>95</v>
      </c>
      <c r="C13" s="177">
        <v>1240</v>
      </c>
      <c r="D13" s="173">
        <v>31.202000000000002</v>
      </c>
      <c r="E13" s="80">
        <f t="shared" si="0"/>
        <v>5.0753346090258384E-3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2" ht="15" customHeight="1" x14ac:dyDescent="0.25">
      <c r="A14" s="164"/>
      <c r="B14" s="169" t="s">
        <v>39</v>
      </c>
      <c r="C14" s="177">
        <v>216</v>
      </c>
      <c r="D14" s="173">
        <v>325.8</v>
      </c>
      <c r="E14" s="80">
        <f t="shared" si="0"/>
        <v>5.2994808525755339E-2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  <c r="L14" s="162">
        <f>+I14/H2</f>
        <v>1.1009614266940673</v>
      </c>
    </row>
    <row r="15" spans="1:12" ht="15" customHeight="1" x14ac:dyDescent="0.25">
      <c r="A15" s="164"/>
      <c r="B15" s="169" t="s">
        <v>43</v>
      </c>
      <c r="C15" s="177">
        <v>302</v>
      </c>
      <c r="D15" s="173">
        <v>455.54000000000008</v>
      </c>
      <c r="E15" s="80">
        <f t="shared" si="0"/>
        <v>7.4098388814679533E-2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  <c r="L15" s="162">
        <f>+I15/I2</f>
        <v>1.0467349639244472</v>
      </c>
    </row>
    <row r="16" spans="1:12" ht="15" customHeight="1" x14ac:dyDescent="0.25">
      <c r="A16" s="164"/>
      <c r="B16" s="169" t="s">
        <v>49</v>
      </c>
      <c r="C16" s="177">
        <v>85</v>
      </c>
      <c r="D16" s="173">
        <v>127.61000000000001</v>
      </c>
      <c r="E16" s="80">
        <f t="shared" si="0"/>
        <v>2.0757113308691344E-2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  <c r="L16" s="162">
        <f>+I16/J2</f>
        <v>1.1759859633208019</v>
      </c>
    </row>
    <row r="17" spans="1:11" ht="15" customHeight="1" x14ac:dyDescent="0.25">
      <c r="A17" s="164"/>
      <c r="B17" s="169" t="s">
        <v>45</v>
      </c>
      <c r="C17" s="177">
        <v>23</v>
      </c>
      <c r="D17" s="173">
        <v>34.51</v>
      </c>
      <c r="E17" s="80">
        <f t="shared" si="0"/>
        <v>5.6134157219883875E-3</v>
      </c>
      <c r="F17" s="112" t="s">
        <v>111</v>
      </c>
      <c r="G17" s="190">
        <v>205343.72800000012</v>
      </c>
      <c r="H17" s="190">
        <v>198970.75799999986</v>
      </c>
      <c r="I17" s="190">
        <f>+D24</f>
        <v>200749.27100000001</v>
      </c>
      <c r="J17" s="456">
        <f t="shared" si="2"/>
        <v>0.96896437956945902</v>
      </c>
      <c r="K17" s="456">
        <f t="shared" si="2"/>
        <v>1.0089385647312061</v>
      </c>
    </row>
    <row r="18" spans="1:11" ht="15" customHeight="1" x14ac:dyDescent="0.25">
      <c r="A18" s="164"/>
      <c r="B18" s="169" t="s">
        <v>41</v>
      </c>
      <c r="C18" s="177">
        <v>102</v>
      </c>
      <c r="D18" s="173">
        <v>153.25</v>
      </c>
      <c r="E18" s="80">
        <f t="shared" si="0"/>
        <v>2.49277299158134E-2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88</v>
      </c>
      <c r="C19" s="177">
        <v>41</v>
      </c>
      <c r="D19" s="173">
        <v>62.45</v>
      </c>
      <c r="E19" s="80">
        <f t="shared" si="0"/>
        <v>1.0158151603540274E-2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40</v>
      </c>
      <c r="C20" s="177"/>
      <c r="D20" s="173">
        <v>388.29000000000008</v>
      </c>
      <c r="E20" s="80">
        <f t="shared" si="0"/>
        <v>6.3159466551459625E-2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9</v>
      </c>
      <c r="C21" s="177"/>
      <c r="D21" s="173">
        <v>31.85</v>
      </c>
      <c r="E21" s="80">
        <f t="shared" si="0"/>
        <v>5.1807386480825892E-3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thickBot="1" x14ac:dyDescent="0.3">
      <c r="A22" s="164"/>
      <c r="B22" s="169" t="s">
        <v>46</v>
      </c>
      <c r="C22" s="177"/>
      <c r="D22" s="173">
        <v>182.20999999999998</v>
      </c>
      <c r="E22" s="80"/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thickBot="1" x14ac:dyDescent="0.3">
      <c r="A23" s="164"/>
      <c r="B23" s="178" t="s">
        <v>0</v>
      </c>
      <c r="C23" s="170"/>
      <c r="D23" s="171">
        <f>SUM(D5:D22)</f>
        <v>6147.7720000000008</v>
      </c>
      <c r="E23" s="80"/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x14ac:dyDescent="0.25">
      <c r="A24" s="164"/>
      <c r="B24" s="166" t="s">
        <v>1</v>
      </c>
      <c r="C24" s="167"/>
      <c r="D24" s="233">
        <v>200749.27100000001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878799.90699999989</v>
      </c>
      <c r="J26" s="378"/>
      <c r="K26" s="378">
        <f>+I26/H26</f>
        <v>1.1417458008668935</v>
      </c>
    </row>
    <row r="27" spans="1:11" ht="19.5" thickBot="1" x14ac:dyDescent="0.3">
      <c r="E27" s="313">
        <f>+D24/K2</f>
        <v>0.9019317987401092</v>
      </c>
      <c r="G27" s="379" t="s">
        <v>229</v>
      </c>
      <c r="H27" s="380"/>
      <c r="I27" s="380">
        <v>2726927.1277059279</v>
      </c>
      <c r="J27" s="381">
        <f>+I26/H26</f>
        <v>1.1417458008668935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97">
        <v>27</v>
      </c>
      <c r="D29" s="108">
        <f>K3*C29</f>
        <v>200319.29703818011</v>
      </c>
      <c r="E29" s="314">
        <f>+D29/K2</f>
        <v>0.9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+D24-D29</f>
        <v>429.97396181989461</v>
      </c>
      <c r="E30" s="99">
        <f>E27-E29</f>
        <v>1.9317987401091807E-3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5" customHeight="1" thickBot="1" x14ac:dyDescent="0.3">
      <c r="H31" s="420" t="s">
        <v>286</v>
      </c>
      <c r="I31" s="421">
        <f>+I17/H17</f>
        <v>1.0089385647312061</v>
      </c>
      <c r="J31" s="422">
        <f>+I17-H17</f>
        <v>1778.5130000001518</v>
      </c>
      <c r="K31" s="459">
        <f>J28+J31+J30+J29</f>
        <v>109101.51500000019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1580</v>
      </c>
      <c r="D33" s="108">
        <v>2142</v>
      </c>
      <c r="E33" s="57">
        <f>+C33/D33</f>
        <v>0.73762838468720826</v>
      </c>
      <c r="G33" s="86" t="s">
        <v>86</v>
      </c>
      <c r="H33" s="87">
        <f>496+8502</f>
        <v>8998</v>
      </c>
      <c r="I33" s="88">
        <f>+H33*0.025</f>
        <v>224.95000000000002</v>
      </c>
      <c r="J33" s="224"/>
      <c r="K33" s="68"/>
    </row>
    <row r="34" spans="1:11" ht="15" customHeight="1" x14ac:dyDescent="0.25">
      <c r="B34" s="162" t="s">
        <v>62</v>
      </c>
      <c r="C34" s="162">
        <v>1030</v>
      </c>
      <c r="D34" s="108">
        <v>1890</v>
      </c>
      <c r="E34" s="57">
        <f>+C34/D34</f>
        <v>0.544973544973545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ht="15" customHeight="1" x14ac:dyDescent="0.25">
      <c r="B35" s="162" t="s">
        <v>63</v>
      </c>
      <c r="C35" s="67">
        <v>1457</v>
      </c>
      <c r="D35" s="108">
        <v>3006</v>
      </c>
      <c r="E35" s="57">
        <f>+C35/D35</f>
        <v>0.48469727212242181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4067</v>
      </c>
      <c r="D36" s="110">
        <f>+SUM(D33:D35)</f>
        <v>7038</v>
      </c>
      <c r="E36" s="57">
        <f>+C36/D36</f>
        <v>0.57786302926967892</v>
      </c>
      <c r="G36" s="89" t="s">
        <v>169</v>
      </c>
      <c r="H36" s="87">
        <v>68</v>
      </c>
      <c r="I36" s="88">
        <f>+H36*1.5</f>
        <v>102</v>
      </c>
      <c r="J36" s="298">
        <f>+I36+I33+I34+I35</f>
        <v>351.25</v>
      </c>
    </row>
    <row r="37" spans="1:11" x14ac:dyDescent="0.25">
      <c r="G37" s="89" t="s">
        <v>168</v>
      </c>
      <c r="H37" s="87">
        <v>251</v>
      </c>
      <c r="I37" s="88">
        <f>+H37*1.5</f>
        <v>376.5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22</v>
      </c>
      <c r="C40" s="74">
        <v>5</v>
      </c>
      <c r="D40" s="74">
        <v>11</v>
      </c>
      <c r="E40" s="75">
        <f>+SUM(B40:D40)</f>
        <v>38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1.1000000000000001</v>
      </c>
      <c r="C44" s="199">
        <v>2079</v>
      </c>
      <c r="D44" s="200">
        <v>3600</v>
      </c>
      <c r="E44" s="201">
        <f t="shared" si="3"/>
        <v>0.57750000000000001</v>
      </c>
      <c r="F44" s="201">
        <f t="shared" si="4"/>
        <v>4.5833333333333337E-2</v>
      </c>
      <c r="G44" s="202">
        <v>12</v>
      </c>
      <c r="H44" s="71"/>
    </row>
    <row r="45" spans="1:11" x14ac:dyDescent="0.25">
      <c r="A45" s="207" t="s">
        <v>72</v>
      </c>
      <c r="B45" s="199">
        <v>7.13</v>
      </c>
      <c r="C45" s="199">
        <v>3091</v>
      </c>
      <c r="D45" s="200">
        <v>3900</v>
      </c>
      <c r="E45" s="201">
        <f t="shared" si="3"/>
        <v>0.79256410256410259</v>
      </c>
      <c r="F45" s="201">
        <f t="shared" si="4"/>
        <v>0.29708333333333331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8.35</v>
      </c>
      <c r="C46" s="199">
        <v>3095</v>
      </c>
      <c r="D46" s="200">
        <v>3900</v>
      </c>
      <c r="E46" s="201">
        <f t="shared" si="3"/>
        <v>0.79358974358974355</v>
      </c>
      <c r="F46" s="201">
        <f t="shared" si="4"/>
        <v>0.34791666666666665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12.76</v>
      </c>
      <c r="C47" s="199">
        <v>1413</v>
      </c>
      <c r="D47" s="200">
        <v>3900</v>
      </c>
      <c r="E47" s="201">
        <f t="shared" si="3"/>
        <v>0.36230769230769233</v>
      </c>
      <c r="F47" s="201">
        <f t="shared" si="4"/>
        <v>0.53166666666666662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11.57</v>
      </c>
      <c r="C48" s="261">
        <v>2167</v>
      </c>
      <c r="D48" s="262">
        <v>4300</v>
      </c>
      <c r="E48" s="263">
        <f t="shared" si="3"/>
        <v>0.50395348837209297</v>
      </c>
      <c r="F48" s="201">
        <f t="shared" si="4"/>
        <v>0.48208333333333336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1" si="5">+J48*1.5</f>
        <v>129</v>
      </c>
    </row>
    <row r="49" spans="2:11" x14ac:dyDescent="0.25">
      <c r="B49" s="113">
        <f>+SUM(B43:B48)</f>
        <v>40.909999999999997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5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5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5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10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4</v>
      </c>
    </row>
    <row r="59" spans="2:11" x14ac:dyDescent="0.25">
      <c r="H59" s="359" t="s">
        <v>233</v>
      </c>
      <c r="I59" s="345"/>
      <c r="J59" s="199">
        <f>+J50+J51</f>
        <v>234</v>
      </c>
      <c r="K59" s="346">
        <f>+J59*1.5</f>
        <v>351</v>
      </c>
    </row>
    <row r="60" spans="2:11" x14ac:dyDescent="0.25">
      <c r="B60" s="364" t="s">
        <v>231</v>
      </c>
      <c r="C60" s="199">
        <v>1953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6">+F65*1.5</f>
        <v>97.5</v>
      </c>
      <c r="H65" s="301">
        <v>46129</v>
      </c>
      <c r="I65" s="129" t="s">
        <v>175</v>
      </c>
      <c r="J65" s="162">
        <v>5040</v>
      </c>
      <c r="K65" s="318">
        <f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6"/>
        <v>282</v>
      </c>
      <c r="H66" s="301">
        <v>46132</v>
      </c>
      <c r="I66" s="129" t="s">
        <v>175</v>
      </c>
      <c r="J66" s="162">
        <v>5136</v>
      </c>
      <c r="K66" s="318">
        <f>+J66*0.025</f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6"/>
        <v>3</v>
      </c>
      <c r="H67" s="301">
        <v>46132</v>
      </c>
      <c r="I67" s="129" t="s">
        <v>176</v>
      </c>
      <c r="J67" s="162">
        <v>5941</v>
      </c>
      <c r="K67" s="318">
        <f>+J67*0.025</f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6"/>
        <v>300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6"/>
        <v>250.5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 t="s">
        <v>295</v>
      </c>
      <c r="E70" s="129"/>
      <c r="F70" s="71">
        <f>+G70/1.5</f>
        <v>712.18</v>
      </c>
      <c r="G70" s="297">
        <f>663.27+(270*1.5)</f>
        <v>1068.27</v>
      </c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/>
      <c r="E73" s="129"/>
      <c r="F73" s="71"/>
      <c r="G73" s="297"/>
      <c r="H73" s="301"/>
      <c r="I73" s="129"/>
      <c r="K73" s="318"/>
    </row>
    <row r="74" spans="2:11" x14ac:dyDescent="0.25">
      <c r="D74" s="301"/>
      <c r="E74" s="129"/>
      <c r="F74" s="71"/>
      <c r="G74" s="297"/>
      <c r="H74" s="301"/>
      <c r="I74" s="129"/>
      <c r="K74" s="318"/>
    </row>
    <row r="75" spans="2:11" x14ac:dyDescent="0.25">
      <c r="D75" s="301"/>
      <c r="E75" s="129"/>
      <c r="F75" s="71"/>
      <c r="G75" s="297"/>
      <c r="H75" s="301"/>
      <c r="I75" s="129"/>
      <c r="K75" s="318"/>
    </row>
    <row r="76" spans="2:11" x14ac:dyDescent="0.25">
      <c r="D76" s="431" t="s">
        <v>224</v>
      </c>
      <c r="E76" s="345"/>
      <c r="F76" s="435">
        <f>+F70</f>
        <v>712.18</v>
      </c>
      <c r="G76" s="436">
        <f>+F76*1.5</f>
        <v>1068.27</v>
      </c>
      <c r="H76" s="431" t="s">
        <v>293</v>
      </c>
      <c r="I76" s="345"/>
      <c r="J76" s="200">
        <f>+J67+J66+J65</f>
        <v>16117</v>
      </c>
      <c r="K76" s="346">
        <f>+J76*0.025</f>
        <v>402.92500000000001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6"/>
  <sheetViews>
    <sheetView topLeftCell="A22" workbookViewId="0">
      <selection activeCell="A28" sqref="A28:K76"/>
    </sheetView>
  </sheetViews>
  <sheetFormatPr baseColWidth="10" defaultColWidth="11.42578125" defaultRowHeight="15.75" x14ac:dyDescent="0.25"/>
  <cols>
    <col min="1" max="1" width="2.42578125" style="162" customWidth="1"/>
    <col min="2" max="2" width="42.85546875" style="162" customWidth="1"/>
    <col min="3" max="3" width="6.28515625" style="162" bestFit="1" customWidth="1"/>
    <col min="4" max="4" width="12" style="163" bestFit="1" customWidth="1"/>
    <col min="5" max="5" width="17.140625" style="162" customWidth="1"/>
    <col min="6" max="6" width="16.85546875" style="162" customWidth="1"/>
    <col min="7" max="7" width="16.140625" style="162" customWidth="1"/>
    <col min="8" max="8" width="18.85546875" style="162" bestFit="1" customWidth="1"/>
    <col min="9" max="10" width="11.42578125" style="162"/>
    <col min="11" max="11" width="7.85546875" style="162" bestFit="1" customWidth="1"/>
    <col min="12" max="16384" width="11.42578125" style="162"/>
  </cols>
  <sheetData>
    <row r="1" spans="1:12" ht="15" customHeight="1" x14ac:dyDescent="0.25">
      <c r="A1" s="161"/>
      <c r="B1" s="518">
        <v>46140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2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2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2" ht="19.5" customHeight="1" thickBot="1" x14ac:dyDescent="0.4">
      <c r="A4" s="164"/>
      <c r="B4" s="498"/>
      <c r="C4" s="498"/>
      <c r="D4" s="165">
        <f>D25</f>
        <v>9367.0400000000009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2" ht="15" customHeight="1" x14ac:dyDescent="0.25">
      <c r="A5" s="164"/>
      <c r="B5" s="168" t="s">
        <v>6</v>
      </c>
      <c r="C5" s="176">
        <v>3913</v>
      </c>
      <c r="D5" s="172">
        <v>166.85</v>
      </c>
      <c r="E5" s="80">
        <f t="shared" ref="E5:E25" si="0">+D5/$D$4</f>
        <v>1.7812457297075701E-2</v>
      </c>
      <c r="F5" s="58" t="s">
        <v>51</v>
      </c>
      <c r="G5" s="59">
        <v>46139</v>
      </c>
      <c r="H5" s="190">
        <v>6265.9999999999991</v>
      </c>
      <c r="I5" s="141">
        <v>6147.7720000000008</v>
      </c>
      <c r="J5" s="60">
        <f t="shared" ref="J5:J12" si="1">+I5/H5</f>
        <v>0.98113182253431241</v>
      </c>
    </row>
    <row r="6" spans="1:12" ht="15" customHeight="1" x14ac:dyDescent="0.25">
      <c r="A6" s="164"/>
      <c r="B6" s="169" t="s">
        <v>10</v>
      </c>
      <c r="C6" s="177">
        <v>14918</v>
      </c>
      <c r="D6" s="173">
        <v>636.9799999999999</v>
      </c>
      <c r="E6" s="80">
        <f t="shared" si="0"/>
        <v>6.8002271795572541E-2</v>
      </c>
      <c r="F6" s="58" t="s">
        <v>52</v>
      </c>
      <c r="G6" s="59">
        <v>46140</v>
      </c>
      <c r="H6" s="190">
        <v>9033</v>
      </c>
      <c r="I6" s="141">
        <v>9367.0400000000009</v>
      </c>
      <c r="J6" s="60">
        <f t="shared" si="1"/>
        <v>1.0369799623602347</v>
      </c>
    </row>
    <row r="7" spans="1:12" ht="15" customHeight="1" x14ac:dyDescent="0.25">
      <c r="A7" s="164"/>
      <c r="B7" s="169" t="s">
        <v>35</v>
      </c>
      <c r="C7" s="177">
        <v>31763</v>
      </c>
      <c r="D7" s="173">
        <v>1355.4860000000003</v>
      </c>
      <c r="E7" s="245">
        <f t="shared" si="0"/>
        <v>0.14470804010658653</v>
      </c>
      <c r="F7" s="58" t="s">
        <v>53</v>
      </c>
      <c r="G7" s="59">
        <v>46141</v>
      </c>
      <c r="H7" s="190">
        <v>9505</v>
      </c>
      <c r="I7" s="141"/>
      <c r="J7" s="60">
        <f t="shared" si="1"/>
        <v>0</v>
      </c>
    </row>
    <row r="8" spans="1:12" ht="15" customHeight="1" x14ac:dyDescent="0.25">
      <c r="A8" s="164"/>
      <c r="B8" s="169" t="s">
        <v>4</v>
      </c>
      <c r="C8" s="177">
        <v>3920</v>
      </c>
      <c r="D8" s="173">
        <v>167.39000000000001</v>
      </c>
      <c r="E8" s="80">
        <f t="shared" si="0"/>
        <v>1.7870106244875648E-2</v>
      </c>
      <c r="F8" s="58" t="s">
        <v>54</v>
      </c>
      <c r="G8" s="59">
        <v>46142</v>
      </c>
      <c r="H8" s="190">
        <v>8881</v>
      </c>
      <c r="I8" s="141"/>
      <c r="J8" s="60">
        <f t="shared" si="1"/>
        <v>0</v>
      </c>
    </row>
    <row r="9" spans="1:12" ht="15" customHeight="1" x14ac:dyDescent="0.25">
      <c r="A9" s="164"/>
      <c r="B9" s="169" t="s">
        <v>37</v>
      </c>
      <c r="C9" s="177">
        <v>47017</v>
      </c>
      <c r="D9" s="173">
        <v>2007.7400000000002</v>
      </c>
      <c r="E9" s="245">
        <f t="shared" si="0"/>
        <v>0.21434092306641159</v>
      </c>
      <c r="F9" s="58" t="s">
        <v>55</v>
      </c>
      <c r="G9" s="59">
        <v>46143</v>
      </c>
      <c r="H9" s="190">
        <v>6314</v>
      </c>
      <c r="I9" s="141"/>
      <c r="J9" s="60">
        <f t="shared" si="1"/>
        <v>0</v>
      </c>
    </row>
    <row r="10" spans="1:12" ht="15" customHeight="1" x14ac:dyDescent="0.25">
      <c r="A10" s="164"/>
      <c r="B10" s="169" t="s">
        <v>38</v>
      </c>
      <c r="C10" s="177">
        <v>44127</v>
      </c>
      <c r="D10" s="173">
        <v>1883.91</v>
      </c>
      <c r="E10" s="245">
        <f t="shared" si="0"/>
        <v>0.20112116527739818</v>
      </c>
      <c r="F10" s="58" t="s">
        <v>56</v>
      </c>
      <c r="G10" s="59">
        <v>46144</v>
      </c>
      <c r="H10" s="190">
        <v>7362</v>
      </c>
      <c r="I10" s="141"/>
      <c r="J10" s="60">
        <f t="shared" si="1"/>
        <v>0</v>
      </c>
    </row>
    <row r="11" spans="1:12" ht="15" customHeight="1" x14ac:dyDescent="0.25">
      <c r="A11" s="164"/>
      <c r="B11" s="169" t="s">
        <v>42</v>
      </c>
      <c r="C11" s="177">
        <v>9293</v>
      </c>
      <c r="D11" s="173">
        <v>396.80800000000005</v>
      </c>
      <c r="E11" s="80">
        <f t="shared" si="0"/>
        <v>4.2362154960371691E-2</v>
      </c>
      <c r="F11" s="58" t="s">
        <v>57</v>
      </c>
      <c r="G11" s="59">
        <v>46145</v>
      </c>
      <c r="H11" s="190">
        <v>4900</v>
      </c>
      <c r="I11" s="141"/>
      <c r="J11" s="60">
        <f t="shared" si="1"/>
        <v>0</v>
      </c>
    </row>
    <row r="12" spans="1:12" ht="15" customHeight="1" x14ac:dyDescent="0.25">
      <c r="A12" s="164"/>
      <c r="B12" s="169" t="s">
        <v>95</v>
      </c>
      <c r="C12" s="177">
        <v>1368</v>
      </c>
      <c r="D12" s="173">
        <v>34.496000000000002</v>
      </c>
      <c r="E12" s="80">
        <f t="shared" si="0"/>
        <v>3.6827001913091006E-3</v>
      </c>
      <c r="H12" s="139">
        <f>+SUM(H5:H11)</f>
        <v>52261</v>
      </c>
      <c r="I12" s="142">
        <f>+SUM(I5:I11)</f>
        <v>15514.812000000002</v>
      </c>
      <c r="J12" s="140">
        <f t="shared" si="1"/>
        <v>0.29687170165132704</v>
      </c>
    </row>
    <row r="13" spans="1:12" ht="15" customHeight="1" x14ac:dyDescent="0.25">
      <c r="A13" s="164"/>
      <c r="B13" s="169" t="s">
        <v>44</v>
      </c>
      <c r="C13" s="177">
        <v>107</v>
      </c>
      <c r="D13" s="173">
        <v>162.12</v>
      </c>
      <c r="E13" s="80">
        <f t="shared" si="0"/>
        <v>1.7307495217272477E-2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2" ht="15" customHeight="1" x14ac:dyDescent="0.25">
      <c r="A14" s="164"/>
      <c r="B14" s="169" t="s">
        <v>39</v>
      </c>
      <c r="C14" s="177">
        <v>428</v>
      </c>
      <c r="D14" s="173">
        <v>647.1400000000001</v>
      </c>
      <c r="E14" s="80">
        <f t="shared" si="0"/>
        <v>6.9086926072697466E-2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  <c r="L14" s="162">
        <f>+I14/H2</f>
        <v>1.1009614266940673</v>
      </c>
    </row>
    <row r="15" spans="1:12" ht="15" customHeight="1" x14ac:dyDescent="0.25">
      <c r="A15" s="164"/>
      <c r="B15" s="169" t="s">
        <v>43</v>
      </c>
      <c r="C15" s="177">
        <v>339</v>
      </c>
      <c r="D15" s="173">
        <v>511.83000000000004</v>
      </c>
      <c r="E15" s="80">
        <f t="shared" si="0"/>
        <v>5.4641594356381523E-2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  <c r="L15" s="162">
        <f>+I15/I2</f>
        <v>1.0467349639244472</v>
      </c>
    </row>
    <row r="16" spans="1:12" ht="15" customHeight="1" x14ac:dyDescent="0.25">
      <c r="A16" s="164"/>
      <c r="B16" s="169" t="s">
        <v>85</v>
      </c>
      <c r="C16" s="177">
        <v>24</v>
      </c>
      <c r="D16" s="173">
        <v>36.21</v>
      </c>
      <c r="E16" s="80">
        <f t="shared" si="0"/>
        <v>3.8656822219185565E-3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  <c r="L16" s="162">
        <f>+I16/J2</f>
        <v>1.1759859633208019</v>
      </c>
    </row>
    <row r="17" spans="1:11" ht="15" customHeight="1" x14ac:dyDescent="0.25">
      <c r="A17" s="164"/>
      <c r="B17" s="169" t="s">
        <v>49</v>
      </c>
      <c r="C17" s="177">
        <v>20</v>
      </c>
      <c r="D17" s="173">
        <v>30.07</v>
      </c>
      <c r="E17" s="80">
        <f t="shared" si="0"/>
        <v>3.2101923339710303E-3</v>
      </c>
      <c r="F17" s="112" t="s">
        <v>111</v>
      </c>
      <c r="G17" s="190">
        <v>205343.72800000012</v>
      </c>
      <c r="H17" s="190">
        <v>198970.75799999986</v>
      </c>
      <c r="I17" s="190">
        <f>+D26</f>
        <v>210116.31099999993</v>
      </c>
      <c r="J17" s="456">
        <f t="shared" si="2"/>
        <v>0.96896437956945902</v>
      </c>
      <c r="K17" s="456">
        <f t="shared" si="2"/>
        <v>1.0560160352809234</v>
      </c>
    </row>
    <row r="18" spans="1:11" ht="15" customHeight="1" x14ac:dyDescent="0.25">
      <c r="A18" s="164"/>
      <c r="B18" s="169" t="s">
        <v>45</v>
      </c>
      <c r="C18" s="177">
        <v>21</v>
      </c>
      <c r="D18" s="173">
        <v>31.51</v>
      </c>
      <c r="E18" s="80">
        <f t="shared" si="0"/>
        <v>3.3639228614375512E-3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41</v>
      </c>
      <c r="C19" s="177">
        <v>146</v>
      </c>
      <c r="D19" s="173">
        <v>219.47000000000003</v>
      </c>
      <c r="E19" s="80">
        <f t="shared" si="0"/>
        <v>2.3430026988248157E-2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88</v>
      </c>
      <c r="C20" s="177">
        <v>40</v>
      </c>
      <c r="D20" s="173">
        <v>60.33</v>
      </c>
      <c r="E20" s="80">
        <f t="shared" si="0"/>
        <v>6.4406685569827812E-3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490.44</v>
      </c>
      <c r="E21" s="80">
        <f t="shared" si="0"/>
        <v>5.2358055479639239E-2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32.92</v>
      </c>
      <c r="E22" s="80">
        <f t="shared" si="0"/>
        <v>3.5144506695818528E-3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151.63999999999999</v>
      </c>
      <c r="E23" s="80">
        <f t="shared" si="0"/>
        <v>1.6188678600710573E-2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343.7</v>
      </c>
      <c r="E24" s="80">
        <f t="shared" si="0"/>
        <v>3.6692487701557801E-2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thickBot="1" x14ac:dyDescent="0.3">
      <c r="A25" s="164"/>
      <c r="B25" s="178" t="s">
        <v>0</v>
      </c>
      <c r="C25" s="170"/>
      <c r="D25" s="171">
        <f>SUM(D5:D24)</f>
        <v>9367.0400000000009</v>
      </c>
      <c r="E25" s="80">
        <f t="shared" si="0"/>
        <v>1</v>
      </c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A26" s="164"/>
      <c r="B26" s="166" t="s">
        <v>1</v>
      </c>
      <c r="C26" s="167"/>
      <c r="D26" s="233">
        <v>210116.31099999993</v>
      </c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888166.94699999993</v>
      </c>
      <c r="J26" s="378"/>
      <c r="K26" s="378">
        <f>+I26/H26</f>
        <v>1.1539155547566744</v>
      </c>
    </row>
    <row r="27" spans="1:11" ht="19.5" thickBot="1" x14ac:dyDescent="0.3">
      <c r="E27" s="313">
        <f>+D26/K2</f>
        <v>0.94401629147069788</v>
      </c>
      <c r="G27" s="379" t="s">
        <v>229</v>
      </c>
      <c r="H27" s="380"/>
      <c r="I27" s="380">
        <v>2726927.1277059279</v>
      </c>
      <c r="J27" s="381">
        <f>+I26/H26</f>
        <v>1.1539155547566744</v>
      </c>
      <c r="K27" s="179"/>
    </row>
    <row r="28" spans="1:11" ht="15" customHeight="1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499">
        <v>28</v>
      </c>
      <c r="D29" s="108">
        <f>K3*C29</f>
        <v>207738.5302618164</v>
      </c>
      <c r="E29" s="314">
        <f>+D29/K2</f>
        <v>0.93333333333333335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+D26-D29</f>
        <v>2377.78073818353</v>
      </c>
      <c r="E30" s="99">
        <f>E27-E29</f>
        <v>1.0682958137364529E-2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5" customHeight="1" thickBot="1" x14ac:dyDescent="0.3">
      <c r="H31" s="420" t="s">
        <v>286</v>
      </c>
      <c r="I31" s="421">
        <f>+I17/H17</f>
        <v>1.0560160352809234</v>
      </c>
      <c r="J31" s="422">
        <f>+I17-H17</f>
        <v>11145.553000000073</v>
      </c>
      <c r="K31" s="459">
        <f>J28+J31+J30+J29</f>
        <v>118468.55500000011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1376</v>
      </c>
      <c r="D33" s="108">
        <v>2142</v>
      </c>
      <c r="E33" s="57">
        <f>+C33/D33</f>
        <v>0.64239028944911303</v>
      </c>
      <c r="G33" s="86" t="s">
        <v>86</v>
      </c>
      <c r="H33" s="87">
        <f>1008+7142</f>
        <v>8150</v>
      </c>
      <c r="I33" s="88">
        <f>+H33*0.025</f>
        <v>203.75</v>
      </c>
      <c r="J33" s="224"/>
      <c r="K33" s="68"/>
    </row>
    <row r="34" spans="1:11" ht="15" customHeight="1" x14ac:dyDescent="0.25">
      <c r="B34" s="162" t="s">
        <v>62</v>
      </c>
      <c r="C34" s="162">
        <v>914</v>
      </c>
      <c r="D34" s="108">
        <v>1890</v>
      </c>
      <c r="E34" s="57">
        <f>+C34/D34</f>
        <v>0.48359788359788358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ht="15" customHeight="1" x14ac:dyDescent="0.25">
      <c r="B35" s="162" t="s">
        <v>63</v>
      </c>
      <c r="C35" s="67">
        <v>1651</v>
      </c>
      <c r="D35" s="108">
        <v>3006</v>
      </c>
      <c r="E35" s="57">
        <f>+C35/D35</f>
        <v>0.54923486360612106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3941</v>
      </c>
      <c r="D36" s="110">
        <f>+SUM(D33:D35)</f>
        <v>7038</v>
      </c>
      <c r="E36" s="57">
        <f>+C36/D36</f>
        <v>0.5599602159704461</v>
      </c>
      <c r="G36" s="89" t="s">
        <v>169</v>
      </c>
      <c r="H36" s="87">
        <v>17</v>
      </c>
      <c r="I36" s="88">
        <f>+H36*1.5</f>
        <v>25.5</v>
      </c>
      <c r="J36" s="298">
        <f>+I36+I33+I34+I35</f>
        <v>253.55</v>
      </c>
    </row>
    <row r="37" spans="1:11" x14ac:dyDescent="0.25">
      <c r="G37" s="89" t="s">
        <v>168</v>
      </c>
      <c r="H37" s="87">
        <v>203</v>
      </c>
      <c r="I37" s="88">
        <f>+H37*1.5</f>
        <v>304.5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23</v>
      </c>
      <c r="C40" s="74">
        <v>5</v>
      </c>
      <c r="D40" s="74">
        <v>15</v>
      </c>
      <c r="E40" s="75">
        <f>+SUM(B40:D40)</f>
        <v>43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3.65</v>
      </c>
      <c r="C44" s="199">
        <v>2301</v>
      </c>
      <c r="D44" s="200">
        <v>3600</v>
      </c>
      <c r="E44" s="201">
        <f t="shared" si="3"/>
        <v>0.63916666666666666</v>
      </c>
      <c r="F44" s="201">
        <f t="shared" si="4"/>
        <v>0.15208333333333332</v>
      </c>
      <c r="G44" s="202">
        <v>12</v>
      </c>
      <c r="H44" s="71"/>
    </row>
    <row r="45" spans="1:11" x14ac:dyDescent="0.25">
      <c r="A45" s="207" t="s">
        <v>72</v>
      </c>
      <c r="B45" s="199">
        <v>10.06</v>
      </c>
      <c r="C45" s="199">
        <v>3168</v>
      </c>
      <c r="D45" s="200">
        <v>3900</v>
      </c>
      <c r="E45" s="201">
        <f t="shared" si="3"/>
        <v>0.81230769230769229</v>
      </c>
      <c r="F45" s="201">
        <f t="shared" si="4"/>
        <v>0.41916666666666669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11.6</v>
      </c>
      <c r="C46" s="199">
        <v>2941</v>
      </c>
      <c r="D46" s="200">
        <v>3900</v>
      </c>
      <c r="E46" s="201">
        <f t="shared" si="3"/>
        <v>0.75410256410256415</v>
      </c>
      <c r="F46" s="201">
        <f t="shared" si="4"/>
        <v>0.48333333333333334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16.41</v>
      </c>
      <c r="C47" s="199">
        <v>2174</v>
      </c>
      <c r="D47" s="200">
        <v>3900</v>
      </c>
      <c r="E47" s="201">
        <f t="shared" si="3"/>
        <v>0.55743589743589739</v>
      </c>
      <c r="F47" s="201">
        <f t="shared" si="4"/>
        <v>0.68374999999999997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17.43</v>
      </c>
      <c r="C48" s="261">
        <v>2455</v>
      </c>
      <c r="D48" s="262">
        <v>4300</v>
      </c>
      <c r="E48" s="263">
        <f t="shared" si="3"/>
        <v>0.57093023255813957</v>
      </c>
      <c r="F48" s="201">
        <f t="shared" si="4"/>
        <v>0.72624999999999995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1" si="5">+J48*1.5</f>
        <v>129</v>
      </c>
    </row>
    <row r="49" spans="2:11" x14ac:dyDescent="0.25">
      <c r="B49" s="113">
        <f>+SUM(B43:B48)</f>
        <v>59.15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5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5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5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/>
      <c r="I52" s="129"/>
      <c r="K52" s="318"/>
    </row>
    <row r="53" spans="2:11" x14ac:dyDescent="0.25">
      <c r="C53" s="71">
        <v>3</v>
      </c>
      <c r="D53" s="108">
        <v>0</v>
      </c>
      <c r="E53" s="225" t="s">
        <v>250</v>
      </c>
      <c r="H53" s="301"/>
      <c r="I53" s="129"/>
      <c r="K53" s="318"/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2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13</v>
      </c>
    </row>
    <row r="59" spans="2:11" x14ac:dyDescent="0.25">
      <c r="H59" s="359" t="s">
        <v>233</v>
      </c>
      <c r="I59" s="345"/>
      <c r="J59" s="199">
        <f>+J50+J51</f>
        <v>234</v>
      </c>
      <c r="K59" s="346">
        <f>+J59*1.5</f>
        <v>351</v>
      </c>
    </row>
    <row r="60" spans="2:11" x14ac:dyDescent="0.25">
      <c r="B60" s="364" t="s">
        <v>231</v>
      </c>
      <c r="C60" s="199">
        <v>2416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6">+F65*1.5</f>
        <v>97.5</v>
      </c>
      <c r="H65" s="301">
        <v>46129</v>
      </c>
      <c r="I65" s="129" t="s">
        <v>175</v>
      </c>
      <c r="J65" s="162">
        <v>5040</v>
      </c>
      <c r="K65" s="318">
        <f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6"/>
        <v>282</v>
      </c>
      <c r="H66" s="301">
        <v>46132</v>
      </c>
      <c r="I66" s="129" t="s">
        <v>175</v>
      </c>
      <c r="J66" s="162">
        <v>5136</v>
      </c>
      <c r="K66" s="318">
        <f>+J66*0.025</f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6"/>
        <v>3</v>
      </c>
      <c r="H67" s="301">
        <v>46132</v>
      </c>
      <c r="I67" s="129" t="s">
        <v>176</v>
      </c>
      <c r="J67" s="162">
        <v>5941</v>
      </c>
      <c r="K67" s="318">
        <f>+J67*0.025</f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6"/>
        <v>300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6"/>
        <v>250.5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 t="s">
        <v>295</v>
      </c>
      <c r="E70" s="129"/>
      <c r="F70" s="71">
        <f>+G70/1.5</f>
        <v>712.18</v>
      </c>
      <c r="G70" s="297">
        <f>663.27+(270*1.5)</f>
        <v>1068.27</v>
      </c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/>
      <c r="E73" s="129"/>
      <c r="F73" s="71"/>
      <c r="G73" s="297"/>
      <c r="H73" s="301"/>
      <c r="I73" s="129"/>
      <c r="K73" s="318"/>
    </row>
    <row r="74" spans="2:11" x14ac:dyDescent="0.25">
      <c r="D74" s="301"/>
      <c r="E74" s="129"/>
      <c r="F74" s="71"/>
      <c r="G74" s="297"/>
      <c r="H74" s="301"/>
      <c r="I74" s="129"/>
      <c r="K74" s="318"/>
    </row>
    <row r="75" spans="2:11" x14ac:dyDescent="0.25">
      <c r="D75" s="301"/>
      <c r="E75" s="129"/>
      <c r="F75" s="71"/>
      <c r="G75" s="297"/>
      <c r="H75" s="301"/>
      <c r="I75" s="129"/>
      <c r="K75" s="318"/>
    </row>
    <row r="76" spans="2:11" x14ac:dyDescent="0.25">
      <c r="D76" s="431" t="s">
        <v>224</v>
      </c>
      <c r="E76" s="345"/>
      <c r="F76" s="435">
        <f>+F70</f>
        <v>712.18</v>
      </c>
      <c r="G76" s="436">
        <f>+F76*1.5</f>
        <v>1068.27</v>
      </c>
      <c r="H76" s="431" t="s">
        <v>293</v>
      </c>
      <c r="I76" s="345"/>
      <c r="J76" s="200">
        <f>+J67+J66+J65</f>
        <v>16117</v>
      </c>
      <c r="K76" s="346">
        <f>+J76*0.025</f>
        <v>402.92500000000001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6"/>
  <sheetViews>
    <sheetView workbookViewId="0">
      <selection activeCell="I18" sqref="I18"/>
    </sheetView>
  </sheetViews>
  <sheetFormatPr baseColWidth="10" defaultColWidth="11.42578125" defaultRowHeight="15.75" x14ac:dyDescent="0.25"/>
  <cols>
    <col min="1" max="1" width="2.42578125" style="162" customWidth="1"/>
    <col min="2" max="2" width="45.42578125" style="162" bestFit="1" customWidth="1"/>
    <col min="3" max="3" width="6.28515625" style="162" bestFit="1" customWidth="1"/>
    <col min="4" max="4" width="12" style="163" bestFit="1" customWidth="1"/>
    <col min="5" max="5" width="9.5703125" style="162" bestFit="1" customWidth="1"/>
    <col min="6" max="6" width="16.85546875" style="162" customWidth="1"/>
    <col min="7" max="7" width="16.140625" style="162" customWidth="1"/>
    <col min="8" max="8" width="18.85546875" style="162" bestFit="1" customWidth="1"/>
    <col min="9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 t="s">
        <v>161</v>
      </c>
      <c r="F1" s="307" t="s">
        <v>198</v>
      </c>
      <c r="G1" s="307" t="s">
        <v>199</v>
      </c>
      <c r="H1" s="374">
        <v>46023</v>
      </c>
      <c r="I1" s="374">
        <v>46054</v>
      </c>
      <c r="J1" s="374">
        <v>46082</v>
      </c>
      <c r="K1" s="374">
        <v>46113</v>
      </c>
    </row>
    <row r="2" spans="1:11" x14ac:dyDescent="0.25">
      <c r="E2" s="320">
        <v>236439.93706744793</v>
      </c>
      <c r="F2" s="308">
        <v>227685.55591976581</v>
      </c>
      <c r="G2" s="308">
        <v>219998.21273291102</v>
      </c>
      <c r="H2" s="308">
        <f>+'Plan ventas 2026'!C6</f>
        <v>206828.90469992431</v>
      </c>
      <c r="I2" s="308">
        <f>+'Plan ventas 2026'!D6</f>
        <v>194544.91062046765</v>
      </c>
      <c r="J2" s="308">
        <f>+'Plan ventas 2026'!E6</f>
        <v>209783.99206683473</v>
      </c>
      <c r="K2" s="308">
        <f>+'Plan ventas 2026'!F9</f>
        <v>222576.996709089</v>
      </c>
    </row>
    <row r="3" spans="1:11" ht="15" customHeight="1" x14ac:dyDescent="0.25">
      <c r="A3" s="164"/>
      <c r="B3" s="519" t="s">
        <v>36</v>
      </c>
      <c r="C3" s="519"/>
      <c r="D3" s="519"/>
      <c r="E3" s="108">
        <f>+E2/31</f>
        <v>7627.0947441112239</v>
      </c>
      <c r="F3" s="108">
        <f>+F2/30</f>
        <v>7589.5185306588601</v>
      </c>
      <c r="G3" s="108">
        <f>+G2/31</f>
        <v>7096.7165397713234</v>
      </c>
      <c r="H3" s="108">
        <f>+H2/31</f>
        <v>6671.9001516104618</v>
      </c>
      <c r="I3" s="108">
        <f>+I2/28</f>
        <v>6948.0325221595585</v>
      </c>
      <c r="J3" s="108">
        <f>+J2/31</f>
        <v>6767.2255505430558</v>
      </c>
      <c r="K3" s="108">
        <f>+K2/30</f>
        <v>7419.2332236363</v>
      </c>
    </row>
    <row r="4" spans="1:11" ht="19.5" customHeight="1" thickBot="1" x14ac:dyDescent="0.4">
      <c r="A4" s="164"/>
      <c r="B4" s="500"/>
      <c r="C4" s="500"/>
      <c r="D4" s="165">
        <f>D25</f>
        <v>9877.2139999999999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2417</v>
      </c>
      <c r="D5" s="172">
        <v>102.98</v>
      </c>
      <c r="E5" s="80">
        <f t="shared" ref="E5:E25" si="0">+D5/$D$4</f>
        <v>1.0426016890997807E-2</v>
      </c>
      <c r="F5" s="58" t="s">
        <v>51</v>
      </c>
      <c r="G5" s="59">
        <v>46139</v>
      </c>
      <c r="H5" s="190">
        <v>6265.9999999999991</v>
      </c>
      <c r="I5" s="141">
        <v>6147.7720000000008</v>
      </c>
      <c r="J5" s="60">
        <f t="shared" ref="J5:J12" si="1">+I5/H5</f>
        <v>0.98113182253431241</v>
      </c>
    </row>
    <row r="6" spans="1:11" ht="15" customHeight="1" x14ac:dyDescent="0.25">
      <c r="A6" s="164"/>
      <c r="B6" s="169" t="s">
        <v>10</v>
      </c>
      <c r="C6" s="177">
        <v>9445</v>
      </c>
      <c r="D6" s="173">
        <v>402.90199999999999</v>
      </c>
      <c r="E6" s="80">
        <f t="shared" si="0"/>
        <v>4.0791057073381216E-2</v>
      </c>
      <c r="F6" s="58" t="s">
        <v>52</v>
      </c>
      <c r="G6" s="59">
        <v>46140</v>
      </c>
      <c r="H6" s="190">
        <v>9033</v>
      </c>
      <c r="I6" s="141">
        <v>9367.0400000000009</v>
      </c>
      <c r="J6" s="60">
        <f t="shared" si="1"/>
        <v>1.0369799623602347</v>
      </c>
    </row>
    <row r="7" spans="1:11" ht="15" customHeight="1" x14ac:dyDescent="0.25">
      <c r="A7" s="164"/>
      <c r="B7" s="169" t="s">
        <v>35</v>
      </c>
      <c r="C7" s="177">
        <v>29807</v>
      </c>
      <c r="D7" s="173">
        <v>1272.3440000000001</v>
      </c>
      <c r="E7" s="245">
        <f t="shared" si="0"/>
        <v>0.1288160811338096</v>
      </c>
      <c r="F7" s="58" t="s">
        <v>53</v>
      </c>
      <c r="G7" s="59">
        <v>46141</v>
      </c>
      <c r="H7" s="190">
        <v>9505</v>
      </c>
      <c r="I7" s="141">
        <v>9877.2139999999999</v>
      </c>
      <c r="J7" s="60">
        <f t="shared" si="1"/>
        <v>1.0391598106259863</v>
      </c>
    </row>
    <row r="8" spans="1:11" ht="15" customHeight="1" x14ac:dyDescent="0.25">
      <c r="A8" s="164"/>
      <c r="B8" s="169" t="s">
        <v>4</v>
      </c>
      <c r="C8" s="177">
        <v>740</v>
      </c>
      <c r="D8" s="173">
        <v>31.67</v>
      </c>
      <c r="E8" s="80">
        <f t="shared" si="0"/>
        <v>3.2063697313837688E-3</v>
      </c>
      <c r="F8" s="58" t="s">
        <v>54</v>
      </c>
      <c r="G8" s="59">
        <v>46142</v>
      </c>
      <c r="H8" s="190">
        <v>8881</v>
      </c>
      <c r="I8" s="141"/>
      <c r="J8" s="60">
        <f t="shared" si="1"/>
        <v>0</v>
      </c>
    </row>
    <row r="9" spans="1:11" ht="15" customHeight="1" x14ac:dyDescent="0.25">
      <c r="A9" s="164"/>
      <c r="B9" s="169" t="s">
        <v>37</v>
      </c>
      <c r="C9" s="177">
        <v>42595</v>
      </c>
      <c r="D9" s="173">
        <v>1819.0039999999999</v>
      </c>
      <c r="E9" s="245">
        <f t="shared" si="0"/>
        <v>0.18416164720132619</v>
      </c>
      <c r="F9" s="58" t="s">
        <v>55</v>
      </c>
      <c r="G9" s="59">
        <v>46143</v>
      </c>
      <c r="H9" s="190">
        <v>6314</v>
      </c>
      <c r="I9" s="141"/>
      <c r="J9" s="60">
        <f t="shared" si="1"/>
        <v>0</v>
      </c>
    </row>
    <row r="10" spans="1:11" ht="15" customHeight="1" x14ac:dyDescent="0.25">
      <c r="A10" s="164"/>
      <c r="B10" s="169" t="s">
        <v>38</v>
      </c>
      <c r="C10" s="177">
        <v>55454</v>
      </c>
      <c r="D10" s="173">
        <v>2366.8879999999999</v>
      </c>
      <c r="E10" s="245">
        <f t="shared" si="0"/>
        <v>0.23963113485239865</v>
      </c>
      <c r="F10" s="58" t="s">
        <v>56</v>
      </c>
      <c r="G10" s="59">
        <v>46144</v>
      </c>
      <c r="H10" s="190">
        <v>7362</v>
      </c>
      <c r="I10" s="141"/>
      <c r="J10" s="60">
        <f t="shared" si="1"/>
        <v>0</v>
      </c>
    </row>
    <row r="11" spans="1:11" ht="15" customHeight="1" x14ac:dyDescent="0.25">
      <c r="A11" s="164"/>
      <c r="B11" s="169" t="s">
        <v>42</v>
      </c>
      <c r="C11" s="177">
        <v>14330</v>
      </c>
      <c r="D11" s="173">
        <v>612.08600000000001</v>
      </c>
      <c r="E11" s="80">
        <f t="shared" si="0"/>
        <v>6.1969498686572956E-2</v>
      </c>
      <c r="F11" s="58" t="s">
        <v>57</v>
      </c>
      <c r="G11" s="59">
        <v>46145</v>
      </c>
      <c r="H11" s="190">
        <v>4900</v>
      </c>
      <c r="I11" s="141"/>
      <c r="J11" s="60">
        <f t="shared" si="1"/>
        <v>0</v>
      </c>
    </row>
    <row r="12" spans="1:11" ht="15" customHeight="1" x14ac:dyDescent="0.25">
      <c r="A12" s="164"/>
      <c r="B12" s="169" t="s">
        <v>218</v>
      </c>
      <c r="C12" s="177">
        <v>800</v>
      </c>
      <c r="D12" s="173">
        <v>34.159999999999997</v>
      </c>
      <c r="E12" s="80">
        <f t="shared" si="0"/>
        <v>3.4584651096959121E-3</v>
      </c>
      <c r="H12" s="139">
        <f>+SUM(H5:H11)</f>
        <v>52261</v>
      </c>
      <c r="I12" s="142">
        <f>+SUM(I5:I11)</f>
        <v>25392.026000000002</v>
      </c>
      <c r="J12" s="140">
        <f t="shared" si="1"/>
        <v>0.48586950115765104</v>
      </c>
    </row>
    <row r="13" spans="1:11" ht="15" customHeight="1" x14ac:dyDescent="0.25">
      <c r="A13" s="164"/>
      <c r="B13" s="169" t="s">
        <v>44</v>
      </c>
      <c r="C13" s="177">
        <v>87</v>
      </c>
      <c r="D13" s="173">
        <v>131.91</v>
      </c>
      <c r="E13" s="80">
        <f t="shared" si="0"/>
        <v>1.3354980463114396E-2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39</v>
      </c>
      <c r="C14" s="177">
        <v>598</v>
      </c>
      <c r="D14" s="173">
        <v>903.16</v>
      </c>
      <c r="E14" s="80">
        <f t="shared" si="0"/>
        <v>9.1438739709395783E-2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43</v>
      </c>
      <c r="C15" s="177">
        <v>245</v>
      </c>
      <c r="D15" s="173">
        <v>370.56</v>
      </c>
      <c r="E15" s="80">
        <f t="shared" si="0"/>
        <v>3.7516651962790318E-2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2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85</v>
      </c>
      <c r="C16" s="177">
        <v>135</v>
      </c>
      <c r="D16" s="173">
        <v>204.05</v>
      </c>
      <c r="E16" s="80">
        <f t="shared" si="0"/>
        <v>2.0658659415499148E-2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2"/>
        <v>0.98824488278289624</v>
      </c>
      <c r="K16" s="456">
        <f t="shared" si="2"/>
        <v>1.250875925629845</v>
      </c>
    </row>
    <row r="17" spans="1:11" ht="15" customHeight="1" x14ac:dyDescent="0.25">
      <c r="A17" s="164"/>
      <c r="B17" s="169" t="s">
        <v>49</v>
      </c>
      <c r="C17" s="177">
        <v>70</v>
      </c>
      <c r="D17" s="173">
        <v>105.51</v>
      </c>
      <c r="E17" s="80">
        <f t="shared" si="0"/>
        <v>1.0682161994262755E-2</v>
      </c>
      <c r="F17" s="112" t="s">
        <v>111</v>
      </c>
      <c r="G17" s="190">
        <v>205343.72800000012</v>
      </c>
      <c r="H17" s="190">
        <v>198970.75799999986</v>
      </c>
      <c r="I17" s="190">
        <f>+D26</f>
        <v>220130.24400000001</v>
      </c>
      <c r="J17" s="456">
        <f t="shared" si="2"/>
        <v>0.96896437956945902</v>
      </c>
      <c r="K17" s="456">
        <f t="shared" si="2"/>
        <v>1.1063447021697539</v>
      </c>
    </row>
    <row r="18" spans="1:11" ht="15" customHeight="1" x14ac:dyDescent="0.25">
      <c r="A18" s="164"/>
      <c r="B18" s="169" t="s">
        <v>45</v>
      </c>
      <c r="C18" s="177">
        <v>137</v>
      </c>
      <c r="D18" s="173">
        <v>206.16</v>
      </c>
      <c r="E18" s="80">
        <f t="shared" si="0"/>
        <v>2.0872282406759639E-2</v>
      </c>
      <c r="F18" s="112" t="s">
        <v>102</v>
      </c>
      <c r="G18" s="190">
        <v>209473.77399999995</v>
      </c>
      <c r="H18" s="190">
        <v>212393.17300000001</v>
      </c>
      <c r="I18" s="190"/>
      <c r="J18" s="456">
        <f t="shared" si="2"/>
        <v>1.0139368234230604</v>
      </c>
      <c r="K18" s="456">
        <f t="shared" si="2"/>
        <v>0</v>
      </c>
    </row>
    <row r="19" spans="1:11" ht="15" customHeight="1" x14ac:dyDescent="0.25">
      <c r="A19" s="164"/>
      <c r="B19" s="169" t="s">
        <v>41</v>
      </c>
      <c r="C19" s="177">
        <v>149</v>
      </c>
      <c r="D19" s="173">
        <v>224.08</v>
      </c>
      <c r="E19" s="80">
        <f t="shared" si="0"/>
        <v>2.2686559185616514E-2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2"/>
        <v>1.0411341364876525</v>
      </c>
      <c r="K19" s="456">
        <f t="shared" si="2"/>
        <v>0</v>
      </c>
    </row>
    <row r="20" spans="1:11" ht="15" customHeight="1" x14ac:dyDescent="0.25">
      <c r="A20" s="164"/>
      <c r="B20" s="169" t="s">
        <v>88</v>
      </c>
      <c r="C20" s="177"/>
      <c r="D20" s="173">
        <v>30.03</v>
      </c>
      <c r="E20" s="80">
        <f t="shared" si="0"/>
        <v>3.0403310083187427E-3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2"/>
        <v>1.0133436050715139</v>
      </c>
      <c r="K20" s="456">
        <f t="shared" si="2"/>
        <v>0</v>
      </c>
    </row>
    <row r="21" spans="1:11" ht="15" customHeight="1" x14ac:dyDescent="0.25">
      <c r="A21" s="164"/>
      <c r="B21" s="169" t="s">
        <v>40</v>
      </c>
      <c r="C21" s="177"/>
      <c r="D21" s="173">
        <v>568.4</v>
      </c>
      <c r="E21" s="80">
        <f t="shared" si="0"/>
        <v>5.7546591579366403E-2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2"/>
        <v>1.0027046084995204</v>
      </c>
      <c r="K21" s="456">
        <f t="shared" si="2"/>
        <v>0</v>
      </c>
    </row>
    <row r="22" spans="1:11" ht="15" customHeight="1" x14ac:dyDescent="0.25">
      <c r="A22" s="164"/>
      <c r="B22" s="169" t="s">
        <v>265</v>
      </c>
      <c r="C22" s="177"/>
      <c r="D22" s="173">
        <v>29.92</v>
      </c>
      <c r="E22" s="80">
        <f t="shared" si="0"/>
        <v>3.0291942646985277E-3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2"/>
        <v>1.0160661727759943</v>
      </c>
      <c r="K22" s="456">
        <f t="shared" si="2"/>
        <v>0</v>
      </c>
    </row>
    <row r="23" spans="1:11" ht="15" customHeight="1" x14ac:dyDescent="0.25">
      <c r="A23" s="164"/>
      <c r="B23" s="169" t="s">
        <v>9</v>
      </c>
      <c r="C23" s="177"/>
      <c r="D23" s="173">
        <v>154.81</v>
      </c>
      <c r="E23" s="80">
        <f t="shared" si="0"/>
        <v>1.5673447998595557E-2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2"/>
        <v>1.0505805018598029</v>
      </c>
      <c r="K23" s="456">
        <f t="shared" si="2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306.58999999999997</v>
      </c>
      <c r="E24" s="80">
        <f t="shared" si="0"/>
        <v>3.1040129332016091E-2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2"/>
        <v>1.1265796786294864</v>
      </c>
      <c r="K24" s="456">
        <f t="shared" si="2"/>
        <v>0</v>
      </c>
    </row>
    <row r="25" spans="1:11" ht="15" customHeight="1" thickBot="1" x14ac:dyDescent="0.3">
      <c r="A25" s="164"/>
      <c r="B25" s="178" t="s">
        <v>0</v>
      </c>
      <c r="C25" s="170"/>
      <c r="D25" s="171">
        <f>SUM(D5:D24)</f>
        <v>9877.2139999999999</v>
      </c>
      <c r="E25" s="80">
        <f t="shared" si="0"/>
        <v>1</v>
      </c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2"/>
        <v>1.1725047231175361</v>
      </c>
      <c r="K25" s="456">
        <f t="shared" si="2"/>
        <v>0</v>
      </c>
    </row>
    <row r="26" spans="1:11" ht="15" customHeight="1" thickBot="1" x14ac:dyDescent="0.3">
      <c r="A26" s="164"/>
      <c r="B26" s="166" t="s">
        <v>1</v>
      </c>
      <c r="C26" s="167"/>
      <c r="D26" s="233">
        <v>220130.24400000001</v>
      </c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898180.87999999989</v>
      </c>
      <c r="J26" s="378"/>
      <c r="K26" s="378">
        <f>+I26/H26</f>
        <v>1.1669257586288424</v>
      </c>
    </row>
    <row r="27" spans="1:11" ht="19.5" thickBot="1" x14ac:dyDescent="0.3">
      <c r="E27" s="313">
        <f>+D26/K2</f>
        <v>0.98900716271103739</v>
      </c>
      <c r="G27" s="379" t="s">
        <v>229</v>
      </c>
      <c r="H27" s="380"/>
      <c r="I27" s="380">
        <v>2726927.1277059279</v>
      </c>
      <c r="J27" s="381">
        <f>+I26/H26</f>
        <v>1.1669257586288424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5" customHeight="1" thickBot="1" x14ac:dyDescent="0.3">
      <c r="B29" s="397" t="s">
        <v>251</v>
      </c>
      <c r="C29" s="501">
        <v>29</v>
      </c>
      <c r="D29" s="108">
        <f>K3*C29</f>
        <v>215157.76348545268</v>
      </c>
      <c r="E29" s="314">
        <f>+D29/K2</f>
        <v>0.96666666666666656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+D26-D29</f>
        <v>4972.4805145473219</v>
      </c>
      <c r="E30" s="99">
        <f>E27-E29</f>
        <v>2.2340496044370828E-2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1.1063447021697539</v>
      </c>
      <c r="J31" s="422">
        <f>+I17-H17</f>
        <v>21159.48600000015</v>
      </c>
      <c r="K31" s="459">
        <f>J28+J31+J30+J29</f>
        <v>128482.48800000019</v>
      </c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1384</v>
      </c>
      <c r="D33" s="108">
        <v>2142</v>
      </c>
      <c r="E33" s="57">
        <f>+C33/D33</f>
        <v>0.64612511671335204</v>
      </c>
      <c r="G33" s="86" t="s">
        <v>86</v>
      </c>
      <c r="H33" s="87">
        <f>1008+7142</f>
        <v>8150</v>
      </c>
      <c r="I33" s="88">
        <f>+H33*0.025</f>
        <v>203.75</v>
      </c>
      <c r="J33" s="224"/>
      <c r="K33" s="68"/>
    </row>
    <row r="34" spans="1:11" ht="15" customHeight="1" x14ac:dyDescent="0.25">
      <c r="B34" s="162" t="s">
        <v>62</v>
      </c>
      <c r="C34" s="162">
        <v>1024</v>
      </c>
      <c r="D34" s="108">
        <v>1890</v>
      </c>
      <c r="E34" s="57">
        <f>+C34/D34</f>
        <v>0.54179894179894184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ht="15" customHeight="1" x14ac:dyDescent="0.25">
      <c r="B35" s="162" t="s">
        <v>63</v>
      </c>
      <c r="C35" s="67">
        <v>1785</v>
      </c>
      <c r="D35" s="108">
        <v>3006</v>
      </c>
      <c r="E35" s="57">
        <f>+C35/D35</f>
        <v>0.59381237524950103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ht="15" customHeight="1" x14ac:dyDescent="0.25">
      <c r="C36" s="162">
        <f>+SUM(C33:C35)</f>
        <v>4193</v>
      </c>
      <c r="D36" s="110">
        <f>+SUM(D33:D35)</f>
        <v>7038</v>
      </c>
      <c r="E36" s="57">
        <f>+C36/D36</f>
        <v>0.59576584256891163</v>
      </c>
      <c r="G36" s="89" t="s">
        <v>169</v>
      </c>
      <c r="H36" s="87">
        <v>239</v>
      </c>
      <c r="I36" s="88">
        <f>+H36*1.5</f>
        <v>358.5</v>
      </c>
      <c r="J36" s="298">
        <f>+I36+I33+I34+I35</f>
        <v>586.54999999999995</v>
      </c>
    </row>
    <row r="37" spans="1:11" x14ac:dyDescent="0.25">
      <c r="G37" s="89" t="s">
        <v>168</v>
      </c>
      <c r="H37" s="87">
        <v>73</v>
      </c>
      <c r="I37" s="88">
        <f>+H37*1.5</f>
        <v>109.5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14</v>
      </c>
      <c r="C40" s="74">
        <v>5</v>
      </c>
      <c r="D40" s="74">
        <v>16</v>
      </c>
      <c r="E40" s="75">
        <f>+SUM(B40:D40)</f>
        <v>35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3">+C43/D43</f>
        <v>0</v>
      </c>
      <c r="F43" s="201">
        <f t="shared" ref="F43:F48" si="4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7.26</v>
      </c>
      <c r="C44" s="199">
        <v>2344</v>
      </c>
      <c r="D44" s="200">
        <v>3600</v>
      </c>
      <c r="E44" s="201">
        <f t="shared" si="3"/>
        <v>0.65111111111111108</v>
      </c>
      <c r="F44" s="201">
        <f t="shared" si="4"/>
        <v>0.30249999999999999</v>
      </c>
      <c r="G44" s="202">
        <v>12</v>
      </c>
      <c r="H44" s="71"/>
    </row>
    <row r="45" spans="1:11" x14ac:dyDescent="0.25">
      <c r="A45" s="207" t="s">
        <v>72</v>
      </c>
      <c r="B45" s="199">
        <v>11.08</v>
      </c>
      <c r="C45" s="199">
        <v>3011</v>
      </c>
      <c r="D45" s="200">
        <v>3900</v>
      </c>
      <c r="E45" s="201">
        <f t="shared" si="3"/>
        <v>0.77205128205128204</v>
      </c>
      <c r="F45" s="201">
        <f t="shared" si="4"/>
        <v>0.46166666666666667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12.11</v>
      </c>
      <c r="C46" s="199">
        <v>2559</v>
      </c>
      <c r="D46" s="200">
        <v>3900</v>
      </c>
      <c r="E46" s="201">
        <f t="shared" si="3"/>
        <v>0.6561538461538462</v>
      </c>
      <c r="F46" s="201">
        <f t="shared" si="4"/>
        <v>0.50458333333333327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15.2</v>
      </c>
      <c r="C47" s="199">
        <v>2575</v>
      </c>
      <c r="D47" s="200">
        <v>3900</v>
      </c>
      <c r="E47" s="201">
        <f t="shared" si="3"/>
        <v>0.66025641025641024</v>
      </c>
      <c r="F47" s="201">
        <f t="shared" si="4"/>
        <v>0.6333333333333333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11.84</v>
      </c>
      <c r="C48" s="261">
        <v>2930</v>
      </c>
      <c r="D48" s="262">
        <v>4300</v>
      </c>
      <c r="E48" s="263">
        <f t="shared" si="3"/>
        <v>0.68139534883720931</v>
      </c>
      <c r="F48" s="201">
        <f t="shared" si="4"/>
        <v>0.49333333333333335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1" si="5">+J48*1.5</f>
        <v>129</v>
      </c>
    </row>
    <row r="49" spans="2:11" x14ac:dyDescent="0.25">
      <c r="B49" s="113">
        <f>+SUM(B43:B48)</f>
        <v>57.489999999999995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5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5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5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46141</v>
      </c>
      <c r="I52" s="129" t="s">
        <v>175</v>
      </c>
      <c r="J52" s="162">
        <v>94</v>
      </c>
      <c r="K52" s="318">
        <f t="shared" ref="K52:K53" si="6">+J52*1.5</f>
        <v>141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46141</v>
      </c>
      <c r="I53" s="129" t="s">
        <v>176</v>
      </c>
      <c r="J53" s="162">
        <v>150</v>
      </c>
      <c r="K53" s="318">
        <f t="shared" si="6"/>
        <v>225</v>
      </c>
    </row>
    <row r="54" spans="2:11" x14ac:dyDescent="0.25">
      <c r="C54" s="71">
        <v>4</v>
      </c>
      <c r="D54" s="108">
        <v>0</v>
      </c>
      <c r="H54" s="301"/>
      <c r="I54" s="129"/>
      <c r="K54" s="318"/>
    </row>
    <row r="55" spans="2:11" x14ac:dyDescent="0.25">
      <c r="C55" s="71">
        <v>5</v>
      </c>
      <c r="D55" s="108">
        <v>2</v>
      </c>
      <c r="H55" s="301"/>
      <c r="I55" s="129"/>
      <c r="K55" s="318"/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13</v>
      </c>
    </row>
    <row r="59" spans="2:11" x14ac:dyDescent="0.25">
      <c r="H59" s="359" t="s">
        <v>233</v>
      </c>
      <c r="I59" s="345"/>
      <c r="J59" s="199">
        <f>+J52+J53</f>
        <v>244</v>
      </c>
      <c r="K59" s="346">
        <f>+J59*1.5</f>
        <v>366</v>
      </c>
    </row>
    <row r="60" spans="2:11" x14ac:dyDescent="0.25">
      <c r="B60" s="364" t="s">
        <v>231</v>
      </c>
      <c r="C60" s="199">
        <v>2512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7">+F65*1.5</f>
        <v>97.5</v>
      </c>
      <c r="H65" s="301">
        <v>46129</v>
      </c>
      <c r="I65" s="129" t="s">
        <v>175</v>
      </c>
      <c r="J65" s="162">
        <v>5040</v>
      </c>
      <c r="K65" s="318">
        <f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7"/>
        <v>282</v>
      </c>
      <c r="H66" s="301">
        <v>46132</v>
      </c>
      <c r="I66" s="129" t="s">
        <v>175</v>
      </c>
      <c r="J66" s="162">
        <v>5136</v>
      </c>
      <c r="K66" s="318">
        <f>+J66*0.025</f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7"/>
        <v>3</v>
      </c>
      <c r="H67" s="301">
        <v>46132</v>
      </c>
      <c r="I67" s="129" t="s">
        <v>176</v>
      </c>
      <c r="J67" s="162">
        <v>5941</v>
      </c>
      <c r="K67" s="318">
        <f>+J67*0.025</f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7"/>
        <v>300</v>
      </c>
      <c r="H68" s="301"/>
      <c r="I68" s="129"/>
      <c r="K68" s="318"/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7"/>
        <v>250.5</v>
      </c>
      <c r="H69" s="301"/>
      <c r="I69" s="129"/>
      <c r="K69" s="318"/>
    </row>
    <row r="70" spans="2:11" x14ac:dyDescent="0.25">
      <c r="B70" s="71" t="s">
        <v>280</v>
      </c>
      <c r="C70" s="466">
        <v>0.99</v>
      </c>
      <c r="D70" s="301" t="s">
        <v>295</v>
      </c>
      <c r="E70" s="129"/>
      <c r="F70" s="71">
        <f>+G70/1.5</f>
        <v>712.18</v>
      </c>
      <c r="G70" s="297">
        <f>663.27+(270*1.5)</f>
        <v>1068.27</v>
      </c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01"/>
      <c r="I71" s="129"/>
      <c r="K71" s="318"/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/>
      <c r="E73" s="129"/>
      <c r="F73" s="71"/>
      <c r="G73" s="297"/>
      <c r="H73" s="301"/>
      <c r="I73" s="129"/>
      <c r="K73" s="318"/>
    </row>
    <row r="74" spans="2:11" x14ac:dyDescent="0.25">
      <c r="D74" s="301"/>
      <c r="E74" s="129"/>
      <c r="F74" s="71"/>
      <c r="G74" s="297"/>
      <c r="H74" s="301"/>
      <c r="I74" s="129"/>
      <c r="K74" s="318"/>
    </row>
    <row r="75" spans="2:11" x14ac:dyDescent="0.25">
      <c r="D75" s="301"/>
      <c r="E75" s="129"/>
      <c r="F75" s="71"/>
      <c r="G75" s="297"/>
      <c r="H75" s="301"/>
      <c r="I75" s="129"/>
      <c r="K75" s="318"/>
    </row>
    <row r="76" spans="2:11" x14ac:dyDescent="0.25">
      <c r="D76" s="431" t="s">
        <v>224</v>
      </c>
      <c r="E76" s="345"/>
      <c r="F76" s="435">
        <f>+F70</f>
        <v>712.18</v>
      </c>
      <c r="G76" s="436">
        <f>+F76*1.5</f>
        <v>1068.27</v>
      </c>
      <c r="H76" s="431" t="s">
        <v>293</v>
      </c>
      <c r="I76" s="345"/>
      <c r="J76" s="200">
        <f>+J67+J66+J65</f>
        <v>16117</v>
      </c>
      <c r="K76" s="346">
        <f>+J76*0.025</f>
        <v>402.92500000000001</v>
      </c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workbookViewId="0">
      <selection activeCell="A28" sqref="A28:K73"/>
    </sheetView>
  </sheetViews>
  <sheetFormatPr baseColWidth="10" defaultColWidth="11.42578125" defaultRowHeight="15.75" x14ac:dyDescent="0.25"/>
  <cols>
    <col min="1" max="1" width="2.42578125" style="162" customWidth="1"/>
    <col min="2" max="2" width="42.140625" style="162" customWidth="1"/>
    <col min="3" max="3" width="13.28515625" style="162" customWidth="1"/>
    <col min="4" max="4" width="14.5703125" style="163" customWidth="1"/>
    <col min="5" max="5" width="11.85546875" style="162" customWidth="1"/>
    <col min="6" max="6" width="16.85546875" style="162" customWidth="1"/>
    <col min="7" max="7" width="16.140625" style="162" customWidth="1"/>
    <col min="8" max="8" width="14.28515625" style="162" bestFit="1" customWidth="1"/>
    <col min="9" max="10" width="11.42578125" style="162"/>
    <col min="11" max="11" width="7.85546875" style="162" bestFit="1" customWidth="1"/>
    <col min="12" max="16384" width="11.42578125" style="162"/>
  </cols>
  <sheetData>
    <row r="1" spans="1:11" ht="15" customHeight="1" x14ac:dyDescent="0.25">
      <c r="A1" s="161"/>
      <c r="B1" s="518">
        <v>46145</v>
      </c>
      <c r="C1" s="518"/>
      <c r="D1" s="518"/>
      <c r="E1" s="61"/>
      <c r="F1" s="374">
        <v>46023</v>
      </c>
      <c r="G1" s="374">
        <v>46054</v>
      </c>
      <c r="H1" s="374">
        <v>46082</v>
      </c>
      <c r="I1" s="374">
        <v>46113</v>
      </c>
      <c r="J1" s="374">
        <v>46143</v>
      </c>
      <c r="K1" s="374">
        <v>46174</v>
      </c>
    </row>
    <row r="2" spans="1:11" x14ac:dyDescent="0.25">
      <c r="E2" s="320"/>
      <c r="F2" s="308">
        <f>+'Plan ventas 2026'!C6</f>
        <v>206828.90469992431</v>
      </c>
      <c r="G2" s="308">
        <f>+'Plan ventas 2026'!D6</f>
        <v>194544.91062046765</v>
      </c>
      <c r="H2" s="308">
        <f>+'Plan ventas 2026'!E6</f>
        <v>209783.99206683473</v>
      </c>
      <c r="I2" s="308">
        <f>+'Plan ventas 2026'!F9</f>
        <v>222576.996709089</v>
      </c>
      <c r="J2" s="308">
        <f>+'Plan ventas 2026'!G9</f>
        <v>228230.92688777612</v>
      </c>
      <c r="K2" s="308">
        <f>+'Plan ventas 2026'!H9</f>
        <v>224314.19420069718</v>
      </c>
    </row>
    <row r="3" spans="1:11" ht="15" customHeight="1" x14ac:dyDescent="0.25">
      <c r="A3" s="164"/>
      <c r="B3" s="519" t="s">
        <v>36</v>
      </c>
      <c r="C3" s="519"/>
      <c r="D3" s="519"/>
      <c r="E3" s="108"/>
      <c r="F3" s="108">
        <f>+F2/31</f>
        <v>6671.9001516104618</v>
      </c>
      <c r="G3" s="108">
        <f>+G2/28</f>
        <v>6948.0325221595585</v>
      </c>
      <c r="H3" s="108">
        <f>+H2/31</f>
        <v>6767.2255505430558</v>
      </c>
      <c r="I3" s="108">
        <f>+I2/30</f>
        <v>7419.2332236363</v>
      </c>
      <c r="J3" s="108">
        <f t="shared" ref="J3:K3" si="0">+J2/30</f>
        <v>7607.6975629258704</v>
      </c>
      <c r="K3" s="108">
        <f t="shared" si="0"/>
        <v>7477.1398066899064</v>
      </c>
    </row>
    <row r="4" spans="1:11" ht="19.5" customHeight="1" thickBot="1" x14ac:dyDescent="0.4">
      <c r="A4" s="164"/>
      <c r="B4" s="502"/>
      <c r="C4" s="502"/>
      <c r="D4" s="165">
        <f>D25</f>
        <v>4102.0660000000007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2292</v>
      </c>
      <c r="D5" s="172">
        <v>97.793999999999997</v>
      </c>
      <c r="E5" s="80">
        <f t="shared" ref="E5:E25" si="1">+D5/$D$4</f>
        <v>2.3840181996096596E-2</v>
      </c>
      <c r="F5" s="58" t="s">
        <v>51</v>
      </c>
      <c r="G5" s="59">
        <v>46139</v>
      </c>
      <c r="H5" s="190">
        <v>6265.9999999999991</v>
      </c>
      <c r="I5" s="141">
        <v>6147.7720000000008</v>
      </c>
      <c r="J5" s="60">
        <f t="shared" ref="J5:J12" si="2">+I5/H5</f>
        <v>0.98113182253431241</v>
      </c>
    </row>
    <row r="6" spans="1:11" ht="15" customHeight="1" x14ac:dyDescent="0.25">
      <c r="A6" s="164"/>
      <c r="B6" s="169" t="s">
        <v>10</v>
      </c>
      <c r="C6" s="177">
        <v>16810</v>
      </c>
      <c r="D6" s="173">
        <v>716.86599999999999</v>
      </c>
      <c r="E6" s="80">
        <f t="shared" si="1"/>
        <v>0.17475730522132016</v>
      </c>
      <c r="F6" s="58" t="s">
        <v>52</v>
      </c>
      <c r="G6" s="59">
        <v>46140</v>
      </c>
      <c r="H6" s="190">
        <v>9033</v>
      </c>
      <c r="I6" s="141">
        <v>9367.0400000000009</v>
      </c>
      <c r="J6" s="60">
        <f t="shared" si="2"/>
        <v>1.0369799623602347</v>
      </c>
    </row>
    <row r="7" spans="1:11" ht="15" customHeight="1" x14ac:dyDescent="0.25">
      <c r="A7" s="164"/>
      <c r="B7" s="169" t="s">
        <v>35</v>
      </c>
      <c r="C7" s="177">
        <v>14975</v>
      </c>
      <c r="D7" s="173">
        <v>638.96400000000006</v>
      </c>
      <c r="E7" s="245">
        <f t="shared" si="1"/>
        <v>0.15576638698645998</v>
      </c>
      <c r="F7" s="58" t="s">
        <v>53</v>
      </c>
      <c r="G7" s="59">
        <v>46141</v>
      </c>
      <c r="H7" s="190">
        <v>9505</v>
      </c>
      <c r="I7" s="141">
        <v>9877.2139999999999</v>
      </c>
      <c r="J7" s="60">
        <f t="shared" si="2"/>
        <v>1.0391598106259863</v>
      </c>
    </row>
    <row r="8" spans="1:11" ht="15" customHeight="1" x14ac:dyDescent="0.25">
      <c r="A8" s="164"/>
      <c r="B8" s="169" t="s">
        <v>4</v>
      </c>
      <c r="C8" s="177">
        <v>800</v>
      </c>
      <c r="D8" s="173">
        <v>34.159999999999997</v>
      </c>
      <c r="E8" s="80">
        <f t="shared" si="1"/>
        <v>8.3275110639370476E-3</v>
      </c>
      <c r="F8" s="58" t="s">
        <v>54</v>
      </c>
      <c r="G8" s="59">
        <v>46142</v>
      </c>
      <c r="H8" s="190">
        <v>8881</v>
      </c>
      <c r="I8" s="141">
        <v>8575.7099999999991</v>
      </c>
      <c r="J8" s="60">
        <f t="shared" si="2"/>
        <v>0.96562436662537998</v>
      </c>
    </row>
    <row r="9" spans="1:11" ht="15" customHeight="1" x14ac:dyDescent="0.25">
      <c r="A9" s="164"/>
      <c r="B9" s="169" t="s">
        <v>37</v>
      </c>
      <c r="C9" s="177">
        <v>12025</v>
      </c>
      <c r="D9" s="173">
        <v>513.97799999999995</v>
      </c>
      <c r="E9" s="245">
        <f t="shared" si="1"/>
        <v>0.12529735016452681</v>
      </c>
      <c r="F9" s="58" t="s">
        <v>55</v>
      </c>
      <c r="G9" s="59">
        <v>46143</v>
      </c>
      <c r="H9" s="190">
        <v>6314</v>
      </c>
      <c r="I9" s="141">
        <v>6040.12</v>
      </c>
      <c r="J9" s="60">
        <f t="shared" si="2"/>
        <v>0.9566233766233766</v>
      </c>
    </row>
    <row r="10" spans="1:11" ht="15" customHeight="1" x14ac:dyDescent="0.25">
      <c r="A10" s="164"/>
      <c r="B10" s="169" t="s">
        <v>38</v>
      </c>
      <c r="C10" s="177">
        <v>23249</v>
      </c>
      <c r="D10" s="173">
        <v>992.22199999999998</v>
      </c>
      <c r="E10" s="245">
        <f t="shared" si="1"/>
        <v>0.24188348017803707</v>
      </c>
      <c r="F10" s="58" t="s">
        <v>56</v>
      </c>
      <c r="G10" s="59">
        <v>46144</v>
      </c>
      <c r="H10" s="190">
        <v>7362</v>
      </c>
      <c r="I10" s="141">
        <v>5019.92</v>
      </c>
      <c r="J10" s="60">
        <f t="shared" si="2"/>
        <v>0.68186905732138003</v>
      </c>
    </row>
    <row r="11" spans="1:11" ht="15" customHeight="1" x14ac:dyDescent="0.25">
      <c r="A11" s="164"/>
      <c r="B11" s="169" t="s">
        <v>42</v>
      </c>
      <c r="C11" s="177">
        <v>770</v>
      </c>
      <c r="D11" s="173">
        <v>32.915999999999997</v>
      </c>
      <c r="E11" s="80">
        <f t="shared" si="1"/>
        <v>8.024249244161355E-3</v>
      </c>
      <c r="F11" s="58" t="s">
        <v>57</v>
      </c>
      <c r="G11" s="59">
        <v>46145</v>
      </c>
      <c r="H11" s="190">
        <v>4900</v>
      </c>
      <c r="I11" s="141">
        <v>4102.0660000000007</v>
      </c>
      <c r="J11" s="60">
        <f t="shared" si="2"/>
        <v>0.83715632653061234</v>
      </c>
    </row>
    <row r="12" spans="1:11" ht="15" customHeight="1" x14ac:dyDescent="0.25">
      <c r="A12" s="164"/>
      <c r="B12" s="169" t="s">
        <v>196</v>
      </c>
      <c r="C12" s="177">
        <v>10205</v>
      </c>
      <c r="D12" s="173">
        <v>258.01799999999997</v>
      </c>
      <c r="E12" s="80">
        <f t="shared" si="1"/>
        <v>6.2899524288492659E-2</v>
      </c>
      <c r="H12" s="139">
        <f>+SUM(H5:H11)</f>
        <v>52261</v>
      </c>
      <c r="I12" s="142">
        <f>+SUM(I5:I11)</f>
        <v>49129.842000000004</v>
      </c>
      <c r="J12" s="140">
        <f t="shared" si="2"/>
        <v>0.94008614454373252</v>
      </c>
    </row>
    <row r="13" spans="1:11" ht="15" customHeight="1" x14ac:dyDescent="0.25">
      <c r="A13" s="164"/>
      <c r="B13" s="169" t="s">
        <v>50</v>
      </c>
      <c r="C13" s="177">
        <v>1224</v>
      </c>
      <c r="D13" s="173">
        <v>30.687999999999999</v>
      </c>
      <c r="E13" s="80">
        <f t="shared" si="1"/>
        <v>7.4811083000614793E-3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44</v>
      </c>
      <c r="C14" s="177">
        <v>21</v>
      </c>
      <c r="D14" s="173">
        <v>31.65</v>
      </c>
      <c r="E14" s="80">
        <f t="shared" si="1"/>
        <v>7.7156242732320723E-3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111</v>
      </c>
      <c r="D15" s="173">
        <v>167.37</v>
      </c>
      <c r="E15" s="80">
        <f t="shared" si="1"/>
        <v>4.0801391298921075E-2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3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43</v>
      </c>
      <c r="C16" s="177"/>
      <c r="D16" s="173"/>
      <c r="E16" s="80">
        <f t="shared" si="1"/>
        <v>0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3"/>
        <v>0.98824488278289624</v>
      </c>
      <c r="K16" s="456">
        <f t="shared" si="3"/>
        <v>1.250875925629845</v>
      </c>
    </row>
    <row r="17" spans="1:11" ht="15" customHeight="1" x14ac:dyDescent="0.25">
      <c r="A17" s="164"/>
      <c r="B17" s="169" t="s">
        <v>49</v>
      </c>
      <c r="C17" s="177">
        <v>41</v>
      </c>
      <c r="D17" s="173">
        <v>61.62</v>
      </c>
      <c r="E17" s="80">
        <f t="shared" si="1"/>
        <v>1.5021698822008224E-2</v>
      </c>
      <c r="F17" s="112" t="s">
        <v>111</v>
      </c>
      <c r="G17" s="190">
        <v>205343.72800000012</v>
      </c>
      <c r="H17" s="190">
        <v>198970.75799999986</v>
      </c>
      <c r="I17" s="190">
        <v>228705.96</v>
      </c>
      <c r="J17" s="456">
        <f t="shared" si="3"/>
        <v>0.96896437956945902</v>
      </c>
      <c r="K17" s="456">
        <f t="shared" si="3"/>
        <v>1.1494450857949696</v>
      </c>
    </row>
    <row r="18" spans="1:11" ht="15" customHeight="1" x14ac:dyDescent="0.25">
      <c r="A18" s="164"/>
      <c r="B18" s="169" t="s">
        <v>45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190">
        <f>+D26</f>
        <v>15162.116</v>
      </c>
      <c r="J18" s="456">
        <f t="shared" si="3"/>
        <v>1.0139368234230604</v>
      </c>
      <c r="K18" s="456">
        <f t="shared" si="3"/>
        <v>7.1387021465139089E-2</v>
      </c>
    </row>
    <row r="19" spans="1:11" ht="15" customHeight="1" x14ac:dyDescent="0.25">
      <c r="A19" s="164"/>
      <c r="B19" s="169" t="s">
        <v>41</v>
      </c>
      <c r="C19" s="177">
        <v>62</v>
      </c>
      <c r="D19" s="173">
        <v>93.23</v>
      </c>
      <c r="E19" s="80">
        <f t="shared" si="1"/>
        <v>2.2727571911324681E-2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3"/>
        <v>1.0411341364876525</v>
      </c>
      <c r="K19" s="456">
        <f t="shared" si="3"/>
        <v>0</v>
      </c>
    </row>
    <row r="20" spans="1:11" ht="15" customHeight="1" x14ac:dyDescent="0.25">
      <c r="A20" s="164"/>
      <c r="B20" s="169" t="s">
        <v>88</v>
      </c>
      <c r="C20" s="177"/>
      <c r="D20" s="173">
        <v>30.09</v>
      </c>
      <c r="E20" s="80">
        <f t="shared" si="1"/>
        <v>7.3353281005230035E-3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3"/>
        <v>1.0133436050715139</v>
      </c>
      <c r="K20" s="456">
        <f t="shared" si="3"/>
        <v>0</v>
      </c>
    </row>
    <row r="21" spans="1:11" ht="15" customHeight="1" x14ac:dyDescent="0.25">
      <c r="A21" s="164"/>
      <c r="B21" s="169" t="s">
        <v>40</v>
      </c>
      <c r="C21" s="177"/>
      <c r="D21" s="173">
        <v>280.20999999999998</v>
      </c>
      <c r="E21" s="80">
        <f t="shared" si="1"/>
        <v>6.8309481124877058E-2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3"/>
        <v>1.0027046084995204</v>
      </c>
      <c r="K21" s="456">
        <f t="shared" si="3"/>
        <v>0</v>
      </c>
    </row>
    <row r="22" spans="1:11" ht="15" customHeight="1" x14ac:dyDescent="0.25">
      <c r="A22" s="164"/>
      <c r="B22" s="169" t="s">
        <v>265</v>
      </c>
      <c r="C22" s="177"/>
      <c r="D22" s="173"/>
      <c r="E22" s="80">
        <f t="shared" si="1"/>
        <v>0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3"/>
        <v>1.0160661727759943</v>
      </c>
      <c r="K22" s="456">
        <f t="shared" si="3"/>
        <v>0</v>
      </c>
    </row>
    <row r="23" spans="1:11" ht="15" customHeight="1" x14ac:dyDescent="0.25">
      <c r="A23" s="164"/>
      <c r="B23" s="169" t="s">
        <v>9</v>
      </c>
      <c r="C23" s="177"/>
      <c r="D23" s="173">
        <v>59.32</v>
      </c>
      <c r="E23" s="80">
        <f t="shared" si="1"/>
        <v>1.4461005746860238E-2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3"/>
        <v>1.0505805018598029</v>
      </c>
      <c r="K23" s="456">
        <f t="shared" si="3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62.97</v>
      </c>
      <c r="E24" s="80">
        <f t="shared" si="1"/>
        <v>1.5350801279160303E-2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3"/>
        <v>1.1265796786294864</v>
      </c>
      <c r="K24" s="456">
        <f t="shared" si="3"/>
        <v>0</v>
      </c>
    </row>
    <row r="25" spans="1:11" ht="15" customHeight="1" thickBot="1" x14ac:dyDescent="0.3">
      <c r="A25" s="164"/>
      <c r="B25" s="178" t="s">
        <v>0</v>
      </c>
      <c r="C25" s="170"/>
      <c r="D25" s="171">
        <f>SUM(D5:D24)</f>
        <v>4102.0660000000007</v>
      </c>
      <c r="E25" s="80">
        <f t="shared" si="1"/>
        <v>1</v>
      </c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3"/>
        <v>1.1725047231175361</v>
      </c>
      <c r="K25" s="456">
        <f t="shared" si="3"/>
        <v>0</v>
      </c>
    </row>
    <row r="26" spans="1:11" ht="15" customHeight="1" thickBot="1" x14ac:dyDescent="0.3">
      <c r="A26" s="164"/>
      <c r="B26" s="166" t="s">
        <v>1</v>
      </c>
      <c r="C26" s="167"/>
      <c r="D26" s="233">
        <v>15162.116</v>
      </c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921918.71199999994</v>
      </c>
      <c r="J26" s="378"/>
      <c r="K26" s="378">
        <f>+I26/H26</f>
        <v>1.1977661920333078</v>
      </c>
    </row>
    <row r="27" spans="1:11" ht="19.5" thickBot="1" x14ac:dyDescent="0.3">
      <c r="E27" s="313">
        <f>+D26/J2</f>
        <v>6.6433222730832589E-2</v>
      </c>
      <c r="G27" s="379" t="s">
        <v>229</v>
      </c>
      <c r="H27" s="380"/>
      <c r="I27" s="380">
        <v>2726927.1277059279</v>
      </c>
      <c r="J27" s="381">
        <f>+I26/H26</f>
        <v>1.1977661920333078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5" customHeight="1" thickBot="1" x14ac:dyDescent="0.3">
      <c r="B29" s="397" t="s">
        <v>251</v>
      </c>
      <c r="C29" s="503">
        <v>3</v>
      </c>
      <c r="D29" s="108">
        <f>J3*C29</f>
        <v>22823.092688777611</v>
      </c>
      <c r="E29" s="314">
        <f>+D29/I2</f>
        <v>0.10254021316770523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+D26-D29</f>
        <v>-7660.9766887776113</v>
      </c>
      <c r="E30" s="99">
        <f>E27-E29</f>
        <v>-3.6106990436872641E-2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1.1494450857949696</v>
      </c>
      <c r="J31" s="422">
        <f>+I17-H17</f>
        <v>29735.202000000136</v>
      </c>
      <c r="K31" s="459">
        <f>J28+J31+J30+J29</f>
        <v>137058.20400000017</v>
      </c>
    </row>
    <row r="32" spans="1:11" ht="15" customHeight="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712</v>
      </c>
      <c r="D33" s="108">
        <v>2142</v>
      </c>
      <c r="E33" s="57">
        <f>+C33/D33</f>
        <v>0.33239962651727356</v>
      </c>
      <c r="G33" s="86" t="s">
        <v>86</v>
      </c>
      <c r="H33" s="87">
        <f>9192+3156</f>
        <v>12348</v>
      </c>
      <c r="I33" s="88">
        <f>+H33*0.025</f>
        <v>308.70000000000005</v>
      </c>
      <c r="J33" s="224"/>
      <c r="K33" s="68"/>
    </row>
    <row r="34" spans="1:11" ht="15" customHeight="1" x14ac:dyDescent="0.25">
      <c r="B34" s="162" t="s">
        <v>62</v>
      </c>
      <c r="C34" s="162">
        <v>1741</v>
      </c>
      <c r="D34" s="108">
        <v>1890</v>
      </c>
      <c r="E34" s="57">
        <f>+C34/D34</f>
        <v>0.92116402116402119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ht="15" customHeight="1" x14ac:dyDescent="0.25">
      <c r="B35" s="162" t="s">
        <v>63</v>
      </c>
      <c r="C35" s="67">
        <v>2934</v>
      </c>
      <c r="D35" s="108">
        <v>3006</v>
      </c>
      <c r="E35" s="57">
        <f>+C35/D35</f>
        <v>0.9760479041916168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ht="15" customHeight="1" x14ac:dyDescent="0.25">
      <c r="C36" s="162">
        <f>+SUM(C33:C35)</f>
        <v>5387</v>
      </c>
      <c r="D36" s="110">
        <f>+SUM(D33:D35)</f>
        <v>7038</v>
      </c>
      <c r="E36" s="57">
        <f>+C36/D36</f>
        <v>0.76541631145211708</v>
      </c>
      <c r="G36" s="89" t="s">
        <v>169</v>
      </c>
      <c r="H36" s="87">
        <v>414</v>
      </c>
      <c r="I36" s="88">
        <f>+H36*1.5</f>
        <v>621</v>
      </c>
      <c r="J36" s="298">
        <f>+I36+I33+I34+I35</f>
        <v>954</v>
      </c>
    </row>
    <row r="37" spans="1:11" ht="15" customHeight="1" x14ac:dyDescent="0.25">
      <c r="G37" s="89" t="s">
        <v>168</v>
      </c>
      <c r="H37" s="87">
        <v>72</v>
      </c>
      <c r="I37" s="88">
        <f>+H37*1.5</f>
        <v>108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3</v>
      </c>
      <c r="C40" s="74">
        <v>0</v>
      </c>
      <c r="D40" s="74">
        <v>5</v>
      </c>
      <c r="E40" s="75">
        <f>+SUM(B40:D40)</f>
        <v>8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3.2</v>
      </c>
      <c r="C43" s="199">
        <v>1347</v>
      </c>
      <c r="D43" s="200">
        <v>2400</v>
      </c>
      <c r="E43" s="201">
        <f t="shared" ref="E43:E48" si="4">+C43/D43</f>
        <v>0.56125000000000003</v>
      </c>
      <c r="F43" s="201">
        <f t="shared" ref="F43:F48" si="5">+B43/24</f>
        <v>0.13333333333333333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2.17</v>
      </c>
      <c r="C44" s="199">
        <v>1967</v>
      </c>
      <c r="D44" s="200">
        <v>3600</v>
      </c>
      <c r="E44" s="201">
        <f t="shared" si="4"/>
        <v>0.54638888888888892</v>
      </c>
      <c r="F44" s="201">
        <f t="shared" si="5"/>
        <v>9.0416666666666659E-2</v>
      </c>
      <c r="G44" s="202">
        <v>12</v>
      </c>
      <c r="H44" s="71"/>
    </row>
    <row r="45" spans="1:11" x14ac:dyDescent="0.25">
      <c r="A45" s="207" t="s">
        <v>72</v>
      </c>
      <c r="B45" s="199">
        <v>6.57</v>
      </c>
      <c r="C45" s="199">
        <v>2714</v>
      </c>
      <c r="D45" s="200">
        <v>3900</v>
      </c>
      <c r="E45" s="201">
        <f t="shared" si="4"/>
        <v>0.69589743589743591</v>
      </c>
      <c r="F45" s="201">
        <f t="shared" si="5"/>
        <v>0.27374999999999999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7.25</v>
      </c>
      <c r="C46" s="199">
        <v>2350</v>
      </c>
      <c r="D46" s="200">
        <v>3900</v>
      </c>
      <c r="E46" s="201">
        <f t="shared" si="4"/>
        <v>0.60256410256410253</v>
      </c>
      <c r="F46" s="201">
        <f t="shared" si="5"/>
        <v>0.30208333333333331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6.12</v>
      </c>
      <c r="C47" s="199">
        <v>2008</v>
      </c>
      <c r="D47" s="200">
        <v>3900</v>
      </c>
      <c r="E47" s="201">
        <f t="shared" si="4"/>
        <v>0.51487179487179491</v>
      </c>
      <c r="F47" s="201">
        <f t="shared" si="5"/>
        <v>0.255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7.77</v>
      </c>
      <c r="C48" s="261">
        <v>2260</v>
      </c>
      <c r="D48" s="262">
        <v>4300</v>
      </c>
      <c r="E48" s="263">
        <f t="shared" si="4"/>
        <v>0.52558139534883719</v>
      </c>
      <c r="F48" s="201">
        <f t="shared" si="5"/>
        <v>0.32374999999999998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5" si="6">+J48*1.5</f>
        <v>129</v>
      </c>
    </row>
    <row r="49" spans="2:11" x14ac:dyDescent="0.25">
      <c r="B49" s="113">
        <f>+SUM(B43:B48)</f>
        <v>33.08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6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6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6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46141</v>
      </c>
      <c r="I52" s="129" t="s">
        <v>175</v>
      </c>
      <c r="J52" s="162">
        <v>94</v>
      </c>
      <c r="K52" s="318">
        <f t="shared" si="6"/>
        <v>141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46141</v>
      </c>
      <c r="I53" s="129" t="s">
        <v>176</v>
      </c>
      <c r="J53" s="162">
        <v>150</v>
      </c>
      <c r="K53" s="318">
        <f t="shared" si="6"/>
        <v>225</v>
      </c>
    </row>
    <row r="54" spans="2:11" x14ac:dyDescent="0.25">
      <c r="C54" s="71">
        <v>4</v>
      </c>
      <c r="D54" s="108">
        <v>0</v>
      </c>
      <c r="H54" s="301">
        <v>46144</v>
      </c>
      <c r="I54" s="129" t="s">
        <v>175</v>
      </c>
      <c r="J54" s="162">
        <v>129</v>
      </c>
      <c r="K54" s="318">
        <f t="shared" si="6"/>
        <v>193.5</v>
      </c>
    </row>
    <row r="55" spans="2:11" x14ac:dyDescent="0.25">
      <c r="C55" s="71">
        <v>5</v>
      </c>
      <c r="D55" s="108">
        <v>0</v>
      </c>
      <c r="H55" s="301">
        <v>46144</v>
      </c>
      <c r="I55" s="129" t="s">
        <v>176</v>
      </c>
      <c r="J55" s="162">
        <v>167</v>
      </c>
      <c r="K55" s="318">
        <f t="shared" si="6"/>
        <v>250.5</v>
      </c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6</v>
      </c>
    </row>
    <row r="59" spans="2:11" x14ac:dyDescent="0.25">
      <c r="H59" s="359" t="s">
        <v>273</v>
      </c>
      <c r="I59" s="345"/>
      <c r="J59" s="199">
        <f>+J54+J55</f>
        <v>296</v>
      </c>
      <c r="K59" s="346">
        <f>+J59*1.5</f>
        <v>444</v>
      </c>
    </row>
    <row r="60" spans="2:11" x14ac:dyDescent="0.25">
      <c r="B60" s="364" t="s">
        <v>231</v>
      </c>
      <c r="C60" s="199">
        <v>1052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7">+F65*1.5</f>
        <v>97.5</v>
      </c>
      <c r="H65" s="301">
        <v>46129</v>
      </c>
      <c r="I65" s="129" t="s">
        <v>175</v>
      </c>
      <c r="J65" s="162">
        <v>5040</v>
      </c>
      <c r="K65" s="318">
        <f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7"/>
        <v>282</v>
      </c>
      <c r="H66" s="301">
        <v>46132</v>
      </c>
      <c r="I66" s="129" t="s">
        <v>175</v>
      </c>
      <c r="J66" s="162">
        <v>5136</v>
      </c>
      <c r="K66" s="318">
        <f>+J66*0.025</f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7"/>
        <v>3</v>
      </c>
      <c r="H67" s="301">
        <v>46132</v>
      </c>
      <c r="I67" s="129" t="s">
        <v>176</v>
      </c>
      <c r="J67" s="162">
        <v>5941</v>
      </c>
      <c r="K67" s="318">
        <f>+J67*0.025</f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7"/>
        <v>300</v>
      </c>
      <c r="H68" s="301">
        <v>46145</v>
      </c>
      <c r="I68" s="129" t="s">
        <v>175</v>
      </c>
      <c r="J68" s="162">
        <v>2986</v>
      </c>
      <c r="K68" s="318">
        <f>+J68*0.025</f>
        <v>74.650000000000006</v>
      </c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7"/>
        <v>250.5</v>
      </c>
      <c r="H69" s="301">
        <v>46145</v>
      </c>
      <c r="I69" s="129" t="s">
        <v>176</v>
      </c>
      <c r="J69" s="162">
        <v>5940</v>
      </c>
      <c r="K69" s="318">
        <f>+J69*0.025</f>
        <v>148.5</v>
      </c>
    </row>
    <row r="70" spans="2:11" x14ac:dyDescent="0.25">
      <c r="B70" s="71" t="s">
        <v>280</v>
      </c>
      <c r="C70" s="466">
        <v>0.99</v>
      </c>
      <c r="D70" s="301" t="s">
        <v>295</v>
      </c>
      <c r="E70" s="129"/>
      <c r="F70" s="71">
        <f>+G70/1.5</f>
        <v>712.18</v>
      </c>
      <c r="G70" s="297">
        <f>663.27+(270*1.5)</f>
        <v>1068.27</v>
      </c>
      <c r="H70" s="301"/>
      <c r="I70" s="129"/>
      <c r="K70" s="318"/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59" t="s">
        <v>296</v>
      </c>
      <c r="I71" s="345"/>
      <c r="J71" s="199">
        <f>+J69+J68</f>
        <v>8926</v>
      </c>
      <c r="K71" s="346">
        <f>+J71*0.025</f>
        <v>223.15</v>
      </c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/>
      <c r="E73" s="129"/>
      <c r="F73" s="71"/>
      <c r="G73" s="297"/>
      <c r="H73" s="301"/>
      <c r="I73" s="129"/>
      <c r="K73" s="318"/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topLeftCell="A23" workbookViewId="0">
      <selection activeCell="A28" sqref="A28:K73"/>
    </sheetView>
  </sheetViews>
  <sheetFormatPr baseColWidth="10" defaultColWidth="11.42578125" defaultRowHeight="15.75" x14ac:dyDescent="0.25"/>
  <cols>
    <col min="1" max="1" width="2.42578125" style="162" customWidth="1"/>
    <col min="2" max="2" width="41.28515625" style="162" customWidth="1"/>
    <col min="3" max="3" width="11" style="162" customWidth="1"/>
    <col min="4" max="4" width="14.5703125" style="163" customWidth="1"/>
    <col min="5" max="5" width="14.85546875" style="162" customWidth="1"/>
    <col min="6" max="6" width="16.85546875" style="162" customWidth="1"/>
    <col min="7" max="7" width="16.140625" style="162" customWidth="1"/>
    <col min="8" max="8" width="14.140625" style="162" customWidth="1"/>
    <col min="9" max="10" width="11.42578125" style="162"/>
    <col min="11" max="11" width="7.85546875" style="162" bestFit="1" customWidth="1"/>
    <col min="12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/>
      <c r="F1" s="374">
        <v>46023</v>
      </c>
      <c r="G1" s="374">
        <v>46054</v>
      </c>
      <c r="H1" s="374">
        <v>46082</v>
      </c>
      <c r="I1" s="374">
        <v>46113</v>
      </c>
      <c r="J1" s="374">
        <v>46143</v>
      </c>
      <c r="K1" s="374">
        <v>46174</v>
      </c>
    </row>
    <row r="2" spans="1:11" x14ac:dyDescent="0.25">
      <c r="E2" s="320"/>
      <c r="F2" s="308">
        <f>+'Plan ventas 2026'!C6</f>
        <v>206828.90469992431</v>
      </c>
      <c r="G2" s="308">
        <f>+'Plan ventas 2026'!D6</f>
        <v>194544.91062046765</v>
      </c>
      <c r="H2" s="308">
        <f>+'Plan ventas 2026'!E6</f>
        <v>209783.99206683473</v>
      </c>
      <c r="I2" s="308">
        <f>+'Plan ventas 2026'!F9</f>
        <v>222576.996709089</v>
      </c>
      <c r="J2" s="308">
        <f>+'Plan ventas 2026'!G9</f>
        <v>228230.92688777612</v>
      </c>
      <c r="K2" s="308">
        <f>+'Plan ventas 2026'!H9</f>
        <v>224314.19420069718</v>
      </c>
    </row>
    <row r="3" spans="1:11" ht="15" customHeight="1" x14ac:dyDescent="0.25">
      <c r="A3" s="164"/>
      <c r="B3" s="519" t="s">
        <v>36</v>
      </c>
      <c r="C3" s="519"/>
      <c r="D3" s="519"/>
      <c r="E3" s="108"/>
      <c r="F3" s="108">
        <f>+F2/31</f>
        <v>6671.9001516104618</v>
      </c>
      <c r="G3" s="108">
        <f>+G2/28</f>
        <v>6948.0325221595585</v>
      </c>
      <c r="H3" s="108">
        <f>+H2/31</f>
        <v>6767.2255505430558</v>
      </c>
      <c r="I3" s="108">
        <f>+I2/30</f>
        <v>7419.2332236363</v>
      </c>
      <c r="J3" s="108">
        <f t="shared" ref="J3:K3" si="0">+J2/30</f>
        <v>7607.6975629258704</v>
      </c>
      <c r="K3" s="108">
        <f t="shared" si="0"/>
        <v>7477.1398066899064</v>
      </c>
    </row>
    <row r="4" spans="1:11" ht="19.5" customHeight="1" thickBot="1" x14ac:dyDescent="0.4">
      <c r="A4" s="164"/>
      <c r="B4" s="504"/>
      <c r="C4" s="504"/>
      <c r="D4" s="165">
        <f>D25</f>
        <v>7675.4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5345</v>
      </c>
      <c r="D5" s="172">
        <v>228.03399999999999</v>
      </c>
      <c r="E5" s="80">
        <f t="shared" ref="E5:E25" si="1">+D5/$D$4</f>
        <v>2.9709721968887614E-2</v>
      </c>
      <c r="F5" s="58" t="s">
        <v>51</v>
      </c>
      <c r="G5" s="59">
        <v>46146</v>
      </c>
      <c r="H5" s="190">
        <v>6207</v>
      </c>
      <c r="I5" s="141">
        <v>7675.4</v>
      </c>
      <c r="J5" s="60">
        <f t="shared" ref="J5:J12" si="2">+I5/H5</f>
        <v>1.2365716126953439</v>
      </c>
    </row>
    <row r="6" spans="1:11" ht="15" customHeight="1" x14ac:dyDescent="0.25">
      <c r="A6" s="164"/>
      <c r="B6" s="169" t="s">
        <v>10</v>
      </c>
      <c r="C6" s="177">
        <v>12475</v>
      </c>
      <c r="D6" s="173">
        <v>532.31200000000001</v>
      </c>
      <c r="E6" s="80">
        <f t="shared" si="1"/>
        <v>6.9352997889360821E-2</v>
      </c>
      <c r="F6" s="58" t="s">
        <v>52</v>
      </c>
      <c r="G6" s="59">
        <v>46147</v>
      </c>
      <c r="H6" s="190">
        <v>9009</v>
      </c>
      <c r="I6" s="141"/>
      <c r="J6" s="60">
        <f t="shared" si="2"/>
        <v>0</v>
      </c>
    </row>
    <row r="7" spans="1:11" ht="15" customHeight="1" x14ac:dyDescent="0.25">
      <c r="A7" s="164"/>
      <c r="B7" s="169" t="s">
        <v>35</v>
      </c>
      <c r="C7" s="177">
        <v>19722</v>
      </c>
      <c r="D7" s="173">
        <v>841.35199999999998</v>
      </c>
      <c r="E7" s="245">
        <f t="shared" si="1"/>
        <v>0.10961669750110743</v>
      </c>
      <c r="F7" s="58" t="s">
        <v>53</v>
      </c>
      <c r="G7" s="59">
        <v>46148</v>
      </c>
      <c r="H7" s="190">
        <v>9197</v>
      </c>
      <c r="I7" s="141"/>
      <c r="J7" s="60">
        <f t="shared" si="2"/>
        <v>0</v>
      </c>
    </row>
    <row r="8" spans="1:11" ht="15" customHeight="1" x14ac:dyDescent="0.25">
      <c r="A8" s="164"/>
      <c r="B8" s="169" t="s">
        <v>4</v>
      </c>
      <c r="C8" s="177">
        <v>800</v>
      </c>
      <c r="D8" s="173">
        <v>34.11</v>
      </c>
      <c r="E8" s="80">
        <f t="shared" si="1"/>
        <v>4.4440680615993955E-3</v>
      </c>
      <c r="F8" s="58" t="s">
        <v>54</v>
      </c>
      <c r="G8" s="59">
        <v>46149</v>
      </c>
      <c r="H8" s="190">
        <v>9027</v>
      </c>
      <c r="I8" s="141"/>
      <c r="J8" s="60">
        <f t="shared" si="2"/>
        <v>0</v>
      </c>
    </row>
    <row r="9" spans="1:11" ht="15" customHeight="1" x14ac:dyDescent="0.25">
      <c r="A9" s="164"/>
      <c r="B9" s="169" t="s">
        <v>37</v>
      </c>
      <c r="C9" s="177">
        <v>35779</v>
      </c>
      <c r="D9" s="173">
        <v>1528.32</v>
      </c>
      <c r="E9" s="245">
        <f t="shared" si="1"/>
        <v>0.19911926414258541</v>
      </c>
      <c r="F9" s="58" t="s">
        <v>55</v>
      </c>
      <c r="G9" s="59">
        <v>46150</v>
      </c>
      <c r="H9" s="190">
        <v>7714</v>
      </c>
      <c r="I9" s="141"/>
      <c r="J9" s="60">
        <f t="shared" si="2"/>
        <v>0</v>
      </c>
    </row>
    <row r="10" spans="1:11" ht="15" customHeight="1" x14ac:dyDescent="0.25">
      <c r="A10" s="164"/>
      <c r="B10" s="169" t="s">
        <v>38</v>
      </c>
      <c r="C10" s="177">
        <v>38577</v>
      </c>
      <c r="D10" s="173">
        <v>1645.482</v>
      </c>
      <c r="E10" s="245">
        <f t="shared" si="1"/>
        <v>0.2143838757589181</v>
      </c>
      <c r="F10" s="58" t="s">
        <v>56</v>
      </c>
      <c r="G10" s="59">
        <v>46151</v>
      </c>
      <c r="H10" s="190">
        <v>7284</v>
      </c>
      <c r="I10" s="141"/>
      <c r="J10" s="60">
        <f t="shared" si="2"/>
        <v>0</v>
      </c>
    </row>
    <row r="11" spans="1:11" ht="15" customHeight="1" x14ac:dyDescent="0.25">
      <c r="A11" s="164"/>
      <c r="B11" s="169" t="s">
        <v>42</v>
      </c>
      <c r="C11" s="177">
        <v>12195</v>
      </c>
      <c r="D11" s="173">
        <v>520.654</v>
      </c>
      <c r="E11" s="80">
        <f t="shared" si="1"/>
        <v>6.783411939442896E-2</v>
      </c>
      <c r="F11" s="58" t="s">
        <v>57</v>
      </c>
      <c r="G11" s="59">
        <v>46152</v>
      </c>
      <c r="H11" s="190">
        <v>4906</v>
      </c>
      <c r="I11" s="141"/>
      <c r="J11" s="60">
        <f t="shared" si="2"/>
        <v>0</v>
      </c>
    </row>
    <row r="12" spans="1:11" ht="15" customHeight="1" x14ac:dyDescent="0.25">
      <c r="A12" s="164"/>
      <c r="B12" s="169" t="s">
        <v>196</v>
      </c>
      <c r="C12" s="177">
        <v>2790</v>
      </c>
      <c r="D12" s="173">
        <v>70.775999999999996</v>
      </c>
      <c r="E12" s="80">
        <f t="shared" si="1"/>
        <v>9.2211480834875053E-3</v>
      </c>
      <c r="H12" s="139">
        <f>+SUM(H5:H11)</f>
        <v>53344</v>
      </c>
      <c r="I12" s="142">
        <f>+SUM(I5:I11)</f>
        <v>7675.4</v>
      </c>
      <c r="J12" s="140">
        <f t="shared" si="2"/>
        <v>0.1438849730053989</v>
      </c>
    </row>
    <row r="13" spans="1:11" ht="15" customHeight="1" x14ac:dyDescent="0.25">
      <c r="A13" s="164"/>
      <c r="B13" s="169" t="s">
        <v>95</v>
      </c>
      <c r="C13" s="177">
        <v>1200</v>
      </c>
      <c r="D13" s="173">
        <v>30.21</v>
      </c>
      <c r="E13" s="80">
        <f t="shared" si="1"/>
        <v>3.9359512207832823E-3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44</v>
      </c>
      <c r="C14" s="177"/>
      <c r="D14" s="173"/>
      <c r="E14" s="80">
        <f t="shared" si="1"/>
        <v>0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39</v>
      </c>
      <c r="C15" s="177">
        <v>335</v>
      </c>
      <c r="D15" s="173">
        <v>505.01</v>
      </c>
      <c r="E15" s="80">
        <f t="shared" si="1"/>
        <v>6.5795919430909136E-2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3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43</v>
      </c>
      <c r="C16" s="177">
        <v>320</v>
      </c>
      <c r="D16" s="173">
        <v>482.57</v>
      </c>
      <c r="E16" s="80">
        <f t="shared" si="1"/>
        <v>6.2872293300674884E-2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3"/>
        <v>0.98824488278289624</v>
      </c>
      <c r="K16" s="456">
        <f t="shared" si="3"/>
        <v>1.250875925629845</v>
      </c>
    </row>
    <row r="17" spans="1:11" ht="15" customHeight="1" x14ac:dyDescent="0.25">
      <c r="A17" s="164"/>
      <c r="B17" s="169" t="s">
        <v>49</v>
      </c>
      <c r="C17" s="177"/>
      <c r="D17" s="173"/>
      <c r="E17" s="80">
        <f t="shared" si="1"/>
        <v>0</v>
      </c>
      <c r="F17" s="112" t="s">
        <v>111</v>
      </c>
      <c r="G17" s="190">
        <v>205343.72800000012</v>
      </c>
      <c r="H17" s="190">
        <v>198970.75799999986</v>
      </c>
      <c r="I17" s="190">
        <v>228705.96</v>
      </c>
      <c r="J17" s="456">
        <f t="shared" si="3"/>
        <v>0.96896437956945902</v>
      </c>
      <c r="K17" s="456">
        <f t="shared" si="3"/>
        <v>1.1494450857949696</v>
      </c>
    </row>
    <row r="18" spans="1:11" ht="15" customHeight="1" x14ac:dyDescent="0.25">
      <c r="A18" s="164"/>
      <c r="B18" s="169" t="s">
        <v>45</v>
      </c>
      <c r="C18" s="177">
        <v>45</v>
      </c>
      <c r="D18" s="173">
        <v>67.709999999999994</v>
      </c>
      <c r="E18" s="80">
        <f t="shared" si="1"/>
        <v>8.821690074784375E-3</v>
      </c>
      <c r="F18" s="112" t="s">
        <v>102</v>
      </c>
      <c r="G18" s="190">
        <v>209473.77399999995</v>
      </c>
      <c r="H18" s="190">
        <v>212393.17300000001</v>
      </c>
      <c r="I18" s="190">
        <f>+D26</f>
        <v>22929.675999999999</v>
      </c>
      <c r="J18" s="456">
        <f t="shared" si="3"/>
        <v>1.0139368234230604</v>
      </c>
      <c r="K18" s="456">
        <f t="shared" si="3"/>
        <v>0.10795863010154286</v>
      </c>
    </row>
    <row r="19" spans="1:11" ht="15" customHeight="1" x14ac:dyDescent="0.25">
      <c r="A19" s="164"/>
      <c r="B19" s="169" t="s">
        <v>41</v>
      </c>
      <c r="C19" s="177">
        <v>143</v>
      </c>
      <c r="D19" s="173">
        <v>215.58</v>
      </c>
      <c r="E19" s="80">
        <f t="shared" si="1"/>
        <v>2.8087135523881493E-2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3"/>
        <v>1.0411341364876525</v>
      </c>
      <c r="K19" s="456">
        <f t="shared" si="3"/>
        <v>0</v>
      </c>
    </row>
    <row r="20" spans="1:11" ht="15" customHeight="1" x14ac:dyDescent="0.25">
      <c r="A20" s="164"/>
      <c r="B20" s="169" t="s">
        <v>88</v>
      </c>
      <c r="C20" s="177">
        <v>40</v>
      </c>
      <c r="D20" s="173">
        <v>60.55</v>
      </c>
      <c r="E20" s="80">
        <f t="shared" si="1"/>
        <v>7.8888396695937675E-3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3"/>
        <v>1.0133436050715139</v>
      </c>
      <c r="K20" s="456">
        <f t="shared" si="3"/>
        <v>0</v>
      </c>
    </row>
    <row r="21" spans="1:11" ht="15" customHeight="1" x14ac:dyDescent="0.25">
      <c r="A21" s="164"/>
      <c r="B21" s="169" t="s">
        <v>40</v>
      </c>
      <c r="C21" s="177"/>
      <c r="D21" s="173">
        <v>329.85</v>
      </c>
      <c r="E21" s="80">
        <f t="shared" si="1"/>
        <v>4.2974958959793634E-2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3"/>
        <v>1.0027046084995204</v>
      </c>
      <c r="K21" s="456">
        <f t="shared" si="3"/>
        <v>0</v>
      </c>
    </row>
    <row r="22" spans="1:11" ht="15" customHeight="1" x14ac:dyDescent="0.25">
      <c r="A22" s="164"/>
      <c r="B22" s="169" t="s">
        <v>265</v>
      </c>
      <c r="C22" s="177"/>
      <c r="D22" s="173">
        <v>59.87</v>
      </c>
      <c r="E22" s="80">
        <f t="shared" si="1"/>
        <v>7.8002449383745469E-3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3"/>
        <v>1.0160661727759943</v>
      </c>
      <c r="K22" s="456">
        <f t="shared" si="3"/>
        <v>0</v>
      </c>
    </row>
    <row r="23" spans="1:11" ht="15" customHeight="1" x14ac:dyDescent="0.25">
      <c r="A23" s="164"/>
      <c r="B23" s="169" t="s">
        <v>9</v>
      </c>
      <c r="C23" s="177"/>
      <c r="D23" s="173">
        <v>211.84</v>
      </c>
      <c r="E23" s="80">
        <f t="shared" si="1"/>
        <v>2.7599864502175785E-2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3"/>
        <v>1.0505805018598029</v>
      </c>
      <c r="K23" s="456">
        <f t="shared" si="3"/>
        <v>0</v>
      </c>
    </row>
    <row r="24" spans="1:11" ht="15" customHeight="1" thickBot="1" x14ac:dyDescent="0.3">
      <c r="A24" s="164"/>
      <c r="B24" s="169" t="s">
        <v>46</v>
      </c>
      <c r="C24" s="177"/>
      <c r="D24" s="173">
        <v>311.17</v>
      </c>
      <c r="E24" s="80">
        <f t="shared" si="1"/>
        <v>4.0541209578653883E-2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3"/>
        <v>1.1265796786294864</v>
      </c>
      <c r="K24" s="456">
        <f t="shared" si="3"/>
        <v>0</v>
      </c>
    </row>
    <row r="25" spans="1:11" ht="15" customHeight="1" thickBot="1" x14ac:dyDescent="0.3">
      <c r="A25" s="164"/>
      <c r="B25" s="178" t="s">
        <v>0</v>
      </c>
      <c r="C25" s="170"/>
      <c r="D25" s="171">
        <f>SUM(D5:D24)</f>
        <v>7675.4</v>
      </c>
      <c r="E25" s="80">
        <f t="shared" si="1"/>
        <v>1</v>
      </c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3"/>
        <v>1.1725047231175361</v>
      </c>
      <c r="K25" s="456">
        <f t="shared" si="3"/>
        <v>0</v>
      </c>
    </row>
    <row r="26" spans="1:11" ht="15" customHeight="1" thickBot="1" x14ac:dyDescent="0.3">
      <c r="A26" s="164"/>
      <c r="B26" s="166" t="s">
        <v>1</v>
      </c>
      <c r="C26" s="167"/>
      <c r="D26" s="233">
        <v>22929.675999999999</v>
      </c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929686.27199999988</v>
      </c>
      <c r="J26" s="378"/>
      <c r="K26" s="378">
        <f>+I26/H26</f>
        <v>1.2078578851961539</v>
      </c>
    </row>
    <row r="27" spans="1:11" ht="19.5" thickBot="1" x14ac:dyDescent="0.3">
      <c r="E27" s="313">
        <f>+D26/J2</f>
        <v>0.1004669976706303</v>
      </c>
      <c r="G27" s="379" t="s">
        <v>229</v>
      </c>
      <c r="H27" s="380"/>
      <c r="I27" s="380">
        <v>2726927.1277059279</v>
      </c>
      <c r="J27" s="381">
        <f>+I26/H26</f>
        <v>1.2078578851961539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505">
        <v>4</v>
      </c>
      <c r="D29" s="108">
        <f>J3*C29</f>
        <v>30430.790251703482</v>
      </c>
      <c r="E29" s="314">
        <f>+D29/I2</f>
        <v>0.13672028422360696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5" customHeight="1" thickBot="1" x14ac:dyDescent="0.3">
      <c r="D30" s="183">
        <f>+D26-D29</f>
        <v>-7501.1142517034823</v>
      </c>
      <c r="E30" s="99">
        <f>E27-E29</f>
        <v>-3.625328655297666E-2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1.1494450857949696</v>
      </c>
      <c r="J31" s="422">
        <f>+I17-H17</f>
        <v>29735.202000000136</v>
      </c>
      <c r="K31" s="459">
        <f>J28+J31+J30+J29</f>
        <v>137058.20400000017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1054</v>
      </c>
      <c r="D33" s="108">
        <v>2142</v>
      </c>
      <c r="E33" s="57">
        <f>+C33/D33</f>
        <v>0.49206349206349204</v>
      </c>
      <c r="G33" s="86" t="s">
        <v>86</v>
      </c>
      <c r="H33" s="87">
        <f>13500+1956</f>
        <v>15456</v>
      </c>
      <c r="I33" s="88">
        <f>+H33*0.025</f>
        <v>386.40000000000003</v>
      </c>
      <c r="J33" s="224"/>
      <c r="K33" s="68"/>
    </row>
    <row r="34" spans="1:11" x14ac:dyDescent="0.25">
      <c r="B34" s="162" t="s">
        <v>62</v>
      </c>
      <c r="C34" s="162">
        <v>1838</v>
      </c>
      <c r="D34" s="108">
        <v>1890</v>
      </c>
      <c r="E34" s="57">
        <f>+C34/D34</f>
        <v>0.97248677248677251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ht="15" customHeight="1" x14ac:dyDescent="0.25">
      <c r="B35" s="162" t="s">
        <v>63</v>
      </c>
      <c r="C35" s="67">
        <v>1512</v>
      </c>
      <c r="D35" s="108">
        <v>3006</v>
      </c>
      <c r="E35" s="57">
        <f>+C35/D35</f>
        <v>0.50299401197604787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ht="15" customHeight="1" x14ac:dyDescent="0.25">
      <c r="C36" s="162">
        <f>+SUM(C33:C35)</f>
        <v>4404</v>
      </c>
      <c r="D36" s="110">
        <f>+SUM(D33:D35)</f>
        <v>7038</v>
      </c>
      <c r="E36" s="57">
        <f>+C36/D36</f>
        <v>0.62574595055413473</v>
      </c>
      <c r="G36" s="89" t="s">
        <v>169</v>
      </c>
      <c r="H36" s="87">
        <v>370</v>
      </c>
      <c r="I36" s="88">
        <f>+H36*1.5</f>
        <v>555</v>
      </c>
      <c r="J36" s="298">
        <f>+I36+I33+I34+I35</f>
        <v>965.7</v>
      </c>
    </row>
    <row r="37" spans="1:11" ht="15" customHeight="1" x14ac:dyDescent="0.25">
      <c r="G37" s="89" t="s">
        <v>168</v>
      </c>
      <c r="H37" s="87">
        <v>72</v>
      </c>
      <c r="I37" s="88">
        <f>+H37*1.5</f>
        <v>108</v>
      </c>
      <c r="J37" s="228" t="s">
        <v>193</v>
      </c>
    </row>
    <row r="38" spans="1:11" ht="15" customHeight="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12</v>
      </c>
      <c r="C40" s="74">
        <v>5</v>
      </c>
      <c r="D40" s="74">
        <v>8</v>
      </c>
      <c r="E40" s="75">
        <f>+SUM(B40:D40)</f>
        <v>25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5.5</v>
      </c>
      <c r="C43" s="199">
        <v>1540</v>
      </c>
      <c r="D43" s="200">
        <v>2400</v>
      </c>
      <c r="E43" s="201">
        <f t="shared" ref="E43:E48" si="4">+C43/D43</f>
        <v>0.64166666666666672</v>
      </c>
      <c r="F43" s="201">
        <f t="shared" ref="F43:F48" si="5">+B43/24</f>
        <v>0.22916666666666666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3.88</v>
      </c>
      <c r="C44" s="199">
        <v>2272</v>
      </c>
      <c r="D44" s="200">
        <v>3600</v>
      </c>
      <c r="E44" s="201">
        <f t="shared" si="4"/>
        <v>0.63111111111111107</v>
      </c>
      <c r="F44" s="201">
        <f t="shared" si="5"/>
        <v>0.16166666666666665</v>
      </c>
      <c r="G44" s="202">
        <v>12</v>
      </c>
      <c r="H44" s="71"/>
    </row>
    <row r="45" spans="1:11" x14ac:dyDescent="0.25">
      <c r="A45" s="207" t="s">
        <v>72</v>
      </c>
      <c r="B45" s="199">
        <v>8.2799999999999994</v>
      </c>
      <c r="C45" s="199">
        <v>2632</v>
      </c>
      <c r="D45" s="200">
        <v>3900</v>
      </c>
      <c r="E45" s="201">
        <f t="shared" si="4"/>
        <v>0.67487179487179483</v>
      </c>
      <c r="F45" s="201">
        <f t="shared" si="5"/>
        <v>0.34499999999999997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16.63</v>
      </c>
      <c r="C46" s="199">
        <v>2728</v>
      </c>
      <c r="D46" s="200">
        <v>3900</v>
      </c>
      <c r="E46" s="201">
        <f t="shared" si="4"/>
        <v>0.69948717948717953</v>
      </c>
      <c r="F46" s="201">
        <f t="shared" si="5"/>
        <v>0.69291666666666663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6.86</v>
      </c>
      <c r="C47" s="199">
        <v>1942</v>
      </c>
      <c r="D47" s="200">
        <v>3900</v>
      </c>
      <c r="E47" s="201">
        <f t="shared" si="4"/>
        <v>0.49794871794871792</v>
      </c>
      <c r="F47" s="201">
        <f t="shared" si="5"/>
        <v>0.28583333333333333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13.52</v>
      </c>
      <c r="C48" s="261">
        <v>2315</v>
      </c>
      <c r="D48" s="262">
        <v>4300</v>
      </c>
      <c r="E48" s="263">
        <f t="shared" si="4"/>
        <v>0.53837209302325584</v>
      </c>
      <c r="F48" s="201">
        <f t="shared" si="5"/>
        <v>0.56333333333333335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5" si="6">+J48*1.5</f>
        <v>129</v>
      </c>
    </row>
    <row r="49" spans="2:11" x14ac:dyDescent="0.25">
      <c r="B49" s="113">
        <f>+SUM(B43:B48)</f>
        <v>54.669999999999987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6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6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6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46141</v>
      </c>
      <c r="I52" s="129" t="s">
        <v>175</v>
      </c>
      <c r="J52" s="162">
        <v>94</v>
      </c>
      <c r="K52" s="318">
        <f t="shared" si="6"/>
        <v>141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46141</v>
      </c>
      <c r="I53" s="129" t="s">
        <v>176</v>
      </c>
      <c r="J53" s="162">
        <v>150</v>
      </c>
      <c r="K53" s="318">
        <f t="shared" si="6"/>
        <v>225</v>
      </c>
    </row>
    <row r="54" spans="2:11" x14ac:dyDescent="0.25">
      <c r="C54" s="71">
        <v>4</v>
      </c>
      <c r="D54" s="108">
        <v>0</v>
      </c>
      <c r="H54" s="301">
        <v>46144</v>
      </c>
      <c r="I54" s="129" t="s">
        <v>175</v>
      </c>
      <c r="J54" s="162">
        <v>129</v>
      </c>
      <c r="K54" s="318">
        <f t="shared" si="6"/>
        <v>193.5</v>
      </c>
    </row>
    <row r="55" spans="2:11" x14ac:dyDescent="0.25">
      <c r="C55" s="71">
        <v>5</v>
      </c>
      <c r="D55" s="108">
        <v>0</v>
      </c>
      <c r="H55" s="301">
        <v>46144</v>
      </c>
      <c r="I55" s="129" t="s">
        <v>176</v>
      </c>
      <c r="J55" s="162">
        <v>167</v>
      </c>
      <c r="K55" s="318">
        <f t="shared" si="6"/>
        <v>250.5</v>
      </c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8</v>
      </c>
    </row>
    <row r="59" spans="2:11" x14ac:dyDescent="0.25">
      <c r="H59" s="359" t="s">
        <v>273</v>
      </c>
      <c r="I59" s="345"/>
      <c r="J59" s="199">
        <f>+J54+J55</f>
        <v>296</v>
      </c>
      <c r="K59" s="346">
        <f>+J59*1.5</f>
        <v>444</v>
      </c>
    </row>
    <row r="60" spans="2:11" x14ac:dyDescent="0.25">
      <c r="B60" s="364" t="s">
        <v>231</v>
      </c>
      <c r="C60" s="199">
        <v>1959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7">+F65*1.5</f>
        <v>97.5</v>
      </c>
      <c r="H65" s="301">
        <v>46129</v>
      </c>
      <c r="I65" s="129" t="s">
        <v>175</v>
      </c>
      <c r="J65" s="162">
        <v>5040</v>
      </c>
      <c r="K65" s="318">
        <f t="shared" ref="K65:K71" si="8"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7"/>
        <v>282</v>
      </c>
      <c r="H66" s="301">
        <v>46132</v>
      </c>
      <c r="I66" s="129" t="s">
        <v>175</v>
      </c>
      <c r="J66" s="162">
        <v>5136</v>
      </c>
      <c r="K66" s="318">
        <f t="shared" si="8"/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7"/>
        <v>3</v>
      </c>
      <c r="H67" s="301">
        <v>46132</v>
      </c>
      <c r="I67" s="129" t="s">
        <v>176</v>
      </c>
      <c r="J67" s="162">
        <v>5941</v>
      </c>
      <c r="K67" s="318">
        <f t="shared" si="8"/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7"/>
        <v>300</v>
      </c>
      <c r="H68" s="301">
        <v>46145</v>
      </c>
      <c r="I68" s="129" t="s">
        <v>175</v>
      </c>
      <c r="J68" s="162">
        <v>2986</v>
      </c>
      <c r="K68" s="318">
        <f t="shared" si="8"/>
        <v>74.650000000000006</v>
      </c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7"/>
        <v>250.5</v>
      </c>
      <c r="H69" s="301">
        <v>46145</v>
      </c>
      <c r="I69" s="129" t="s">
        <v>176</v>
      </c>
      <c r="J69" s="162">
        <v>5940</v>
      </c>
      <c r="K69" s="318">
        <f t="shared" si="8"/>
        <v>148.5</v>
      </c>
    </row>
    <row r="70" spans="2:11" x14ac:dyDescent="0.25">
      <c r="B70" s="71" t="s">
        <v>280</v>
      </c>
      <c r="C70" s="466">
        <v>0.99</v>
      </c>
      <c r="D70" s="301" t="s">
        <v>295</v>
      </c>
      <c r="E70" s="129"/>
      <c r="F70" s="71">
        <f>+G70/1.5</f>
        <v>712.18</v>
      </c>
      <c r="G70" s="297">
        <f>663.27+(270*1.5)</f>
        <v>1068.27</v>
      </c>
      <c r="H70" s="301">
        <v>46146</v>
      </c>
      <c r="I70" s="129" t="s">
        <v>175</v>
      </c>
      <c r="J70" s="162">
        <v>4302</v>
      </c>
      <c r="K70" s="318">
        <f t="shared" si="8"/>
        <v>107.55000000000001</v>
      </c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59" t="s">
        <v>297</v>
      </c>
      <c r="I71" s="345"/>
      <c r="J71" s="199">
        <f>+J69+J68+J70</f>
        <v>13228</v>
      </c>
      <c r="K71" s="346">
        <f t="shared" si="8"/>
        <v>330.70000000000005</v>
      </c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/>
      <c r="E73" s="129"/>
      <c r="F73" s="71"/>
      <c r="G73" s="297"/>
      <c r="H73" s="301"/>
      <c r="I73" s="129"/>
      <c r="K73" s="318"/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topLeftCell="A23" workbookViewId="0">
      <selection activeCell="A28" sqref="A28:K73"/>
    </sheetView>
  </sheetViews>
  <sheetFormatPr baseColWidth="10" defaultColWidth="11.42578125" defaultRowHeight="15.75" x14ac:dyDescent="0.25"/>
  <cols>
    <col min="1" max="1" width="2.42578125" style="162" customWidth="1"/>
    <col min="2" max="2" width="42.42578125" style="162" customWidth="1"/>
    <col min="3" max="3" width="12.42578125" style="162" bestFit="1" customWidth="1"/>
    <col min="4" max="4" width="13.85546875" style="163" customWidth="1"/>
    <col min="5" max="5" width="9.5703125" style="162" bestFit="1" customWidth="1"/>
    <col min="6" max="6" width="12" style="162" bestFit="1" customWidth="1"/>
    <col min="7" max="7" width="15.7109375" style="162" bestFit="1" customWidth="1"/>
    <col min="8" max="8" width="14.28515625" style="162" bestFit="1" customWidth="1"/>
    <col min="9" max="9" width="9.140625" style="162" bestFit="1" customWidth="1"/>
    <col min="10" max="10" width="11.42578125" style="162"/>
    <col min="11" max="11" width="7.85546875" style="162" bestFit="1" customWidth="1"/>
    <col min="12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/>
      <c r="F1" s="374">
        <v>46023</v>
      </c>
      <c r="G1" s="374">
        <v>46054</v>
      </c>
      <c r="H1" s="374">
        <v>46082</v>
      </c>
      <c r="I1" s="374">
        <v>46113</v>
      </c>
      <c r="J1" s="374">
        <v>46143</v>
      </c>
      <c r="K1" s="374">
        <v>46174</v>
      </c>
    </row>
    <row r="2" spans="1:11" x14ac:dyDescent="0.25">
      <c r="E2" s="320"/>
      <c r="F2" s="308">
        <f>+'Plan ventas 2026'!C6</f>
        <v>206828.90469992431</v>
      </c>
      <c r="G2" s="308">
        <f>+'Plan ventas 2026'!D6</f>
        <v>194544.91062046765</v>
      </c>
      <c r="H2" s="308">
        <f>+'Plan ventas 2026'!E6</f>
        <v>209783.99206683473</v>
      </c>
      <c r="I2" s="308">
        <f>+'Plan ventas 2026'!F9</f>
        <v>222576.996709089</v>
      </c>
      <c r="J2" s="308">
        <f>+'Plan ventas 2026'!G9</f>
        <v>228230.92688777612</v>
      </c>
      <c r="K2" s="308">
        <f>+'Plan ventas 2026'!H9</f>
        <v>224314.19420069718</v>
      </c>
    </row>
    <row r="3" spans="1:11" ht="15" customHeight="1" x14ac:dyDescent="0.25">
      <c r="A3" s="164"/>
      <c r="B3" s="519" t="s">
        <v>36</v>
      </c>
      <c r="C3" s="519"/>
      <c r="D3" s="519"/>
      <c r="E3" s="108"/>
      <c r="F3" s="108">
        <f>+F2/31</f>
        <v>6671.9001516104618</v>
      </c>
      <c r="G3" s="108">
        <f>+G2/28</f>
        <v>6948.0325221595585</v>
      </c>
      <c r="H3" s="108">
        <f>+H2/31</f>
        <v>6767.2255505430558</v>
      </c>
      <c r="I3" s="108">
        <f>+I2/30</f>
        <v>7419.2332236363</v>
      </c>
      <c r="J3" s="108">
        <f t="shared" ref="J3:K3" si="0">+J2/30</f>
        <v>7607.6975629258704</v>
      </c>
      <c r="K3" s="108">
        <f t="shared" si="0"/>
        <v>7477.1398066899064</v>
      </c>
    </row>
    <row r="4" spans="1:11" ht="19.5" customHeight="1" thickBot="1" x14ac:dyDescent="0.4">
      <c r="A4" s="164"/>
      <c r="B4" s="506"/>
      <c r="C4" s="506"/>
      <c r="D4" s="165">
        <f>D24</f>
        <v>8635.5910000000022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3810</v>
      </c>
      <c r="D5" s="172">
        <v>162.46199999999999</v>
      </c>
      <c r="E5" s="80">
        <f t="shared" ref="E5:E24" si="1">+D5/$D$4</f>
        <v>1.8813072550564282E-2</v>
      </c>
      <c r="F5" s="58" t="s">
        <v>51</v>
      </c>
      <c r="G5" s="59">
        <v>46146</v>
      </c>
      <c r="H5" s="190">
        <v>6158</v>
      </c>
      <c r="I5" s="141">
        <v>7675.4</v>
      </c>
      <c r="J5" s="60">
        <f t="shared" ref="J5:J12" si="2">+I5/H5</f>
        <v>1.2464111724585905</v>
      </c>
    </row>
    <row r="6" spans="1:11" ht="15" customHeight="1" x14ac:dyDescent="0.25">
      <c r="A6" s="164"/>
      <c r="B6" s="169" t="s">
        <v>10</v>
      </c>
      <c r="C6" s="177">
        <v>24890</v>
      </c>
      <c r="D6" s="173">
        <v>1061.452</v>
      </c>
      <c r="E6" s="80">
        <f t="shared" si="1"/>
        <v>0.12291596487142567</v>
      </c>
      <c r="F6" s="58" t="s">
        <v>52</v>
      </c>
      <c r="G6" s="59">
        <v>46147</v>
      </c>
      <c r="H6" s="190">
        <v>9119</v>
      </c>
      <c r="I6" s="141">
        <v>8635.5910000000022</v>
      </c>
      <c r="J6" s="60">
        <f t="shared" si="2"/>
        <v>0.94698881456300055</v>
      </c>
    </row>
    <row r="7" spans="1:11" ht="15" customHeight="1" x14ac:dyDescent="0.25">
      <c r="A7" s="164"/>
      <c r="B7" s="169" t="s">
        <v>35</v>
      </c>
      <c r="C7" s="177">
        <v>29423</v>
      </c>
      <c r="D7" s="173">
        <v>1255.396</v>
      </c>
      <c r="E7" s="245">
        <f t="shared" si="1"/>
        <v>0.14537464778033138</v>
      </c>
      <c r="F7" s="58" t="s">
        <v>53</v>
      </c>
      <c r="G7" s="59">
        <v>46148</v>
      </c>
      <c r="H7" s="190">
        <v>9327.9999999999982</v>
      </c>
      <c r="I7" s="141"/>
      <c r="J7" s="60">
        <f t="shared" si="2"/>
        <v>0</v>
      </c>
    </row>
    <row r="8" spans="1:11" ht="15" customHeight="1" x14ac:dyDescent="0.25">
      <c r="A8" s="164"/>
      <c r="B8" s="169" t="s">
        <v>4</v>
      </c>
      <c r="C8" s="177">
        <v>800</v>
      </c>
      <c r="D8" s="173">
        <v>34.17</v>
      </c>
      <c r="E8" s="80">
        <f t="shared" si="1"/>
        <v>3.9568803107974887E-3</v>
      </c>
      <c r="F8" s="58" t="s">
        <v>54</v>
      </c>
      <c r="G8" s="59">
        <v>46149</v>
      </c>
      <c r="H8" s="190">
        <v>8919</v>
      </c>
      <c r="I8" s="141"/>
      <c r="J8" s="60">
        <f t="shared" si="2"/>
        <v>0</v>
      </c>
    </row>
    <row r="9" spans="1:11" ht="15" customHeight="1" x14ac:dyDescent="0.25">
      <c r="A9" s="164"/>
      <c r="B9" s="169" t="s">
        <v>37</v>
      </c>
      <c r="C9" s="177">
        <v>36871</v>
      </c>
      <c r="D9" s="173">
        <v>1575.2940000000001</v>
      </c>
      <c r="E9" s="245">
        <f t="shared" si="1"/>
        <v>0.18241878291827388</v>
      </c>
      <c r="F9" s="58" t="s">
        <v>55</v>
      </c>
      <c r="G9" s="59">
        <v>46150</v>
      </c>
      <c r="H9" s="190">
        <v>7764</v>
      </c>
      <c r="I9" s="141"/>
      <c r="J9" s="60">
        <f t="shared" si="2"/>
        <v>0</v>
      </c>
    </row>
    <row r="10" spans="1:11" ht="15" customHeight="1" x14ac:dyDescent="0.25">
      <c r="A10" s="164"/>
      <c r="B10" s="169" t="s">
        <v>38</v>
      </c>
      <c r="C10" s="177">
        <v>46895</v>
      </c>
      <c r="D10" s="173">
        <v>2000.729</v>
      </c>
      <c r="E10" s="245">
        <f t="shared" si="1"/>
        <v>0.2316840850846224</v>
      </c>
      <c r="F10" s="58" t="s">
        <v>56</v>
      </c>
      <c r="G10" s="59">
        <v>46151</v>
      </c>
      <c r="H10" s="190">
        <v>7360.9999999999991</v>
      </c>
      <c r="I10" s="141"/>
      <c r="J10" s="60">
        <f t="shared" si="2"/>
        <v>0</v>
      </c>
    </row>
    <row r="11" spans="1:11" ht="15" customHeight="1" x14ac:dyDescent="0.25">
      <c r="A11" s="164"/>
      <c r="B11" s="169" t="s">
        <v>42</v>
      </c>
      <c r="C11" s="177">
        <v>8800</v>
      </c>
      <c r="D11" s="173">
        <v>375.88799999999998</v>
      </c>
      <c r="E11" s="80">
        <f t="shared" si="1"/>
        <v>4.3527767815775421E-2</v>
      </c>
      <c r="F11" s="58" t="s">
        <v>57</v>
      </c>
      <c r="G11" s="59">
        <v>46152</v>
      </c>
      <c r="H11" s="190">
        <v>5001</v>
      </c>
      <c r="I11" s="141"/>
      <c r="J11" s="60">
        <f t="shared" si="2"/>
        <v>0</v>
      </c>
    </row>
    <row r="12" spans="1:11" ht="15" customHeight="1" x14ac:dyDescent="0.25">
      <c r="A12" s="164"/>
      <c r="B12" s="169" t="s">
        <v>196</v>
      </c>
      <c r="C12" s="177"/>
      <c r="D12" s="173"/>
      <c r="E12" s="80">
        <f t="shared" si="1"/>
        <v>0</v>
      </c>
      <c r="H12" s="139">
        <f>+SUM(H5:H11)</f>
        <v>53650</v>
      </c>
      <c r="I12" s="142">
        <f>+SUM(I5:I11)</f>
        <v>16310.991000000002</v>
      </c>
      <c r="J12" s="140">
        <f t="shared" si="2"/>
        <v>0.30402592730661698</v>
      </c>
    </row>
    <row r="13" spans="1:11" ht="15" customHeight="1" x14ac:dyDescent="0.25">
      <c r="A13" s="164"/>
      <c r="B13" s="169" t="s">
        <v>44</v>
      </c>
      <c r="C13" s="177">
        <v>42</v>
      </c>
      <c r="D13" s="173">
        <v>63.38</v>
      </c>
      <c r="E13" s="80">
        <f t="shared" si="1"/>
        <v>7.3393934474200997E-3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39</v>
      </c>
      <c r="C14" s="177">
        <v>408</v>
      </c>
      <c r="D14" s="173">
        <v>614.02</v>
      </c>
      <c r="E14" s="80">
        <f t="shared" si="1"/>
        <v>7.110341376751167E-2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43</v>
      </c>
      <c r="C15" s="177">
        <v>269</v>
      </c>
      <c r="D15" s="173">
        <v>404.68</v>
      </c>
      <c r="E15" s="80">
        <f t="shared" si="1"/>
        <v>4.686187662199378E-2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3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49</v>
      </c>
      <c r="C16" s="177">
        <v>64</v>
      </c>
      <c r="D16" s="173">
        <v>96.47</v>
      </c>
      <c r="E16" s="80">
        <f t="shared" si="1"/>
        <v>1.1171209938034348E-2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3"/>
        <v>0.98824488278289624</v>
      </c>
      <c r="K16" s="456">
        <f t="shared" si="3"/>
        <v>1.250875925629845</v>
      </c>
    </row>
    <row r="17" spans="1:11" ht="15" customHeight="1" x14ac:dyDescent="0.25">
      <c r="A17" s="164"/>
      <c r="B17" s="169" t="s">
        <v>45</v>
      </c>
      <c r="C17" s="177">
        <v>24</v>
      </c>
      <c r="D17" s="173">
        <v>36.340000000000003</v>
      </c>
      <c r="E17" s="80">
        <f t="shared" si="1"/>
        <v>4.2081659494989975E-3</v>
      </c>
      <c r="F17" s="112" t="s">
        <v>111</v>
      </c>
      <c r="G17" s="190">
        <v>205343.72800000012</v>
      </c>
      <c r="H17" s="190">
        <v>198970.75799999986</v>
      </c>
      <c r="I17" s="190">
        <v>228705.96</v>
      </c>
      <c r="J17" s="456">
        <f t="shared" si="3"/>
        <v>0.96896437956945902</v>
      </c>
      <c r="K17" s="456">
        <f t="shared" si="3"/>
        <v>1.1494450857949696</v>
      </c>
    </row>
    <row r="18" spans="1:11" ht="15" customHeight="1" x14ac:dyDescent="0.25">
      <c r="A18" s="164"/>
      <c r="B18" s="169" t="s">
        <v>41</v>
      </c>
      <c r="C18" s="177">
        <v>107</v>
      </c>
      <c r="D18" s="173">
        <v>162.05000000000001</v>
      </c>
      <c r="E18" s="80">
        <f t="shared" si="1"/>
        <v>1.8765363019161048E-2</v>
      </c>
      <c r="F18" s="112" t="s">
        <v>102</v>
      </c>
      <c r="G18" s="190">
        <v>209473.77399999995</v>
      </c>
      <c r="H18" s="190">
        <v>212393.17300000001</v>
      </c>
      <c r="I18" s="190">
        <f>+D25</f>
        <v>31565.267</v>
      </c>
      <c r="J18" s="456">
        <f t="shared" si="3"/>
        <v>1.0139368234230604</v>
      </c>
      <c r="K18" s="456">
        <f t="shared" si="3"/>
        <v>0.1486171450529627</v>
      </c>
    </row>
    <row r="19" spans="1:11" ht="15" customHeight="1" x14ac:dyDescent="0.25">
      <c r="A19" s="164"/>
      <c r="B19" s="169" t="s">
        <v>88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190"/>
      <c r="J19" s="456">
        <f t="shared" si="3"/>
        <v>1.0411341364876525</v>
      </c>
      <c r="K19" s="456">
        <f t="shared" si="3"/>
        <v>0</v>
      </c>
    </row>
    <row r="20" spans="1:11" ht="15" customHeight="1" x14ac:dyDescent="0.25">
      <c r="A20" s="164"/>
      <c r="B20" s="169" t="s">
        <v>40</v>
      </c>
      <c r="C20" s="177"/>
      <c r="D20" s="173">
        <v>364.73</v>
      </c>
      <c r="E20" s="80">
        <f t="shared" si="1"/>
        <v>4.2235673273548956E-2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3"/>
        <v>1.0133436050715139</v>
      </c>
      <c r="K20" s="456">
        <f t="shared" si="3"/>
        <v>0</v>
      </c>
    </row>
    <row r="21" spans="1:11" ht="15" customHeight="1" x14ac:dyDescent="0.25">
      <c r="A21" s="164"/>
      <c r="B21" s="169" t="s">
        <v>265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3"/>
        <v>1.0027046084995204</v>
      </c>
      <c r="K21" s="456">
        <f t="shared" si="3"/>
        <v>0</v>
      </c>
    </row>
    <row r="22" spans="1:11" ht="15" customHeight="1" x14ac:dyDescent="0.25">
      <c r="A22" s="164"/>
      <c r="B22" s="169" t="s">
        <v>9</v>
      </c>
      <c r="C22" s="177"/>
      <c r="D22" s="173">
        <v>122.28</v>
      </c>
      <c r="E22" s="80">
        <f t="shared" si="1"/>
        <v>1.4160003640746762E-2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3"/>
        <v>1.0160661727759943</v>
      </c>
      <c r="K22" s="456">
        <f t="shared" si="3"/>
        <v>0</v>
      </c>
    </row>
    <row r="23" spans="1:11" ht="15" customHeight="1" thickBot="1" x14ac:dyDescent="0.3">
      <c r="A23" s="164"/>
      <c r="B23" s="169" t="s">
        <v>46</v>
      </c>
      <c r="C23" s="177"/>
      <c r="D23" s="173">
        <v>306.25</v>
      </c>
      <c r="E23" s="80">
        <f t="shared" si="1"/>
        <v>3.5463699010293552E-2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3"/>
        <v>1.0505805018598029</v>
      </c>
      <c r="K23" s="456">
        <f t="shared" si="3"/>
        <v>0</v>
      </c>
    </row>
    <row r="24" spans="1:11" ht="15" customHeight="1" thickBot="1" x14ac:dyDescent="0.3">
      <c r="A24" s="164"/>
      <c r="B24" s="178" t="s">
        <v>0</v>
      </c>
      <c r="C24" s="170"/>
      <c r="D24" s="171">
        <f>SUM(D5:D23)</f>
        <v>8635.5910000000022</v>
      </c>
      <c r="E24" s="80">
        <f t="shared" si="1"/>
        <v>1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3"/>
        <v>1.1265796786294864</v>
      </c>
      <c r="K24" s="456">
        <f t="shared" si="3"/>
        <v>0</v>
      </c>
    </row>
    <row r="25" spans="1:11" ht="15" customHeight="1" x14ac:dyDescent="0.25">
      <c r="A25" s="164"/>
      <c r="B25" s="166" t="s">
        <v>1</v>
      </c>
      <c r="C25" s="167"/>
      <c r="D25" s="233">
        <v>31565.267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3"/>
        <v>1.1725047231175361</v>
      </c>
      <c r="K25" s="456">
        <f t="shared" si="3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938321.8629999999</v>
      </c>
      <c r="J26" s="378"/>
      <c r="K26" s="378">
        <f>+I26/H26</f>
        <v>1.2190773330860749</v>
      </c>
    </row>
    <row r="27" spans="1:11" ht="19.5" thickBot="1" x14ac:dyDescent="0.3">
      <c r="E27" s="313">
        <f>+D25/J2</f>
        <v>0.13830407399397288</v>
      </c>
      <c r="G27" s="379" t="s">
        <v>229</v>
      </c>
      <c r="H27" s="380"/>
      <c r="I27" s="380">
        <v>2726927.1277059279</v>
      </c>
      <c r="J27" s="381">
        <f>+I26/H26</f>
        <v>1.2190773330860749</v>
      </c>
      <c r="K27" s="179"/>
    </row>
    <row r="28" spans="1:11" ht="15" customHeight="1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507">
        <v>5</v>
      </c>
      <c r="D29" s="108">
        <f>J3*C29</f>
        <v>38038.487814629349</v>
      </c>
      <c r="E29" s="314">
        <f>+D29/I2</f>
        <v>0.1709003552795087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+D25-D29</f>
        <v>-6473.2208146293488</v>
      </c>
      <c r="E30" s="99">
        <f>E27-E29</f>
        <v>-3.2596281285535822E-2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5" customHeight="1" thickBot="1" x14ac:dyDescent="0.3">
      <c r="H31" s="420" t="s">
        <v>286</v>
      </c>
      <c r="I31" s="421">
        <f>+I17/H17</f>
        <v>1.1494450857949696</v>
      </c>
      <c r="J31" s="422">
        <f>+I17-H17</f>
        <v>29735.202000000136</v>
      </c>
      <c r="K31" s="459">
        <f>J28+J31+J30+J29</f>
        <v>137058.20400000017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ht="15" customHeight="1" x14ac:dyDescent="0.25">
      <c r="B33" s="162" t="s">
        <v>61</v>
      </c>
      <c r="C33" s="162">
        <v>1135</v>
      </c>
      <c r="D33" s="108">
        <v>2142</v>
      </c>
      <c r="E33" s="57">
        <f>+C33/D33</f>
        <v>0.52987861811391224</v>
      </c>
      <c r="G33" s="86" t="s">
        <v>86</v>
      </c>
      <c r="H33" s="87">
        <f>13500+1956</f>
        <v>15456</v>
      </c>
      <c r="I33" s="88">
        <f>+H33*0.025</f>
        <v>386.40000000000003</v>
      </c>
      <c r="J33" s="224"/>
      <c r="K33" s="68"/>
    </row>
    <row r="34" spans="1:11" ht="15" customHeight="1" x14ac:dyDescent="0.25">
      <c r="B34" s="162" t="s">
        <v>62</v>
      </c>
      <c r="C34" s="162">
        <v>1842</v>
      </c>
      <c r="D34" s="108">
        <v>1890</v>
      </c>
      <c r="E34" s="57">
        <f>+C34/D34</f>
        <v>0.97460317460317458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ht="15" customHeight="1" x14ac:dyDescent="0.25">
      <c r="B35" s="162" t="s">
        <v>63</v>
      </c>
      <c r="C35" s="67">
        <v>1208</v>
      </c>
      <c r="D35" s="108">
        <v>3006</v>
      </c>
      <c r="E35" s="57">
        <f>+C35/D35</f>
        <v>0.40186294078509649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ht="15" customHeight="1" x14ac:dyDescent="0.25">
      <c r="C36" s="162">
        <f>+SUM(C33:C35)</f>
        <v>4185</v>
      </c>
      <c r="D36" s="110">
        <f>+SUM(D33:D35)</f>
        <v>7038</v>
      </c>
      <c r="E36" s="57">
        <f>+C36/D36</f>
        <v>0.59462915601023014</v>
      </c>
      <c r="G36" s="89" t="s">
        <v>169</v>
      </c>
      <c r="H36" s="87">
        <v>350</v>
      </c>
      <c r="I36" s="88">
        <f>+H36*1.5</f>
        <v>525</v>
      </c>
      <c r="J36" s="298">
        <f>+I36+I33+I34+I35</f>
        <v>935.7</v>
      </c>
    </row>
    <row r="37" spans="1:11" x14ac:dyDescent="0.25">
      <c r="G37" s="89" t="s">
        <v>168</v>
      </c>
      <c r="H37" s="87">
        <v>72</v>
      </c>
      <c r="I37" s="88">
        <f>+H37*1.5</f>
        <v>108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12</v>
      </c>
      <c r="C40" s="74">
        <v>5</v>
      </c>
      <c r="D40" s="74">
        <v>8</v>
      </c>
      <c r="E40" s="75">
        <f>+SUM(B40:D40)</f>
        <v>25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4">+C43/D43</f>
        <v>0</v>
      </c>
      <c r="F43" s="201">
        <f t="shared" ref="F43:F48" si="5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5.05</v>
      </c>
      <c r="C44" s="199">
        <v>2225</v>
      </c>
      <c r="D44" s="200">
        <v>3600</v>
      </c>
      <c r="E44" s="201">
        <f t="shared" si="4"/>
        <v>0.61805555555555558</v>
      </c>
      <c r="F44" s="201">
        <f t="shared" si="5"/>
        <v>0.21041666666666667</v>
      </c>
      <c r="G44" s="202">
        <v>12</v>
      </c>
      <c r="H44" s="71"/>
    </row>
    <row r="45" spans="1:11" x14ac:dyDescent="0.25">
      <c r="A45" s="207" t="s">
        <v>72</v>
      </c>
      <c r="B45" s="199">
        <v>10.53</v>
      </c>
      <c r="C45" s="199">
        <v>2897</v>
      </c>
      <c r="D45" s="200">
        <v>3900</v>
      </c>
      <c r="E45" s="201">
        <f t="shared" si="4"/>
        <v>0.74282051282051287</v>
      </c>
      <c r="F45" s="201">
        <f t="shared" si="5"/>
        <v>0.43874999999999997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17.16</v>
      </c>
      <c r="C46" s="199">
        <v>3001</v>
      </c>
      <c r="D46" s="200">
        <v>3900</v>
      </c>
      <c r="E46" s="201">
        <f t="shared" si="4"/>
        <v>0.76948717948717948</v>
      </c>
      <c r="F46" s="201">
        <f t="shared" si="5"/>
        <v>0.71499999999999997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5.65</v>
      </c>
      <c r="C47" s="199">
        <v>2223</v>
      </c>
      <c r="D47" s="200">
        <v>3900</v>
      </c>
      <c r="E47" s="201">
        <f t="shared" si="4"/>
        <v>0.56999999999999995</v>
      </c>
      <c r="F47" s="201">
        <f t="shared" si="5"/>
        <v>0.23541666666666669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15.36</v>
      </c>
      <c r="C48" s="261">
        <v>2384</v>
      </c>
      <c r="D48" s="262">
        <v>4300</v>
      </c>
      <c r="E48" s="263">
        <f t="shared" si="4"/>
        <v>0.55441860465116277</v>
      </c>
      <c r="F48" s="201">
        <f t="shared" si="5"/>
        <v>0.64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5" si="6">+J48*1.5</f>
        <v>129</v>
      </c>
    </row>
    <row r="49" spans="2:11" x14ac:dyDescent="0.25">
      <c r="B49" s="113">
        <f>+SUM(B43:B48)</f>
        <v>53.749999999999993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6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6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6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46141</v>
      </c>
      <c r="I52" s="129" t="s">
        <v>175</v>
      </c>
      <c r="J52" s="162">
        <v>94</v>
      </c>
      <c r="K52" s="318">
        <f t="shared" si="6"/>
        <v>141</v>
      </c>
    </row>
    <row r="53" spans="2:11" x14ac:dyDescent="0.25">
      <c r="C53" s="71">
        <v>3</v>
      </c>
      <c r="D53" s="108">
        <v>2</v>
      </c>
      <c r="E53" s="225" t="s">
        <v>250</v>
      </c>
      <c r="H53" s="301">
        <v>46141</v>
      </c>
      <c r="I53" s="129" t="s">
        <v>176</v>
      </c>
      <c r="J53" s="162">
        <v>150</v>
      </c>
      <c r="K53" s="318">
        <f t="shared" si="6"/>
        <v>225</v>
      </c>
    </row>
    <row r="54" spans="2:11" x14ac:dyDescent="0.25">
      <c r="C54" s="71">
        <v>4</v>
      </c>
      <c r="D54" s="108">
        <v>1</v>
      </c>
      <c r="H54" s="301">
        <v>46144</v>
      </c>
      <c r="I54" s="129" t="s">
        <v>175</v>
      </c>
      <c r="J54" s="162">
        <v>129</v>
      </c>
      <c r="K54" s="318">
        <f t="shared" si="6"/>
        <v>193.5</v>
      </c>
    </row>
    <row r="55" spans="2:11" x14ac:dyDescent="0.25">
      <c r="C55" s="71">
        <v>5</v>
      </c>
      <c r="D55" s="108">
        <v>0</v>
      </c>
      <c r="H55" s="301">
        <v>46144</v>
      </c>
      <c r="I55" s="129" t="s">
        <v>176</v>
      </c>
      <c r="J55" s="162">
        <v>167</v>
      </c>
      <c r="K55" s="318">
        <f t="shared" si="6"/>
        <v>250.5</v>
      </c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9</v>
      </c>
    </row>
    <row r="59" spans="2:11" x14ac:dyDescent="0.25">
      <c r="H59" s="359" t="s">
        <v>273</v>
      </c>
      <c r="I59" s="345"/>
      <c r="J59" s="199">
        <f>+J54+J55</f>
        <v>296</v>
      </c>
      <c r="K59" s="346">
        <f>+J59*1.5</f>
        <v>444</v>
      </c>
    </row>
    <row r="60" spans="2:11" x14ac:dyDescent="0.25">
      <c r="B60" s="364" t="s">
        <v>231</v>
      </c>
      <c r="C60" s="199">
        <v>2192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7">+F65*1.5</f>
        <v>97.5</v>
      </c>
      <c r="H65" s="301">
        <v>46129</v>
      </c>
      <c r="I65" s="129" t="s">
        <v>175</v>
      </c>
      <c r="J65" s="162">
        <v>5040</v>
      </c>
      <c r="K65" s="318">
        <f t="shared" ref="K65:K71" si="8"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7"/>
        <v>282</v>
      </c>
      <c r="H66" s="301">
        <v>46132</v>
      </c>
      <c r="I66" s="129" t="s">
        <v>175</v>
      </c>
      <c r="J66" s="162">
        <v>5136</v>
      </c>
      <c r="K66" s="318">
        <f t="shared" si="8"/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7"/>
        <v>3</v>
      </c>
      <c r="H67" s="301">
        <v>46132</v>
      </c>
      <c r="I67" s="129" t="s">
        <v>176</v>
      </c>
      <c r="J67" s="162">
        <v>5941</v>
      </c>
      <c r="K67" s="318">
        <f t="shared" si="8"/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7"/>
        <v>300</v>
      </c>
      <c r="H68" s="301">
        <v>46145</v>
      </c>
      <c r="I68" s="129" t="s">
        <v>175</v>
      </c>
      <c r="J68" s="162">
        <v>2986</v>
      </c>
      <c r="K68" s="318">
        <f t="shared" si="8"/>
        <v>74.650000000000006</v>
      </c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7"/>
        <v>250.5</v>
      </c>
      <c r="H69" s="301">
        <v>46145</v>
      </c>
      <c r="I69" s="129" t="s">
        <v>176</v>
      </c>
      <c r="J69" s="162">
        <v>5940</v>
      </c>
      <c r="K69" s="318">
        <f t="shared" si="8"/>
        <v>148.5</v>
      </c>
    </row>
    <row r="70" spans="2:11" x14ac:dyDescent="0.25">
      <c r="B70" s="71" t="s">
        <v>280</v>
      </c>
      <c r="C70" s="466">
        <v>0.99</v>
      </c>
      <c r="D70" s="301" t="s">
        <v>295</v>
      </c>
      <c r="E70" s="129"/>
      <c r="F70" s="71">
        <f>+G70/1.5</f>
        <v>712.18</v>
      </c>
      <c r="G70" s="297">
        <f>663.27+(270*1.5)</f>
        <v>1068.27</v>
      </c>
      <c r="H70" s="301">
        <v>46146</v>
      </c>
      <c r="I70" s="129" t="s">
        <v>175</v>
      </c>
      <c r="J70" s="162">
        <v>4302</v>
      </c>
      <c r="K70" s="318">
        <f t="shared" si="8"/>
        <v>107.55000000000001</v>
      </c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59" t="s">
        <v>297</v>
      </c>
      <c r="I71" s="345"/>
      <c r="J71" s="199">
        <f>+J69+J68+J70</f>
        <v>13228</v>
      </c>
      <c r="K71" s="346">
        <f t="shared" si="8"/>
        <v>330.70000000000005</v>
      </c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/>
      <c r="E73" s="129"/>
      <c r="F73" s="71"/>
      <c r="G73" s="297"/>
      <c r="H73" s="301"/>
      <c r="I73" s="129"/>
      <c r="K73" s="318"/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3"/>
  <sheetViews>
    <sheetView topLeftCell="A47" workbookViewId="0">
      <selection activeCell="A28" sqref="A28:K72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v>46148</v>
      </c>
      <c r="C1" s="518"/>
      <c r="D1" s="518"/>
      <c r="E1" s="61"/>
      <c r="F1" s="374">
        <v>46023</v>
      </c>
      <c r="G1" s="374">
        <v>46054</v>
      </c>
      <c r="H1" s="374">
        <v>46082</v>
      </c>
      <c r="I1" s="374">
        <v>46113</v>
      </c>
      <c r="J1" s="374">
        <v>46143</v>
      </c>
      <c r="K1" s="374">
        <v>46174</v>
      </c>
    </row>
    <row r="2" spans="1:11" x14ac:dyDescent="0.25">
      <c r="E2" s="320"/>
      <c r="F2" s="308">
        <f>+'Plan ventas 2026'!C6</f>
        <v>206828.90469992431</v>
      </c>
      <c r="G2" s="308">
        <f>+'Plan ventas 2026'!D6</f>
        <v>194544.91062046765</v>
      </c>
      <c r="H2" s="308">
        <f>+'Plan ventas 2026'!E6</f>
        <v>209783.99206683473</v>
      </c>
      <c r="I2" s="308">
        <f>+'Plan ventas 2026'!F9</f>
        <v>222576.996709089</v>
      </c>
      <c r="J2" s="308">
        <f>+'Plan ventas 2026'!G9</f>
        <v>228230.92688777612</v>
      </c>
      <c r="K2" s="308">
        <f>+'Plan ventas 2026'!H9</f>
        <v>224314.19420069718</v>
      </c>
    </row>
    <row r="3" spans="1:11" ht="15" customHeight="1" x14ac:dyDescent="0.25">
      <c r="A3" s="164"/>
      <c r="B3" s="519" t="s">
        <v>36</v>
      </c>
      <c r="C3" s="519"/>
      <c r="D3" s="519"/>
      <c r="E3" s="108"/>
      <c r="F3" s="108">
        <f>+F2/31</f>
        <v>6671.9001516104618</v>
      </c>
      <c r="G3" s="108">
        <f>+G2/28</f>
        <v>6948.0325221595585</v>
      </c>
      <c r="H3" s="108">
        <f>+H2/31</f>
        <v>6767.2255505430558</v>
      </c>
      <c r="I3" s="108">
        <f>+I2/30</f>
        <v>7419.2332236363</v>
      </c>
      <c r="J3" s="108">
        <f t="shared" ref="J3:K3" si="0">+J2/30</f>
        <v>7607.6975629258704</v>
      </c>
      <c r="K3" s="108">
        <f t="shared" si="0"/>
        <v>7477.1398066899064</v>
      </c>
    </row>
    <row r="4" spans="1:11" ht="19.5" customHeight="1" thickBot="1" x14ac:dyDescent="0.4">
      <c r="A4" s="164"/>
      <c r="B4" s="508"/>
      <c r="C4" s="508"/>
      <c r="D4" s="165">
        <f>D24</f>
        <v>9613.3329999999987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10</v>
      </c>
      <c r="C5" s="176">
        <v>24558</v>
      </c>
      <c r="D5" s="172">
        <v>1047.1499999999999</v>
      </c>
      <c r="E5" s="80">
        <f t="shared" ref="E5:E24" si="1">+D5/$D$4</f>
        <v>0.10892684150231767</v>
      </c>
      <c r="F5" s="58" t="s">
        <v>51</v>
      </c>
      <c r="G5" s="59">
        <v>46146</v>
      </c>
      <c r="H5" s="190">
        <v>6158</v>
      </c>
      <c r="I5" s="141">
        <v>7675.4</v>
      </c>
      <c r="J5" s="60">
        <f t="shared" ref="J5:J12" si="2">+I5/H5</f>
        <v>1.2464111724585905</v>
      </c>
    </row>
    <row r="6" spans="1:11" ht="15" customHeight="1" x14ac:dyDescent="0.25">
      <c r="A6" s="164"/>
      <c r="B6" s="169" t="s">
        <v>4</v>
      </c>
      <c r="C6" s="177">
        <v>3255</v>
      </c>
      <c r="D6" s="173">
        <v>139.07</v>
      </c>
      <c r="E6" s="80">
        <f t="shared" si="1"/>
        <v>1.4466366659721452E-2</v>
      </c>
      <c r="F6" s="58" t="s">
        <v>52</v>
      </c>
      <c r="G6" s="59">
        <v>46147</v>
      </c>
      <c r="H6" s="190">
        <v>9119</v>
      </c>
      <c r="I6" s="141">
        <v>8635.5910000000022</v>
      </c>
      <c r="J6" s="60">
        <f t="shared" si="2"/>
        <v>0.94698881456300055</v>
      </c>
    </row>
    <row r="7" spans="1:11" ht="15" customHeight="1" x14ac:dyDescent="0.25">
      <c r="A7" s="164"/>
      <c r="B7" s="169" t="s">
        <v>38</v>
      </c>
      <c r="C7" s="177">
        <v>45951</v>
      </c>
      <c r="D7" s="173">
        <v>1961.3640000000003</v>
      </c>
      <c r="E7" s="245">
        <f t="shared" si="1"/>
        <v>0.20402538848909119</v>
      </c>
      <c r="F7" s="58" t="s">
        <v>53</v>
      </c>
      <c r="G7" s="59">
        <v>46148</v>
      </c>
      <c r="H7" s="190">
        <v>9327.9999999999982</v>
      </c>
      <c r="I7" s="141">
        <v>9613.3329999999987</v>
      </c>
      <c r="J7" s="60">
        <f t="shared" si="2"/>
        <v>1.030588872212693</v>
      </c>
    </row>
    <row r="8" spans="1:11" ht="15" customHeight="1" x14ac:dyDescent="0.25">
      <c r="A8" s="164"/>
      <c r="B8" s="169" t="s">
        <v>42</v>
      </c>
      <c r="C8" s="177">
        <v>19012</v>
      </c>
      <c r="D8" s="173">
        <v>812.00000000000011</v>
      </c>
      <c r="E8" s="80">
        <f t="shared" si="1"/>
        <v>8.4466022346255998E-2</v>
      </c>
      <c r="F8" s="58" t="s">
        <v>54</v>
      </c>
      <c r="G8" s="59">
        <v>46149</v>
      </c>
      <c r="H8" s="190">
        <v>8919</v>
      </c>
      <c r="I8" s="141"/>
      <c r="J8" s="60">
        <f t="shared" si="2"/>
        <v>0</v>
      </c>
    </row>
    <row r="9" spans="1:11" ht="15" customHeight="1" x14ac:dyDescent="0.25">
      <c r="A9" s="164"/>
      <c r="B9" s="169" t="s">
        <v>37</v>
      </c>
      <c r="C9" s="177">
        <v>43467</v>
      </c>
      <c r="D9" s="173">
        <v>1855.74</v>
      </c>
      <c r="E9" s="245">
        <f t="shared" si="1"/>
        <v>0.19303814816359741</v>
      </c>
      <c r="F9" s="58" t="s">
        <v>55</v>
      </c>
      <c r="G9" s="59">
        <v>46150</v>
      </c>
      <c r="H9" s="190">
        <v>7764</v>
      </c>
      <c r="I9" s="141"/>
      <c r="J9" s="60">
        <f t="shared" si="2"/>
        <v>0</v>
      </c>
    </row>
    <row r="10" spans="1:11" ht="15" customHeight="1" x14ac:dyDescent="0.25">
      <c r="A10" s="164"/>
      <c r="B10" s="169" t="s">
        <v>35</v>
      </c>
      <c r="C10" s="177">
        <v>26286</v>
      </c>
      <c r="D10" s="173">
        <v>1120.5849999999998</v>
      </c>
      <c r="E10" s="245">
        <f t="shared" si="1"/>
        <v>0.11656571139270844</v>
      </c>
      <c r="F10" s="58" t="s">
        <v>56</v>
      </c>
      <c r="G10" s="59">
        <v>46151</v>
      </c>
      <c r="H10" s="190">
        <v>7360.9999999999991</v>
      </c>
      <c r="I10" s="141"/>
      <c r="J10" s="60">
        <f t="shared" si="2"/>
        <v>0</v>
      </c>
    </row>
    <row r="11" spans="1:11" ht="15" customHeight="1" x14ac:dyDescent="0.25">
      <c r="A11" s="164"/>
      <c r="B11" s="169" t="s">
        <v>6</v>
      </c>
      <c r="C11" s="177">
        <v>7835</v>
      </c>
      <c r="D11" s="173">
        <v>334.37399999999991</v>
      </c>
      <c r="E11" s="80">
        <f t="shared" si="1"/>
        <v>3.4782317433506148E-2</v>
      </c>
      <c r="F11" s="58" t="s">
        <v>57</v>
      </c>
      <c r="G11" s="59">
        <v>46152</v>
      </c>
      <c r="H11" s="190">
        <v>5001</v>
      </c>
      <c r="I11" s="141"/>
      <c r="J11" s="60">
        <f t="shared" si="2"/>
        <v>0</v>
      </c>
    </row>
    <row r="12" spans="1:11" ht="15" customHeight="1" x14ac:dyDescent="0.25">
      <c r="A12" s="164"/>
      <c r="B12" s="169" t="s">
        <v>196</v>
      </c>
      <c r="C12" s="177"/>
      <c r="D12" s="173"/>
      <c r="E12" s="80">
        <f t="shared" si="1"/>
        <v>0</v>
      </c>
      <c r="H12" s="139">
        <f>+SUM(H5:H11)</f>
        <v>53650</v>
      </c>
      <c r="I12" s="142">
        <f>+SUM(I5:I11)</f>
        <v>25924.324000000001</v>
      </c>
      <c r="J12" s="140">
        <f t="shared" si="2"/>
        <v>0.48321200372786582</v>
      </c>
    </row>
    <row r="13" spans="1:11" ht="15" customHeight="1" x14ac:dyDescent="0.25">
      <c r="A13" s="164"/>
      <c r="B13" s="169" t="s">
        <v>88</v>
      </c>
      <c r="C13" s="177">
        <v>40</v>
      </c>
      <c r="D13" s="173">
        <v>60.09</v>
      </c>
      <c r="E13" s="80">
        <f t="shared" si="1"/>
        <v>6.2506936980129589E-3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43</v>
      </c>
      <c r="C14" s="177">
        <v>450</v>
      </c>
      <c r="D14" s="173">
        <v>677.88</v>
      </c>
      <c r="E14" s="80">
        <f t="shared" si="1"/>
        <v>7.0514565551822672E-2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45</v>
      </c>
      <c r="C15" s="177">
        <v>23</v>
      </c>
      <c r="D15" s="173">
        <v>34.58</v>
      </c>
      <c r="E15" s="80">
        <f t="shared" si="1"/>
        <v>3.5970875033664185E-3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3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39</v>
      </c>
      <c r="C16" s="177">
        <v>444</v>
      </c>
      <c r="D16" s="173">
        <v>669.19</v>
      </c>
      <c r="E16" s="80">
        <f t="shared" si="1"/>
        <v>6.9610612677205724E-2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3"/>
        <v>0.98824488278289624</v>
      </c>
      <c r="K16" s="456">
        <f t="shared" si="3"/>
        <v>1.250875925629845</v>
      </c>
    </row>
    <row r="17" spans="1:11" ht="15" customHeight="1" x14ac:dyDescent="0.25">
      <c r="A17" s="164"/>
      <c r="B17" s="169" t="s">
        <v>41</v>
      </c>
      <c r="C17" s="177">
        <v>129</v>
      </c>
      <c r="D17" s="173">
        <v>195.53000000000003</v>
      </c>
      <c r="E17" s="80">
        <f t="shared" si="1"/>
        <v>2.0339459789856448E-2</v>
      </c>
      <c r="F17" s="112" t="s">
        <v>111</v>
      </c>
      <c r="G17" s="190">
        <v>205343.72800000012</v>
      </c>
      <c r="H17" s="190">
        <v>198970.75799999986</v>
      </c>
      <c r="I17" s="190">
        <v>228705.96</v>
      </c>
      <c r="J17" s="456">
        <f t="shared" si="3"/>
        <v>0.96896437956945902</v>
      </c>
      <c r="K17" s="456">
        <f t="shared" si="3"/>
        <v>1.1494450857949696</v>
      </c>
    </row>
    <row r="18" spans="1:11" ht="15" customHeight="1" x14ac:dyDescent="0.25">
      <c r="A18" s="164"/>
      <c r="B18" s="169" t="s">
        <v>41</v>
      </c>
      <c r="C18" s="177"/>
      <c r="D18" s="173"/>
      <c r="E18" s="80">
        <f t="shared" si="1"/>
        <v>0</v>
      </c>
      <c r="F18" s="112" t="s">
        <v>102</v>
      </c>
      <c r="G18" s="190">
        <v>209473.77399999995</v>
      </c>
      <c r="H18" s="190">
        <v>212393.17300000001</v>
      </c>
      <c r="I18" s="190">
        <f>+D25</f>
        <v>41209.279999999999</v>
      </c>
      <c r="J18" s="456">
        <f t="shared" si="3"/>
        <v>1.0139368234230604</v>
      </c>
      <c r="K18" s="456">
        <f t="shared" si="3"/>
        <v>0.19402356214151947</v>
      </c>
    </row>
    <row r="19" spans="1:11" ht="15" customHeight="1" x14ac:dyDescent="0.25">
      <c r="A19" s="164"/>
      <c r="B19" s="169" t="s">
        <v>88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190"/>
      <c r="J19" s="456">
        <f t="shared" si="3"/>
        <v>1.0411341364876525</v>
      </c>
      <c r="K19" s="456">
        <f t="shared" si="3"/>
        <v>0</v>
      </c>
    </row>
    <row r="20" spans="1:11" ht="15" customHeight="1" x14ac:dyDescent="0.25">
      <c r="A20" s="164"/>
      <c r="B20" s="169" t="s">
        <v>40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3"/>
        <v>1.0133436050715139</v>
      </c>
      <c r="K20" s="456">
        <f t="shared" si="3"/>
        <v>0</v>
      </c>
    </row>
    <row r="21" spans="1:11" ht="15" customHeight="1" x14ac:dyDescent="0.25">
      <c r="A21" s="164"/>
      <c r="B21" s="169" t="s">
        <v>9</v>
      </c>
      <c r="C21" s="177"/>
      <c r="D21" s="173">
        <v>62.93</v>
      </c>
      <c r="E21" s="80">
        <f t="shared" si="1"/>
        <v>6.5461167318348387E-3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3"/>
        <v>1.0027046084995204</v>
      </c>
      <c r="K21" s="456">
        <f t="shared" si="3"/>
        <v>0</v>
      </c>
    </row>
    <row r="22" spans="1:11" ht="15" customHeight="1" x14ac:dyDescent="0.25">
      <c r="A22" s="164"/>
      <c r="B22" s="169" t="s">
        <v>46</v>
      </c>
      <c r="C22" s="177"/>
      <c r="D22" s="173">
        <v>188.06</v>
      </c>
      <c r="E22" s="80">
        <f t="shared" si="1"/>
        <v>1.9562413993148894E-2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3"/>
        <v>1.0160661727759943</v>
      </c>
      <c r="K22" s="456">
        <f t="shared" si="3"/>
        <v>0</v>
      </c>
    </row>
    <row r="23" spans="1:11" ht="15" customHeight="1" thickBot="1" x14ac:dyDescent="0.3">
      <c r="A23" s="164"/>
      <c r="B23" s="169" t="s">
        <v>40</v>
      </c>
      <c r="C23" s="177"/>
      <c r="D23" s="173">
        <v>454.78999999999991</v>
      </c>
      <c r="E23" s="80">
        <f t="shared" si="1"/>
        <v>4.730825406755388E-2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3"/>
        <v>1.0505805018598029</v>
      </c>
      <c r="K23" s="456">
        <f t="shared" si="3"/>
        <v>0</v>
      </c>
    </row>
    <row r="24" spans="1:11" ht="15" customHeight="1" thickBot="1" x14ac:dyDescent="0.3">
      <c r="A24" s="164"/>
      <c r="B24" s="178" t="s">
        <v>0</v>
      </c>
      <c r="C24" s="170"/>
      <c r="D24" s="171">
        <f>SUM(D5:D23)</f>
        <v>9613.3329999999987</v>
      </c>
      <c r="E24" s="80">
        <f t="shared" si="1"/>
        <v>1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3"/>
        <v>1.1265796786294864</v>
      </c>
      <c r="K24" s="456">
        <f t="shared" si="3"/>
        <v>0</v>
      </c>
    </row>
    <row r="25" spans="1:11" ht="15" customHeight="1" x14ac:dyDescent="0.25">
      <c r="A25" s="164"/>
      <c r="B25" s="166" t="s">
        <v>1</v>
      </c>
      <c r="C25" s="167"/>
      <c r="D25" s="233">
        <v>41209.279999999999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3"/>
        <v>1.1725047231175361</v>
      </c>
      <c r="K25" s="456">
        <f t="shared" si="3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947965.87599999993</v>
      </c>
      <c r="J26" s="378"/>
      <c r="K26" s="378">
        <f>+I26/H26</f>
        <v>1.2316069331219288</v>
      </c>
    </row>
    <row r="27" spans="1:11" ht="19.5" thickBot="1" x14ac:dyDescent="0.3">
      <c r="E27" s="313">
        <f>+D25/J2</f>
        <v>0.18055957867735908</v>
      </c>
      <c r="G27" s="379" t="s">
        <v>229</v>
      </c>
      <c r="H27" s="380"/>
      <c r="I27" s="380">
        <v>2726927.1277059279</v>
      </c>
      <c r="J27" s="381">
        <f>+I26/H26</f>
        <v>1.2316069331219288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509">
        <v>6</v>
      </c>
      <c r="D29" s="108">
        <f>J3*C29</f>
        <v>45646.185377555223</v>
      </c>
      <c r="E29" s="314">
        <f>+D29/I2</f>
        <v>0.20508042633541046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+D25-D29</f>
        <v>-4436.9053775552238</v>
      </c>
      <c r="E30" s="99">
        <f>E27-E29</f>
        <v>-2.4520847658051376E-2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1.1494450857949696</v>
      </c>
      <c r="J31" s="422">
        <f>+I17-H17</f>
        <v>29735.202000000136</v>
      </c>
      <c r="K31" s="459">
        <f>J28+J31+J30+J29</f>
        <v>137058.20400000017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1212</v>
      </c>
      <c r="D33" s="108">
        <v>2142</v>
      </c>
      <c r="E33" s="57">
        <f>+C33/D33</f>
        <v>0.56582633053221287</v>
      </c>
      <c r="G33" s="86" t="s">
        <v>86</v>
      </c>
      <c r="H33" s="87">
        <f>13500+1956</f>
        <v>15456</v>
      </c>
      <c r="I33" s="88">
        <f>+H33*0.025</f>
        <v>386.40000000000003</v>
      </c>
      <c r="J33" s="224"/>
      <c r="K33" s="68"/>
    </row>
    <row r="34" spans="1:11" x14ac:dyDescent="0.25">
      <c r="B34" s="162" t="s">
        <v>62</v>
      </c>
      <c r="C34" s="162">
        <v>1807</v>
      </c>
      <c r="D34" s="108">
        <v>1890</v>
      </c>
      <c r="E34" s="57">
        <f>+C34/D34</f>
        <v>0.95608465608465609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1211</v>
      </c>
      <c r="D35" s="108">
        <v>3006</v>
      </c>
      <c r="E35" s="57">
        <f>+C35/D35</f>
        <v>0.40286094477711243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4230</v>
      </c>
      <c r="D36" s="110">
        <f>+SUM(D33:D35)</f>
        <v>7038</v>
      </c>
      <c r="E36" s="57">
        <f>+C36/D36</f>
        <v>0.60102301790281332</v>
      </c>
      <c r="G36" s="89" t="s">
        <v>169</v>
      </c>
      <c r="H36" s="87">
        <v>290</v>
      </c>
      <c r="I36" s="88">
        <f>+H36*1.5</f>
        <v>435</v>
      </c>
      <c r="J36" s="298">
        <f>+I36+I33+I34+I35</f>
        <v>845.7</v>
      </c>
    </row>
    <row r="37" spans="1:11" x14ac:dyDescent="0.25">
      <c r="G37" s="89" t="s">
        <v>168</v>
      </c>
      <c r="H37" s="87">
        <v>72</v>
      </c>
      <c r="I37" s="88">
        <f>+H37*1.5</f>
        <v>108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12</v>
      </c>
      <c r="C40" s="74">
        <v>5</v>
      </c>
      <c r="D40" s="74">
        <v>15</v>
      </c>
      <c r="E40" s="75">
        <f>+SUM(B40:D40)</f>
        <v>32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4">+C43/D43</f>
        <v>0</v>
      </c>
      <c r="F43" s="201">
        <f t="shared" ref="F43:F48" si="5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9</v>
      </c>
      <c r="C44" s="199">
        <v>2509</v>
      </c>
      <c r="D44" s="200">
        <v>3600</v>
      </c>
      <c r="E44" s="201">
        <f t="shared" si="4"/>
        <v>0.69694444444444448</v>
      </c>
      <c r="F44" s="201">
        <f t="shared" si="5"/>
        <v>0.375</v>
      </c>
      <c r="G44" s="202">
        <v>12</v>
      </c>
      <c r="H44" s="71"/>
    </row>
    <row r="45" spans="1:11" x14ac:dyDescent="0.25">
      <c r="A45" s="207" t="s">
        <v>72</v>
      </c>
      <c r="B45" s="199">
        <v>10.78</v>
      </c>
      <c r="C45" s="199">
        <v>3250</v>
      </c>
      <c r="D45" s="200">
        <v>3900</v>
      </c>
      <c r="E45" s="201">
        <f t="shared" si="4"/>
        <v>0.83333333333333337</v>
      </c>
      <c r="F45" s="201">
        <f t="shared" si="5"/>
        <v>0.44916666666666666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14.05</v>
      </c>
      <c r="C46" s="199">
        <v>2922</v>
      </c>
      <c r="D46" s="200">
        <v>3900</v>
      </c>
      <c r="E46" s="201">
        <f t="shared" si="4"/>
        <v>0.74923076923076926</v>
      </c>
      <c r="F46" s="201">
        <f t="shared" si="5"/>
        <v>0.5854166666666667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15.72</v>
      </c>
      <c r="C47" s="199">
        <v>2322</v>
      </c>
      <c r="D47" s="200">
        <v>3900</v>
      </c>
      <c r="E47" s="201">
        <f t="shared" si="4"/>
        <v>0.5953846153846154</v>
      </c>
      <c r="F47" s="201">
        <f t="shared" si="5"/>
        <v>0.65500000000000003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16.61</v>
      </c>
      <c r="C48" s="261">
        <v>2989</v>
      </c>
      <c r="D48" s="262">
        <v>4300</v>
      </c>
      <c r="E48" s="263">
        <f t="shared" si="4"/>
        <v>0.69511627906976747</v>
      </c>
      <c r="F48" s="201">
        <f t="shared" si="5"/>
        <v>0.69208333333333327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5" si="6">+J48*1.5</f>
        <v>129</v>
      </c>
    </row>
    <row r="49" spans="2:11" x14ac:dyDescent="0.25">
      <c r="B49" s="113">
        <f>+SUM(B43:B48)</f>
        <v>66.16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6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6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6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46141</v>
      </c>
      <c r="I52" s="129" t="s">
        <v>175</v>
      </c>
      <c r="J52" s="162">
        <v>94</v>
      </c>
      <c r="K52" s="318">
        <f t="shared" si="6"/>
        <v>141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46141</v>
      </c>
      <c r="I53" s="129" t="s">
        <v>176</v>
      </c>
      <c r="J53" s="162">
        <v>150</v>
      </c>
      <c r="K53" s="318">
        <f t="shared" si="6"/>
        <v>225</v>
      </c>
    </row>
    <row r="54" spans="2:11" x14ac:dyDescent="0.25">
      <c r="C54" s="71">
        <v>4</v>
      </c>
      <c r="D54" s="108">
        <v>0</v>
      </c>
      <c r="H54" s="301">
        <v>46144</v>
      </c>
      <c r="I54" s="129" t="s">
        <v>175</v>
      </c>
      <c r="J54" s="162">
        <v>129</v>
      </c>
      <c r="K54" s="318">
        <f t="shared" si="6"/>
        <v>193.5</v>
      </c>
    </row>
    <row r="55" spans="2:11" x14ac:dyDescent="0.25">
      <c r="C55" s="71">
        <v>5</v>
      </c>
      <c r="D55" s="108">
        <v>0</v>
      </c>
      <c r="H55" s="301">
        <v>46144</v>
      </c>
      <c r="I55" s="129" t="s">
        <v>176</v>
      </c>
      <c r="J55" s="162">
        <v>167</v>
      </c>
      <c r="K55" s="318">
        <f t="shared" si="6"/>
        <v>250.5</v>
      </c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13</v>
      </c>
    </row>
    <row r="59" spans="2:11" x14ac:dyDescent="0.25">
      <c r="H59" s="359" t="s">
        <v>273</v>
      </c>
      <c r="I59" s="345"/>
      <c r="J59" s="199">
        <f>+J54+J55</f>
        <v>296</v>
      </c>
      <c r="K59" s="346">
        <f>+J59*1.5</f>
        <v>444</v>
      </c>
    </row>
    <row r="60" spans="2:11" x14ac:dyDescent="0.25">
      <c r="B60" s="364" t="s">
        <v>231</v>
      </c>
      <c r="C60" s="199">
        <v>2330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7">+F65*1.5</f>
        <v>97.5</v>
      </c>
      <c r="H65" s="301">
        <v>46129</v>
      </c>
      <c r="I65" s="129" t="s">
        <v>175</v>
      </c>
      <c r="J65" s="162">
        <v>5040</v>
      </c>
      <c r="K65" s="318">
        <f t="shared" ref="K65:K71" si="8"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7"/>
        <v>282</v>
      </c>
      <c r="H66" s="301">
        <v>46132</v>
      </c>
      <c r="I66" s="129" t="s">
        <v>175</v>
      </c>
      <c r="J66" s="162">
        <v>5136</v>
      </c>
      <c r="K66" s="318">
        <f t="shared" si="8"/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7"/>
        <v>3</v>
      </c>
      <c r="H67" s="301">
        <v>46132</v>
      </c>
      <c r="I67" s="129" t="s">
        <v>176</v>
      </c>
      <c r="J67" s="162">
        <v>5941</v>
      </c>
      <c r="K67" s="318">
        <f t="shared" si="8"/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7"/>
        <v>300</v>
      </c>
      <c r="H68" s="301">
        <v>46145</v>
      </c>
      <c r="I68" s="129" t="s">
        <v>175</v>
      </c>
      <c r="J68" s="162">
        <v>2986</v>
      </c>
      <c r="K68" s="318">
        <f t="shared" si="8"/>
        <v>74.650000000000006</v>
      </c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7"/>
        <v>250.5</v>
      </c>
      <c r="H69" s="301">
        <v>46145</v>
      </c>
      <c r="I69" s="129" t="s">
        <v>176</v>
      </c>
      <c r="J69" s="162">
        <v>5940</v>
      </c>
      <c r="K69" s="318">
        <f t="shared" si="8"/>
        <v>148.5</v>
      </c>
    </row>
    <row r="70" spans="2:11" x14ac:dyDescent="0.25">
      <c r="B70" s="71" t="s">
        <v>280</v>
      </c>
      <c r="C70" s="466">
        <v>0.99</v>
      </c>
      <c r="D70" s="301" t="s">
        <v>295</v>
      </c>
      <c r="E70" s="129"/>
      <c r="F70" s="71">
        <f>+G70/1.5</f>
        <v>712.18</v>
      </c>
      <c r="G70" s="297">
        <f>663.27+(270*1.5)</f>
        <v>1068.27</v>
      </c>
      <c r="H70" s="301">
        <v>46146</v>
      </c>
      <c r="I70" s="129" t="s">
        <v>175</v>
      </c>
      <c r="J70" s="162">
        <v>4302</v>
      </c>
      <c r="K70" s="318">
        <f t="shared" si="8"/>
        <v>107.55000000000001</v>
      </c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59" t="s">
        <v>297</v>
      </c>
      <c r="I71" s="345"/>
      <c r="J71" s="199">
        <f>+J69+J68+J70</f>
        <v>13228</v>
      </c>
      <c r="K71" s="346">
        <f t="shared" si="8"/>
        <v>330.70000000000005</v>
      </c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  <row r="73" spans="2:11" x14ac:dyDescent="0.25">
      <c r="B73" s="71" t="s">
        <v>283</v>
      </c>
      <c r="C73" s="466">
        <v>0.99</v>
      </c>
      <c r="D73" s="301"/>
      <c r="E73" s="129"/>
      <c r="F73" s="71"/>
      <c r="G73" s="297"/>
      <c r="H73" s="301"/>
      <c r="I73" s="129"/>
      <c r="K73" s="318"/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2"/>
  <sheetViews>
    <sheetView topLeftCell="A18" workbookViewId="0">
      <selection activeCell="A28" sqref="A28:K72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/>
      <c r="F1" s="374">
        <v>46023</v>
      </c>
      <c r="G1" s="374">
        <v>46054</v>
      </c>
      <c r="H1" s="374">
        <v>46082</v>
      </c>
      <c r="I1" s="374">
        <v>46113</v>
      </c>
      <c r="J1" s="374">
        <v>46143</v>
      </c>
      <c r="K1" s="374">
        <v>46174</v>
      </c>
    </row>
    <row r="2" spans="1:11" x14ac:dyDescent="0.25">
      <c r="E2" s="320"/>
      <c r="F2" s="308">
        <f>+'Plan ventas 2026'!C6</f>
        <v>206828.90469992431</v>
      </c>
      <c r="G2" s="308">
        <f>+'Plan ventas 2026'!D6</f>
        <v>194544.91062046765</v>
      </c>
      <c r="H2" s="308">
        <f>+'Plan ventas 2026'!E6</f>
        <v>209783.99206683473</v>
      </c>
      <c r="I2" s="308">
        <f>+'Plan ventas 2026'!F9</f>
        <v>222576.996709089</v>
      </c>
      <c r="J2" s="308">
        <f>+'Plan ventas 2026'!G9</f>
        <v>228230.92688777612</v>
      </c>
      <c r="K2" s="308">
        <f>+'Plan ventas 2026'!H9</f>
        <v>224314.19420069718</v>
      </c>
    </row>
    <row r="3" spans="1:11" ht="15" customHeight="1" x14ac:dyDescent="0.25">
      <c r="A3" s="164"/>
      <c r="B3" s="519" t="s">
        <v>36</v>
      </c>
      <c r="C3" s="519"/>
      <c r="D3" s="519"/>
      <c r="E3" s="108"/>
      <c r="F3" s="108">
        <f>+F2/31</f>
        <v>6671.9001516104618</v>
      </c>
      <c r="G3" s="108">
        <f>+G2/28</f>
        <v>6948.0325221595585</v>
      </c>
      <c r="H3" s="108">
        <f>+H2/31</f>
        <v>6767.2255505430558</v>
      </c>
      <c r="I3" s="108">
        <f>+I2/30</f>
        <v>7419.2332236363</v>
      </c>
      <c r="J3" s="108">
        <f t="shared" ref="J3:K3" si="0">+J2/30</f>
        <v>7607.6975629258704</v>
      </c>
      <c r="K3" s="108">
        <f t="shared" si="0"/>
        <v>7477.1398066899064</v>
      </c>
    </row>
    <row r="4" spans="1:11" ht="19.5" customHeight="1" thickBot="1" x14ac:dyDescent="0.4">
      <c r="A4" s="164"/>
      <c r="B4" s="510"/>
      <c r="C4" s="510"/>
      <c r="D4" s="165">
        <f>D24</f>
        <v>10166.730999999998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5560</v>
      </c>
      <c r="D5" s="172">
        <v>237.69200000000001</v>
      </c>
      <c r="E5" s="80">
        <f t="shared" ref="E5:E24" si="1">+D5/$D$4</f>
        <v>2.3379393041873545E-2</v>
      </c>
      <c r="F5" s="58" t="s">
        <v>51</v>
      </c>
      <c r="G5" s="59">
        <v>46146</v>
      </c>
      <c r="H5" s="190">
        <v>6158</v>
      </c>
      <c r="I5" s="141">
        <v>7675.4</v>
      </c>
      <c r="J5" s="60">
        <f t="shared" ref="J5:J12" si="2">+I5/H5</f>
        <v>1.2464111724585905</v>
      </c>
    </row>
    <row r="6" spans="1:11" ht="15" customHeight="1" x14ac:dyDescent="0.25">
      <c r="A6" s="164"/>
      <c r="B6" s="169" t="s">
        <v>10</v>
      </c>
      <c r="C6" s="177">
        <v>25933</v>
      </c>
      <c r="D6" s="173">
        <v>1105.3060000000003</v>
      </c>
      <c r="E6" s="80">
        <f t="shared" si="1"/>
        <v>0.10871793499798514</v>
      </c>
      <c r="F6" s="58" t="s">
        <v>52</v>
      </c>
      <c r="G6" s="59">
        <v>46147</v>
      </c>
      <c r="H6" s="190">
        <v>9119</v>
      </c>
      <c r="I6" s="141">
        <v>8635.5910000000022</v>
      </c>
      <c r="J6" s="60">
        <f t="shared" si="2"/>
        <v>0.94698881456300055</v>
      </c>
    </row>
    <row r="7" spans="1:11" ht="15" customHeight="1" x14ac:dyDescent="0.25">
      <c r="A7" s="164"/>
      <c r="B7" s="169" t="s">
        <v>35</v>
      </c>
      <c r="C7" s="177">
        <v>35948</v>
      </c>
      <c r="D7" s="173">
        <v>1534.27</v>
      </c>
      <c r="E7" s="245">
        <f t="shared" si="1"/>
        <v>0.15091084833463189</v>
      </c>
      <c r="F7" s="58" t="s">
        <v>53</v>
      </c>
      <c r="G7" s="59">
        <v>46148</v>
      </c>
      <c r="H7" s="190">
        <v>9327.9999999999982</v>
      </c>
      <c r="I7" s="141">
        <v>9613.3329999999987</v>
      </c>
      <c r="J7" s="60">
        <f t="shared" si="2"/>
        <v>1.030588872212693</v>
      </c>
    </row>
    <row r="8" spans="1:11" ht="15" customHeight="1" x14ac:dyDescent="0.25">
      <c r="A8" s="164"/>
      <c r="B8" s="169" t="s">
        <v>4</v>
      </c>
      <c r="C8" s="177">
        <v>3165</v>
      </c>
      <c r="D8" s="173">
        <v>134.96999999999997</v>
      </c>
      <c r="E8" s="80">
        <f t="shared" si="1"/>
        <v>1.3275653698322499E-2</v>
      </c>
      <c r="F8" s="58" t="s">
        <v>54</v>
      </c>
      <c r="G8" s="59">
        <v>46149</v>
      </c>
      <c r="H8" s="190">
        <v>8919</v>
      </c>
      <c r="I8" s="141">
        <v>10166.730999999998</v>
      </c>
      <c r="J8" s="60">
        <f t="shared" si="2"/>
        <v>1.1398958403408452</v>
      </c>
    </row>
    <row r="9" spans="1:11" ht="15" customHeight="1" x14ac:dyDescent="0.25">
      <c r="A9" s="164"/>
      <c r="B9" s="169" t="s">
        <v>37</v>
      </c>
      <c r="C9" s="177">
        <v>33694</v>
      </c>
      <c r="D9" s="173">
        <v>1438.4660000000003</v>
      </c>
      <c r="E9" s="245">
        <f t="shared" si="1"/>
        <v>0.14148756370164614</v>
      </c>
      <c r="F9" s="58" t="s">
        <v>55</v>
      </c>
      <c r="G9" s="59">
        <v>46150</v>
      </c>
      <c r="H9" s="190">
        <v>8764</v>
      </c>
      <c r="I9" s="141"/>
      <c r="J9" s="60">
        <f t="shared" si="2"/>
        <v>0</v>
      </c>
    </row>
    <row r="10" spans="1:11" ht="15" customHeight="1" x14ac:dyDescent="0.25">
      <c r="A10" s="164"/>
      <c r="B10" s="169" t="s">
        <v>38</v>
      </c>
      <c r="C10" s="177">
        <v>51397</v>
      </c>
      <c r="D10" s="173">
        <v>2194.9450000000002</v>
      </c>
      <c r="E10" s="245">
        <f t="shared" si="1"/>
        <v>0.21589486335381555</v>
      </c>
      <c r="F10" s="58" t="s">
        <v>56</v>
      </c>
      <c r="G10" s="59">
        <v>46151</v>
      </c>
      <c r="H10" s="190">
        <v>7360.9999999999991</v>
      </c>
      <c r="I10" s="141"/>
      <c r="J10" s="60">
        <f t="shared" si="2"/>
        <v>0</v>
      </c>
    </row>
    <row r="11" spans="1:11" ht="15" customHeight="1" x14ac:dyDescent="0.25">
      <c r="A11" s="164"/>
      <c r="B11" s="169" t="s">
        <v>42</v>
      </c>
      <c r="C11" s="177">
        <v>15685</v>
      </c>
      <c r="D11" s="173">
        <v>670.11</v>
      </c>
      <c r="E11" s="80">
        <f t="shared" si="1"/>
        <v>6.5912041933636298E-2</v>
      </c>
      <c r="F11" s="58" t="s">
        <v>57</v>
      </c>
      <c r="G11" s="59">
        <v>46152</v>
      </c>
      <c r="H11" s="190">
        <v>5001</v>
      </c>
      <c r="I11" s="141"/>
      <c r="J11" s="60">
        <f t="shared" si="2"/>
        <v>0</v>
      </c>
    </row>
    <row r="12" spans="1:11" ht="15" customHeight="1" x14ac:dyDescent="0.25">
      <c r="A12" s="164"/>
      <c r="B12" s="169" t="s">
        <v>95</v>
      </c>
      <c r="C12" s="177">
        <v>2440</v>
      </c>
      <c r="D12" s="173">
        <v>61.292000000000002</v>
      </c>
      <c r="E12" s="80">
        <f t="shared" si="1"/>
        <v>6.0286831627590041E-3</v>
      </c>
      <c r="H12" s="139">
        <f>+SUM(H5:H11)</f>
        <v>54650</v>
      </c>
      <c r="I12" s="142">
        <f>+SUM(I5:I11)</f>
        <v>36091.055</v>
      </c>
      <c r="J12" s="140">
        <f t="shared" si="2"/>
        <v>0.66040356816102475</v>
      </c>
    </row>
    <row r="13" spans="1:11" ht="15" customHeight="1" x14ac:dyDescent="0.25">
      <c r="A13" s="164"/>
      <c r="B13" s="169" t="s">
        <v>43</v>
      </c>
      <c r="C13" s="177">
        <v>388</v>
      </c>
      <c r="D13" s="173">
        <v>584.96000000000015</v>
      </c>
      <c r="E13" s="80">
        <f t="shared" si="1"/>
        <v>5.7536685095730407E-2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49</v>
      </c>
      <c r="C14" s="177">
        <v>87</v>
      </c>
      <c r="D14" s="173">
        <v>131.59</v>
      </c>
      <c r="E14" s="80">
        <f t="shared" si="1"/>
        <v>1.2943196785672802E-2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45</v>
      </c>
      <c r="C15" s="177">
        <v>43</v>
      </c>
      <c r="D15" s="173">
        <v>64.8</v>
      </c>
      <c r="E15" s="80">
        <f t="shared" si="1"/>
        <v>6.3737301596747285E-3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3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41</v>
      </c>
      <c r="C16" s="177">
        <v>150</v>
      </c>
      <c r="D16" s="173">
        <v>226.93</v>
      </c>
      <c r="E16" s="80">
        <f t="shared" si="1"/>
        <v>2.2320842363194232E-2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3"/>
        <v>0.98824488278289624</v>
      </c>
      <c r="K16" s="456">
        <f t="shared" si="3"/>
        <v>1.250875925629845</v>
      </c>
    </row>
    <row r="17" spans="1:11" ht="15" customHeight="1" x14ac:dyDescent="0.25">
      <c r="A17" s="164"/>
      <c r="B17" s="169" t="s">
        <v>88</v>
      </c>
      <c r="C17" s="177">
        <v>90.3</v>
      </c>
      <c r="D17" s="173">
        <v>90.3</v>
      </c>
      <c r="E17" s="80">
        <f t="shared" si="1"/>
        <v>8.8819110095467273E-3</v>
      </c>
      <c r="F17" s="112" t="s">
        <v>111</v>
      </c>
      <c r="G17" s="190">
        <v>205343.72800000012</v>
      </c>
      <c r="H17" s="190">
        <v>198970.75799999986</v>
      </c>
      <c r="I17" s="190">
        <v>228705.96</v>
      </c>
      <c r="J17" s="456">
        <f t="shared" si="3"/>
        <v>0.96896437956945902</v>
      </c>
      <c r="K17" s="456">
        <f t="shared" si="3"/>
        <v>1.1494450857949696</v>
      </c>
    </row>
    <row r="18" spans="1:11" ht="15" customHeight="1" x14ac:dyDescent="0.25">
      <c r="A18" s="164"/>
      <c r="B18" s="169" t="s">
        <v>39</v>
      </c>
      <c r="C18" s="177">
        <v>537</v>
      </c>
      <c r="D18" s="173">
        <v>808.95999999999992</v>
      </c>
      <c r="E18" s="80">
        <f t="shared" si="1"/>
        <v>7.956933256127266E-2</v>
      </c>
      <c r="F18" s="112" t="s">
        <v>102</v>
      </c>
      <c r="G18" s="190">
        <v>209473.77399999995</v>
      </c>
      <c r="H18" s="190">
        <v>212393.17300000001</v>
      </c>
      <c r="I18" s="190">
        <f>+D25</f>
        <v>51439.741000000002</v>
      </c>
      <c r="J18" s="456">
        <f t="shared" si="3"/>
        <v>1.0139368234230604</v>
      </c>
      <c r="K18" s="456">
        <f t="shared" si="3"/>
        <v>0.24219112259319181</v>
      </c>
    </row>
    <row r="19" spans="1:11" ht="15" customHeight="1" x14ac:dyDescent="0.25">
      <c r="A19" s="164"/>
      <c r="B19" s="169" t="s">
        <v>88</v>
      </c>
      <c r="C19" s="177"/>
      <c r="D19" s="173"/>
      <c r="E19" s="80">
        <f t="shared" si="1"/>
        <v>0</v>
      </c>
      <c r="F19" s="112" t="s">
        <v>125</v>
      </c>
      <c r="G19" s="190">
        <v>196506.86</v>
      </c>
      <c r="H19" s="190">
        <v>204590</v>
      </c>
      <c r="I19" s="190"/>
      <c r="J19" s="456">
        <f t="shared" si="3"/>
        <v>1.0411341364876525</v>
      </c>
      <c r="K19" s="456">
        <f t="shared" si="3"/>
        <v>0</v>
      </c>
    </row>
    <row r="20" spans="1:11" ht="15" customHeight="1" x14ac:dyDescent="0.25">
      <c r="A20" s="164"/>
      <c r="B20" s="169" t="s">
        <v>265</v>
      </c>
      <c r="C20" s="177"/>
      <c r="D20" s="173">
        <v>30.08</v>
      </c>
      <c r="E20" s="80">
        <f t="shared" si="1"/>
        <v>2.9586698025156765E-3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3"/>
        <v>1.0133436050715139</v>
      </c>
      <c r="K20" s="456">
        <f t="shared" si="3"/>
        <v>0</v>
      </c>
    </row>
    <row r="21" spans="1:11" ht="15" customHeight="1" x14ac:dyDescent="0.25">
      <c r="A21" s="164"/>
      <c r="B21" s="169" t="s">
        <v>9</v>
      </c>
      <c r="C21" s="177"/>
      <c r="D21" s="173">
        <v>90.210000000000008</v>
      </c>
      <c r="E21" s="80">
        <f t="shared" si="1"/>
        <v>8.8730586065471802E-3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3"/>
        <v>1.0027046084995204</v>
      </c>
      <c r="K21" s="456">
        <f t="shared" si="3"/>
        <v>0</v>
      </c>
    </row>
    <row r="22" spans="1:11" ht="15" customHeight="1" x14ac:dyDescent="0.25">
      <c r="A22" s="164"/>
      <c r="B22" s="169" t="s">
        <v>46</v>
      </c>
      <c r="C22" s="177"/>
      <c r="D22" s="173">
        <v>182.91000000000003</v>
      </c>
      <c r="E22" s="80">
        <f t="shared" si="1"/>
        <v>1.7991033696081862E-2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3"/>
        <v>1.0160661727759943</v>
      </c>
      <c r="K22" s="456">
        <f t="shared" si="3"/>
        <v>0</v>
      </c>
    </row>
    <row r="23" spans="1:11" ht="15" customHeight="1" thickBot="1" x14ac:dyDescent="0.3">
      <c r="A23" s="164"/>
      <c r="B23" s="169" t="s">
        <v>40</v>
      </c>
      <c r="C23" s="177"/>
      <c r="D23" s="173">
        <v>578.94000000000005</v>
      </c>
      <c r="E23" s="80">
        <f t="shared" si="1"/>
        <v>5.6944557695093947E-2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3"/>
        <v>1.0505805018598029</v>
      </c>
      <c r="K23" s="456">
        <f t="shared" si="3"/>
        <v>0</v>
      </c>
    </row>
    <row r="24" spans="1:11" ht="15" customHeight="1" thickBot="1" x14ac:dyDescent="0.3">
      <c r="A24" s="164"/>
      <c r="B24" s="178" t="s">
        <v>0</v>
      </c>
      <c r="C24" s="170"/>
      <c r="D24" s="171">
        <f>SUM(D5:D23)</f>
        <v>10166.730999999998</v>
      </c>
      <c r="E24" s="80">
        <f t="shared" si="1"/>
        <v>1</v>
      </c>
      <c r="F24" s="112" t="s">
        <v>198</v>
      </c>
      <c r="G24" s="190">
        <v>215275.19500000001</v>
      </c>
      <c r="H24" s="272">
        <v>242524.66</v>
      </c>
      <c r="I24" s="272"/>
      <c r="J24" s="456">
        <f t="shared" si="3"/>
        <v>1.1265796786294864</v>
      </c>
      <c r="K24" s="456">
        <f t="shared" si="3"/>
        <v>0</v>
      </c>
    </row>
    <row r="25" spans="1:11" ht="15" customHeight="1" x14ac:dyDescent="0.25">
      <c r="A25" s="164"/>
      <c r="B25" s="166" t="s">
        <v>1</v>
      </c>
      <c r="C25" s="167"/>
      <c r="D25" s="233">
        <v>51439.741000000002</v>
      </c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3"/>
        <v>1.1725047231175361</v>
      </c>
      <c r="K25" s="456">
        <f t="shared" si="3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958196.33699999994</v>
      </c>
      <c r="J26" s="378"/>
      <c r="K26" s="378">
        <f>+I26/H26</f>
        <v>1.2448984523797735</v>
      </c>
    </row>
    <row r="27" spans="1:11" ht="19.5" thickBot="1" x14ac:dyDescent="0.3">
      <c r="E27" s="313">
        <f>+D25/J2</f>
        <v>0.22538462118805458</v>
      </c>
      <c r="G27" s="379" t="s">
        <v>229</v>
      </c>
      <c r="H27" s="380"/>
      <c r="I27" s="380">
        <v>2726927.1277059279</v>
      </c>
      <c r="J27" s="381">
        <f>+I26/H26</f>
        <v>1.2448984523797735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511">
        <v>7</v>
      </c>
      <c r="D29" s="108">
        <f>J3*C29</f>
        <v>53253.882940481097</v>
      </c>
      <c r="E29" s="314">
        <f>+D29/I2</f>
        <v>0.23926049739131222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+D25-D29</f>
        <v>-1814.1419404810949</v>
      </c>
      <c r="E30" s="99">
        <f>E27-E29</f>
        <v>-1.3875876203257642E-2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1.1494450857949696</v>
      </c>
      <c r="J31" s="422">
        <f>+I17-H17</f>
        <v>29735.202000000136</v>
      </c>
      <c r="K31" s="459">
        <f>J28+J31+J30+J29</f>
        <v>137058.20400000017</v>
      </c>
    </row>
    <row r="32" spans="1:11" x14ac:dyDescent="0.25">
      <c r="B32" s="66" t="s">
        <v>60</v>
      </c>
      <c r="D32" s="109" t="s">
        <v>105</v>
      </c>
      <c r="E32" s="109" t="s">
        <v>80</v>
      </c>
      <c r="G32" s="163"/>
      <c r="H32" s="237" t="s">
        <v>157</v>
      </c>
      <c r="I32" s="237" t="s">
        <v>92</v>
      </c>
      <c r="J32" s="71"/>
    </row>
    <row r="33" spans="1:11" x14ac:dyDescent="0.25">
      <c r="B33" s="162" t="s">
        <v>61</v>
      </c>
      <c r="C33" s="162">
        <v>922</v>
      </c>
      <c r="D33" s="108">
        <v>2142</v>
      </c>
      <c r="E33" s="57">
        <f>+C33/D33</f>
        <v>0.43043884220354811</v>
      </c>
      <c r="G33" s="86" t="s">
        <v>86</v>
      </c>
      <c r="H33" s="87">
        <f>12260+756</f>
        <v>13016</v>
      </c>
      <c r="I33" s="88">
        <f>+H33*0.025</f>
        <v>325.40000000000003</v>
      </c>
      <c r="J33" s="224"/>
      <c r="K33" s="68"/>
    </row>
    <row r="34" spans="1:11" x14ac:dyDescent="0.25">
      <c r="B34" s="162" t="s">
        <v>62</v>
      </c>
      <c r="C34" s="162">
        <v>1652</v>
      </c>
      <c r="D34" s="108">
        <v>1890</v>
      </c>
      <c r="E34" s="57">
        <f>+C34/D34</f>
        <v>0.87407407407407411</v>
      </c>
      <c r="G34" s="86" t="s">
        <v>259</v>
      </c>
      <c r="H34" s="87">
        <v>756</v>
      </c>
      <c r="I34" s="88">
        <f>+H34*0.025</f>
        <v>18.900000000000002</v>
      </c>
      <c r="J34" s="224"/>
    </row>
    <row r="35" spans="1:11" x14ac:dyDescent="0.25">
      <c r="B35" s="162" t="s">
        <v>63</v>
      </c>
      <c r="C35" s="67">
        <v>1066</v>
      </c>
      <c r="D35" s="108">
        <v>3006</v>
      </c>
      <c r="E35" s="57">
        <f>+C35/D35</f>
        <v>0.35462408516300731</v>
      </c>
      <c r="G35" s="86" t="s">
        <v>171</v>
      </c>
      <c r="H35" s="87">
        <v>216</v>
      </c>
      <c r="I35" s="88">
        <f>+H35*0.025</f>
        <v>5.4</v>
      </c>
      <c r="J35" s="297" t="s">
        <v>188</v>
      </c>
    </row>
    <row r="36" spans="1:11" x14ac:dyDescent="0.25">
      <c r="C36" s="162">
        <f>+SUM(C33:C35)</f>
        <v>3640</v>
      </c>
      <c r="D36" s="110">
        <f>+SUM(D33:D35)</f>
        <v>7038</v>
      </c>
      <c r="E36" s="57">
        <f>+C36/D36</f>
        <v>0.51719238420005686</v>
      </c>
      <c r="G36" s="89" t="s">
        <v>169</v>
      </c>
      <c r="H36" s="87">
        <v>270</v>
      </c>
      <c r="I36" s="88">
        <f>+H36*1.5</f>
        <v>405</v>
      </c>
      <c r="J36" s="298">
        <f>+I36+I33+I34+I35</f>
        <v>754.7</v>
      </c>
    </row>
    <row r="37" spans="1:11" x14ac:dyDescent="0.25">
      <c r="G37" s="89" t="s">
        <v>168</v>
      </c>
      <c r="H37" s="87">
        <v>72</v>
      </c>
      <c r="I37" s="88">
        <f>+H37*1.5</f>
        <v>108</v>
      </c>
      <c r="J37" s="228" t="s">
        <v>193</v>
      </c>
    </row>
    <row r="38" spans="1:11" x14ac:dyDescent="0.25">
      <c r="B38" s="162" t="s">
        <v>66</v>
      </c>
      <c r="D38" s="162"/>
      <c r="G38" s="231" t="s">
        <v>123</v>
      </c>
      <c r="H38" s="138">
        <v>240</v>
      </c>
      <c r="I38" s="232">
        <v>346.5</v>
      </c>
      <c r="J38" s="218" t="s">
        <v>146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89" t="s">
        <v>170</v>
      </c>
      <c r="H39" s="87">
        <v>24</v>
      </c>
      <c r="I39" s="88">
        <f>+H39*1.5</f>
        <v>36</v>
      </c>
      <c r="J39" s="224" t="s">
        <v>213</v>
      </c>
    </row>
    <row r="40" spans="1:11" x14ac:dyDescent="0.25">
      <c r="B40" s="73">
        <v>35</v>
      </c>
      <c r="C40" s="74">
        <v>11</v>
      </c>
      <c r="D40" s="74">
        <v>10</v>
      </c>
      <c r="E40" s="75">
        <f>+SUM(B40:D40)</f>
        <v>56</v>
      </c>
      <c r="G40" s="89" t="s">
        <v>107</v>
      </c>
      <c r="H40" s="87">
        <f>213-20</f>
        <v>193</v>
      </c>
      <c r="I40" s="88">
        <f>+H40*1.5</f>
        <v>289.5</v>
      </c>
      <c r="J40" s="224" t="s">
        <v>152</v>
      </c>
    </row>
    <row r="41" spans="1:11" x14ac:dyDescent="0.25">
      <c r="H41" s="144" t="s">
        <v>124</v>
      </c>
      <c r="I41" s="220" t="s">
        <v>148</v>
      </c>
      <c r="J41" s="218" t="s">
        <v>146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120</v>
      </c>
      <c r="I42" s="145">
        <v>0</v>
      </c>
      <c r="J42" s="218"/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4">+C43/D43</f>
        <v>0</v>
      </c>
      <c r="F43" s="201">
        <f t="shared" ref="F43:F48" si="5">+B43/24</f>
        <v>0</v>
      </c>
      <c r="G43" s="202">
        <v>7</v>
      </c>
      <c r="H43" s="144" t="s">
        <v>121</v>
      </c>
      <c r="I43" s="220" t="s">
        <v>149</v>
      </c>
      <c r="J43" s="218" t="s">
        <v>146</v>
      </c>
    </row>
    <row r="44" spans="1:11" x14ac:dyDescent="0.25">
      <c r="A44" s="207" t="s">
        <v>71</v>
      </c>
      <c r="B44" s="199">
        <v>9.24</v>
      </c>
      <c r="C44" s="199">
        <v>2341</v>
      </c>
      <c r="D44" s="200">
        <v>3600</v>
      </c>
      <c r="E44" s="201">
        <f t="shared" si="4"/>
        <v>0.65027777777777773</v>
      </c>
      <c r="F44" s="201">
        <f t="shared" si="5"/>
        <v>0.38500000000000001</v>
      </c>
      <c r="G44" s="202">
        <v>12</v>
      </c>
      <c r="H44" s="71"/>
    </row>
    <row r="45" spans="1:11" x14ac:dyDescent="0.25">
      <c r="A45" s="207" t="s">
        <v>72</v>
      </c>
      <c r="B45" s="199">
        <v>10.87</v>
      </c>
      <c r="C45" s="199">
        <v>2986</v>
      </c>
      <c r="D45" s="200">
        <v>3900</v>
      </c>
      <c r="E45" s="201">
        <f t="shared" si="4"/>
        <v>0.76564102564102565</v>
      </c>
      <c r="F45" s="201">
        <f t="shared" si="5"/>
        <v>0.45291666666666663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10.49</v>
      </c>
      <c r="C46" s="199">
        <v>2959</v>
      </c>
      <c r="D46" s="200">
        <v>3900</v>
      </c>
      <c r="E46" s="201">
        <f t="shared" si="4"/>
        <v>0.75871794871794873</v>
      </c>
      <c r="F46" s="201">
        <f t="shared" si="5"/>
        <v>0.43708333333333332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16.809999999999999</v>
      </c>
      <c r="C47" s="199">
        <v>2322</v>
      </c>
      <c r="D47" s="200">
        <v>3900</v>
      </c>
      <c r="E47" s="201">
        <f t="shared" si="4"/>
        <v>0.5953846153846154</v>
      </c>
      <c r="F47" s="201">
        <f t="shared" si="5"/>
        <v>0.70041666666666658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10.65</v>
      </c>
      <c r="C48" s="261">
        <v>3333</v>
      </c>
      <c r="D48" s="262">
        <v>4300</v>
      </c>
      <c r="E48" s="263">
        <f t="shared" si="4"/>
        <v>0.77511627906976743</v>
      </c>
      <c r="F48" s="201">
        <f t="shared" si="5"/>
        <v>0.44375000000000003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5" si="6">+J48*1.5</f>
        <v>129</v>
      </c>
    </row>
    <row r="49" spans="2:11" x14ac:dyDescent="0.25">
      <c r="B49" s="113">
        <f>+SUM(B43:B48)</f>
        <v>58.059999999999995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6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6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6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46141</v>
      </c>
      <c r="I52" s="129" t="s">
        <v>175</v>
      </c>
      <c r="J52" s="162">
        <v>94</v>
      </c>
      <c r="K52" s="318">
        <f t="shared" si="6"/>
        <v>141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46141</v>
      </c>
      <c r="I53" s="129" t="s">
        <v>176</v>
      </c>
      <c r="J53" s="162">
        <v>150</v>
      </c>
      <c r="K53" s="318">
        <f t="shared" si="6"/>
        <v>225</v>
      </c>
    </row>
    <row r="54" spans="2:11" x14ac:dyDescent="0.25">
      <c r="C54" s="71">
        <v>4</v>
      </c>
      <c r="D54" s="108">
        <v>3</v>
      </c>
      <c r="H54" s="301">
        <v>46144</v>
      </c>
      <c r="I54" s="129" t="s">
        <v>175</v>
      </c>
      <c r="J54" s="162">
        <v>129</v>
      </c>
      <c r="K54" s="318">
        <f t="shared" si="6"/>
        <v>193.5</v>
      </c>
    </row>
    <row r="55" spans="2:11" x14ac:dyDescent="0.25">
      <c r="C55" s="71">
        <v>5</v>
      </c>
      <c r="D55" s="108">
        <v>3</v>
      </c>
      <c r="H55" s="301">
        <v>46144</v>
      </c>
      <c r="I55" s="129" t="s">
        <v>176</v>
      </c>
      <c r="J55" s="162">
        <v>167</v>
      </c>
      <c r="K55" s="318">
        <f t="shared" si="6"/>
        <v>250.5</v>
      </c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11</v>
      </c>
    </row>
    <row r="59" spans="2:11" x14ac:dyDescent="0.25">
      <c r="H59" s="359" t="s">
        <v>273</v>
      </c>
      <c r="I59" s="345"/>
      <c r="J59" s="199">
        <f>+J54+J55</f>
        <v>296</v>
      </c>
      <c r="K59" s="346">
        <f>+J59*1.5</f>
        <v>444</v>
      </c>
    </row>
    <row r="60" spans="2:11" x14ac:dyDescent="0.25">
      <c r="B60" s="364" t="s">
        <v>231</v>
      </c>
      <c r="C60" s="199">
        <v>2524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7">+F65*1.5</f>
        <v>97.5</v>
      </c>
      <c r="H65" s="301">
        <v>46129</v>
      </c>
      <c r="I65" s="129" t="s">
        <v>175</v>
      </c>
      <c r="J65" s="162">
        <v>5040</v>
      </c>
      <c r="K65" s="318">
        <f t="shared" ref="K65:K71" si="8"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7"/>
        <v>282</v>
      </c>
      <c r="H66" s="301">
        <v>46132</v>
      </c>
      <c r="I66" s="129" t="s">
        <v>175</v>
      </c>
      <c r="J66" s="162">
        <v>5136</v>
      </c>
      <c r="K66" s="318">
        <f t="shared" si="8"/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7"/>
        <v>3</v>
      </c>
      <c r="H67" s="301">
        <v>46132</v>
      </c>
      <c r="I67" s="129" t="s">
        <v>176</v>
      </c>
      <c r="J67" s="162">
        <v>5941</v>
      </c>
      <c r="K67" s="318">
        <f t="shared" si="8"/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7"/>
        <v>300</v>
      </c>
      <c r="H68" s="301">
        <v>46145</v>
      </c>
      <c r="I68" s="129" t="s">
        <v>175</v>
      </c>
      <c r="J68" s="162">
        <v>2986</v>
      </c>
      <c r="K68" s="318">
        <f t="shared" si="8"/>
        <v>74.650000000000006</v>
      </c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7"/>
        <v>250.5</v>
      </c>
      <c r="H69" s="301">
        <v>46145</v>
      </c>
      <c r="I69" s="129" t="s">
        <v>176</v>
      </c>
      <c r="J69" s="162">
        <v>5940</v>
      </c>
      <c r="K69" s="318">
        <f t="shared" si="8"/>
        <v>148.5</v>
      </c>
    </row>
    <row r="70" spans="2:11" x14ac:dyDescent="0.25">
      <c r="B70" s="71" t="s">
        <v>280</v>
      </c>
      <c r="C70" s="466">
        <v>0.99</v>
      </c>
      <c r="D70" s="301" t="s">
        <v>295</v>
      </c>
      <c r="E70" s="129"/>
      <c r="F70" s="71">
        <f>+G70/1.5</f>
        <v>712.18</v>
      </c>
      <c r="G70" s="297">
        <f>663.27+(270*1.5)</f>
        <v>1068.27</v>
      </c>
      <c r="H70" s="301">
        <v>46146</v>
      </c>
      <c r="I70" s="129" t="s">
        <v>175</v>
      </c>
      <c r="J70" s="162">
        <v>4302</v>
      </c>
      <c r="K70" s="318">
        <f t="shared" si="8"/>
        <v>107.55000000000001</v>
      </c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59" t="s">
        <v>297</v>
      </c>
      <c r="I71" s="345"/>
      <c r="J71" s="199">
        <f>+J69+J68+J70</f>
        <v>13228</v>
      </c>
      <c r="K71" s="346">
        <f t="shared" si="8"/>
        <v>330.70000000000005</v>
      </c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</sheetData>
  <protectedRanges>
    <protectedRange password="D554" sqref="I41:I43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2"/>
  <sheetViews>
    <sheetView topLeftCell="A45" zoomScale="85" zoomScaleNormal="85" workbookViewId="0">
      <selection activeCell="A28" sqref="A28:K73"/>
    </sheetView>
  </sheetViews>
  <sheetFormatPr baseColWidth="10" defaultColWidth="11.42578125" defaultRowHeight="15.75" x14ac:dyDescent="0.25"/>
  <cols>
    <col min="1" max="1" width="2.42578125" style="162" customWidth="1"/>
    <col min="2" max="2" width="45.85546875" style="162" customWidth="1"/>
    <col min="3" max="3" width="12.42578125" style="162" bestFit="1" customWidth="1"/>
    <col min="4" max="4" width="14.140625" style="163" customWidth="1"/>
    <col min="5" max="5" width="12.5703125" style="162" customWidth="1"/>
    <col min="6" max="6" width="16.28515625" style="162" customWidth="1"/>
    <col min="7" max="7" width="15.42578125" style="162" customWidth="1"/>
    <col min="8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/>
      <c r="F1" s="374">
        <v>46023</v>
      </c>
      <c r="G1" s="374">
        <v>46054</v>
      </c>
      <c r="H1" s="374">
        <v>46082</v>
      </c>
      <c r="I1" s="374">
        <v>46113</v>
      </c>
      <c r="J1" s="374">
        <v>46143</v>
      </c>
      <c r="K1" s="374">
        <v>46174</v>
      </c>
    </row>
    <row r="2" spans="1:11" x14ac:dyDescent="0.25">
      <c r="E2" s="320"/>
      <c r="F2" s="308">
        <f>+'Plan ventas 2026'!C6</f>
        <v>206828.90469992431</v>
      </c>
      <c r="G2" s="308">
        <f>+'Plan ventas 2026'!D6</f>
        <v>194544.91062046765</v>
      </c>
      <c r="H2" s="308">
        <f>+'Plan ventas 2026'!E6</f>
        <v>209783.99206683473</v>
      </c>
      <c r="I2" s="308">
        <f>+'Plan ventas 2026'!F9</f>
        <v>222576.996709089</v>
      </c>
      <c r="J2" s="308">
        <f>+'Plan ventas 2026'!G9</f>
        <v>228230.92688777612</v>
      </c>
      <c r="K2" s="308">
        <f>+'Plan ventas 2026'!H9</f>
        <v>224314.19420069718</v>
      </c>
    </row>
    <row r="3" spans="1:11" ht="15" customHeight="1" x14ac:dyDescent="0.25">
      <c r="A3" s="164"/>
      <c r="B3" s="519" t="s">
        <v>36</v>
      </c>
      <c r="C3" s="519"/>
      <c r="D3" s="519"/>
      <c r="E3" s="108"/>
      <c r="F3" s="108">
        <f>+F2/31</f>
        <v>6671.9001516104618</v>
      </c>
      <c r="G3" s="108">
        <f>+G2/28</f>
        <v>6948.0325221595585</v>
      </c>
      <c r="H3" s="108">
        <f>+H2/31</f>
        <v>6767.2255505430558</v>
      </c>
      <c r="I3" s="108">
        <f>+I2/30</f>
        <v>7419.2332236363</v>
      </c>
      <c r="J3" s="108">
        <f t="shared" ref="J3:K3" si="0">+J2/30</f>
        <v>7607.6975629258704</v>
      </c>
      <c r="K3" s="108">
        <f t="shared" si="0"/>
        <v>7477.1398066899064</v>
      </c>
    </row>
    <row r="4" spans="1:11" ht="19.5" customHeight="1" thickBot="1" x14ac:dyDescent="0.4">
      <c r="A4" s="164"/>
      <c r="B4" s="512"/>
      <c r="C4" s="512"/>
      <c r="D4" s="165">
        <f>D23</f>
        <v>8073.094000000001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5505</v>
      </c>
      <c r="D5" s="172">
        <v>234.6</v>
      </c>
      <c r="E5" s="80">
        <f t="shared" ref="E5:E23" si="1">+D5/$D$4</f>
        <v>2.905949069836174E-2</v>
      </c>
      <c r="F5" s="58" t="s">
        <v>51</v>
      </c>
      <c r="G5" s="59">
        <v>46160</v>
      </c>
      <c r="H5" s="190">
        <v>6675</v>
      </c>
      <c r="I5" s="141">
        <v>7219.76</v>
      </c>
      <c r="J5" s="60">
        <f t="shared" ref="J5:J12" si="2">+I5/H5</f>
        <v>1.0816119850187267</v>
      </c>
    </row>
    <row r="6" spans="1:11" ht="15" customHeight="1" x14ac:dyDescent="0.25">
      <c r="A6" s="164"/>
      <c r="B6" s="169" t="s">
        <v>10</v>
      </c>
      <c r="C6" s="177">
        <v>19780</v>
      </c>
      <c r="D6" s="173">
        <v>843.81200000000001</v>
      </c>
      <c r="E6" s="80">
        <f t="shared" si="1"/>
        <v>0.1045215130654988</v>
      </c>
      <c r="F6" s="58" t="s">
        <v>52</v>
      </c>
      <c r="G6" s="59">
        <v>46161</v>
      </c>
      <c r="H6" s="190">
        <v>9401</v>
      </c>
      <c r="I6" s="141">
        <v>8073.0940000000001</v>
      </c>
      <c r="J6" s="60">
        <f t="shared" si="2"/>
        <v>0.85874843101797682</v>
      </c>
    </row>
    <row r="7" spans="1:11" ht="15" customHeight="1" x14ac:dyDescent="0.25">
      <c r="A7" s="164"/>
      <c r="B7" s="169" t="s">
        <v>35</v>
      </c>
      <c r="C7" s="177">
        <v>32807</v>
      </c>
      <c r="D7" s="173">
        <v>1400.2139999999999</v>
      </c>
      <c r="E7" s="245">
        <f t="shared" si="1"/>
        <v>0.17344205331933454</v>
      </c>
      <c r="F7" s="58" t="s">
        <v>53</v>
      </c>
      <c r="G7" s="59">
        <v>46162</v>
      </c>
      <c r="H7" s="190">
        <v>9333</v>
      </c>
      <c r="I7" s="141"/>
      <c r="J7" s="60">
        <f t="shared" si="2"/>
        <v>0</v>
      </c>
    </row>
    <row r="8" spans="1:11" ht="15" customHeight="1" x14ac:dyDescent="0.25">
      <c r="A8" s="164"/>
      <c r="B8" s="169" t="s">
        <v>4</v>
      </c>
      <c r="C8" s="177">
        <v>875</v>
      </c>
      <c r="D8" s="173">
        <v>37.299999999999997</v>
      </c>
      <c r="E8" s="80">
        <f t="shared" si="1"/>
        <v>4.6202856054940022E-3</v>
      </c>
      <c r="F8" s="58" t="s">
        <v>54</v>
      </c>
      <c r="G8" s="59">
        <v>46163</v>
      </c>
      <c r="H8" s="190">
        <v>9361</v>
      </c>
      <c r="I8" s="141"/>
      <c r="J8" s="60">
        <f t="shared" si="2"/>
        <v>0</v>
      </c>
    </row>
    <row r="9" spans="1:11" ht="15" customHeight="1" x14ac:dyDescent="0.25">
      <c r="A9" s="164"/>
      <c r="B9" s="169" t="s">
        <v>37</v>
      </c>
      <c r="C9" s="177">
        <v>34589</v>
      </c>
      <c r="D9" s="173">
        <v>1476.1559999999999</v>
      </c>
      <c r="E9" s="245">
        <f t="shared" si="1"/>
        <v>0.18284885571752291</v>
      </c>
      <c r="F9" s="58" t="s">
        <v>55</v>
      </c>
      <c r="G9" s="59">
        <v>46164</v>
      </c>
      <c r="H9" s="190">
        <v>7985</v>
      </c>
      <c r="I9" s="141"/>
      <c r="J9" s="60">
        <f t="shared" si="2"/>
        <v>0</v>
      </c>
    </row>
    <row r="10" spans="1:11" ht="15" customHeight="1" x14ac:dyDescent="0.25">
      <c r="A10" s="164"/>
      <c r="B10" s="169" t="s">
        <v>38</v>
      </c>
      <c r="C10" s="177">
        <v>50627</v>
      </c>
      <c r="D10" s="173">
        <v>2158.9140000000002</v>
      </c>
      <c r="E10" s="245">
        <f t="shared" si="1"/>
        <v>0.26742089216352488</v>
      </c>
      <c r="F10" s="58" t="s">
        <v>56</v>
      </c>
      <c r="G10" s="59">
        <v>46165</v>
      </c>
      <c r="H10" s="190">
        <v>6720</v>
      </c>
      <c r="I10" s="141"/>
      <c r="J10" s="60">
        <f t="shared" si="2"/>
        <v>0</v>
      </c>
    </row>
    <row r="11" spans="1:11" ht="15" customHeight="1" x14ac:dyDescent="0.25">
      <c r="A11" s="164"/>
      <c r="B11" s="169" t="s">
        <v>42</v>
      </c>
      <c r="C11" s="177">
        <v>11645</v>
      </c>
      <c r="D11" s="173">
        <v>497.52800000000002</v>
      </c>
      <c r="E11" s="80">
        <f t="shared" si="1"/>
        <v>6.1627921091963002E-2</v>
      </c>
      <c r="F11" s="58" t="s">
        <v>57</v>
      </c>
      <c r="G11" s="59">
        <v>46166</v>
      </c>
      <c r="H11" s="190">
        <v>5810</v>
      </c>
      <c r="I11" s="141"/>
      <c r="J11" s="60">
        <f t="shared" si="2"/>
        <v>0</v>
      </c>
    </row>
    <row r="12" spans="1:11" ht="15" customHeight="1" x14ac:dyDescent="0.25">
      <c r="A12" s="164"/>
      <c r="B12" s="169" t="s">
        <v>44</v>
      </c>
      <c r="C12" s="177"/>
      <c r="D12" s="173"/>
      <c r="E12" s="80">
        <f t="shared" si="1"/>
        <v>0</v>
      </c>
      <c r="H12" s="139">
        <f>+SUM(H5:H11)</f>
        <v>55285</v>
      </c>
      <c r="I12" s="142">
        <f>+SUM(I5:I11)</f>
        <v>15292.853999999999</v>
      </c>
      <c r="J12" s="140">
        <f t="shared" si="2"/>
        <v>0.27661850411504024</v>
      </c>
    </row>
    <row r="13" spans="1:11" ht="15" customHeight="1" x14ac:dyDescent="0.25">
      <c r="A13" s="164"/>
      <c r="B13" s="169" t="s">
        <v>39</v>
      </c>
      <c r="C13" s="177">
        <v>89</v>
      </c>
      <c r="D13" s="173">
        <v>133.5</v>
      </c>
      <c r="E13" s="80">
        <f t="shared" si="1"/>
        <v>1.6536410947277459E-2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43</v>
      </c>
      <c r="C14" s="177"/>
      <c r="D14" s="173"/>
      <c r="E14" s="80">
        <f t="shared" si="1"/>
        <v>0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49</v>
      </c>
      <c r="C15" s="177"/>
      <c r="D15" s="173"/>
      <c r="E15" s="80">
        <f t="shared" si="1"/>
        <v>0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3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45</v>
      </c>
      <c r="C16" s="177">
        <v>67</v>
      </c>
      <c r="D16" s="173">
        <v>101.32</v>
      </c>
      <c r="E16" s="80">
        <f t="shared" si="1"/>
        <v>1.2550330765379418E-2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3"/>
        <v>0.98824488278289624</v>
      </c>
      <c r="K16" s="456">
        <f t="shared" si="3"/>
        <v>1.250875925629845</v>
      </c>
    </row>
    <row r="17" spans="1:11" ht="15" customHeight="1" x14ac:dyDescent="0.25">
      <c r="A17" s="164"/>
      <c r="B17" s="169" t="s">
        <v>41</v>
      </c>
      <c r="C17" s="177">
        <v>267</v>
      </c>
      <c r="D17" s="173">
        <v>403.43</v>
      </c>
      <c r="E17" s="80">
        <f t="shared" si="1"/>
        <v>4.9972166804944915E-2</v>
      </c>
      <c r="F17" s="112" t="s">
        <v>111</v>
      </c>
      <c r="G17" s="190">
        <v>205343.72800000012</v>
      </c>
      <c r="H17" s="190">
        <v>198970.75799999986</v>
      </c>
      <c r="I17" s="190">
        <v>228705.96</v>
      </c>
      <c r="J17" s="456">
        <f t="shared" si="3"/>
        <v>0.96896437956945902</v>
      </c>
      <c r="K17" s="456">
        <f t="shared" si="3"/>
        <v>1.1494450857949696</v>
      </c>
    </row>
    <row r="18" spans="1:11" ht="15" customHeight="1" x14ac:dyDescent="0.25">
      <c r="A18" s="164"/>
      <c r="B18" s="169" t="s">
        <v>88</v>
      </c>
      <c r="C18" s="177"/>
      <c r="D18" s="173">
        <v>90.2</v>
      </c>
      <c r="E18" s="80">
        <f t="shared" si="1"/>
        <v>1.1172915861006943E-2</v>
      </c>
      <c r="F18" s="112" t="s">
        <v>102</v>
      </c>
      <c r="G18" s="190">
        <v>209473.77399999995</v>
      </c>
      <c r="H18" s="190">
        <v>212393.17300000001</v>
      </c>
      <c r="I18" s="190">
        <f>+D24</f>
        <v>148077.48300000001</v>
      </c>
      <c r="J18" s="456">
        <f t="shared" si="3"/>
        <v>1.0139368234230604</v>
      </c>
      <c r="K18" s="456">
        <f t="shared" si="3"/>
        <v>0.69718570003189317</v>
      </c>
    </row>
    <row r="19" spans="1:11" ht="15" customHeight="1" x14ac:dyDescent="0.25">
      <c r="A19" s="164"/>
      <c r="B19" s="169" t="s">
        <v>40</v>
      </c>
      <c r="C19" s="177"/>
      <c r="D19" s="173">
        <v>542.13</v>
      </c>
      <c r="E19" s="80">
        <f t="shared" si="1"/>
        <v>6.715269263556202E-2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3"/>
        <v>1.0411341364876525</v>
      </c>
      <c r="K19" s="456">
        <f t="shared" si="3"/>
        <v>0</v>
      </c>
    </row>
    <row r="20" spans="1:11" ht="15" customHeight="1" x14ac:dyDescent="0.25">
      <c r="A20" s="164"/>
      <c r="B20" s="169" t="s">
        <v>265</v>
      </c>
      <c r="C20" s="177"/>
      <c r="D20" s="173">
        <v>31.59</v>
      </c>
      <c r="E20" s="80">
        <f t="shared" si="1"/>
        <v>3.9129979162883521E-3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3"/>
        <v>1.0133436050715139</v>
      </c>
      <c r="K20" s="456">
        <f t="shared" si="3"/>
        <v>0</v>
      </c>
    </row>
    <row r="21" spans="1:11" ht="15" customHeight="1" x14ac:dyDescent="0.25">
      <c r="A21" s="164"/>
      <c r="B21" s="169" t="s">
        <v>9</v>
      </c>
      <c r="C21" s="177"/>
      <c r="D21" s="173">
        <v>90.25</v>
      </c>
      <c r="E21" s="80">
        <f t="shared" si="1"/>
        <v>1.1179109273346748E-2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3"/>
        <v>1.0027046084995204</v>
      </c>
      <c r="K21" s="456">
        <f t="shared" si="3"/>
        <v>0</v>
      </c>
    </row>
    <row r="22" spans="1:11" ht="15" customHeight="1" thickBot="1" x14ac:dyDescent="0.3">
      <c r="A22" s="164"/>
      <c r="B22" s="169" t="s">
        <v>46</v>
      </c>
      <c r="C22" s="177"/>
      <c r="D22" s="173">
        <v>32.15</v>
      </c>
      <c r="E22" s="80">
        <f t="shared" si="1"/>
        <v>3.9823641344941601E-3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3"/>
        <v>1.0160661727759943</v>
      </c>
      <c r="K22" s="456">
        <f t="shared" si="3"/>
        <v>0</v>
      </c>
    </row>
    <row r="23" spans="1:11" ht="15" customHeight="1" thickBot="1" x14ac:dyDescent="0.3">
      <c r="A23" s="164"/>
      <c r="B23" s="178" t="s">
        <v>0</v>
      </c>
      <c r="C23" s="170"/>
      <c r="D23" s="171">
        <f>SUM(D5:D22)</f>
        <v>8073.094000000001</v>
      </c>
      <c r="E23" s="80">
        <f t="shared" si="1"/>
        <v>1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3"/>
        <v>1.0505805018598029</v>
      </c>
      <c r="K23" s="456">
        <f t="shared" si="3"/>
        <v>0</v>
      </c>
    </row>
    <row r="24" spans="1:11" ht="15" customHeight="1" x14ac:dyDescent="0.25">
      <c r="A24" s="164"/>
      <c r="B24" s="166" t="s">
        <v>1</v>
      </c>
      <c r="C24" s="167"/>
      <c r="D24" s="233">
        <v>148077.48300000001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3"/>
        <v>1.1265796786294864</v>
      </c>
      <c r="K24" s="456">
        <f t="shared" si="3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3"/>
        <v>1.1725047231175361</v>
      </c>
      <c r="K25" s="456">
        <f t="shared" si="3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1054834.0789999999</v>
      </c>
      <c r="J26" s="378"/>
      <c r="K26" s="378">
        <f>+I26/H26</f>
        <v>1.3704511922638916</v>
      </c>
    </row>
    <row r="27" spans="1:11" ht="19.5" thickBot="1" x14ac:dyDescent="0.3">
      <c r="E27" s="313">
        <f>+D24/J2</f>
        <v>0.64880551036280665</v>
      </c>
      <c r="G27" s="379" t="s">
        <v>229</v>
      </c>
      <c r="H27" s="380"/>
      <c r="I27" s="380">
        <v>2726927.1277059279</v>
      </c>
      <c r="J27" s="381">
        <f>+I26/H26</f>
        <v>1.3704511922638916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513">
        <v>19</v>
      </c>
      <c r="D29" s="108">
        <f>J3*C29</f>
        <v>144546.25369559153</v>
      </c>
      <c r="E29" s="314">
        <f>+D29/J2</f>
        <v>0.6333333333333333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+D24-D29</f>
        <v>3531.2293044084799</v>
      </c>
      <c r="E30" s="99">
        <f>E27-E29</f>
        <v>1.5472177029473344E-2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1.1494450857949696</v>
      </c>
      <c r="J31" s="422">
        <f>+I17-H17</f>
        <v>29735.202000000136</v>
      </c>
      <c r="K31" s="459">
        <f>J28+J31+J30+J29</f>
        <v>137058.20400000017</v>
      </c>
    </row>
    <row r="32" spans="1:11" ht="16.5" thickBot="1" x14ac:dyDescent="0.3">
      <c r="B32" s="66" t="s">
        <v>60</v>
      </c>
      <c r="D32" s="109" t="s">
        <v>105</v>
      </c>
      <c r="E32" s="109" t="s">
        <v>80</v>
      </c>
      <c r="H32" s="420" t="s">
        <v>298</v>
      </c>
      <c r="I32" s="421">
        <f>+I18/H18</f>
        <v>0.69718570003189317</v>
      </c>
      <c r="J32" s="422">
        <f>+I18-H18</f>
        <v>-64315.69</v>
      </c>
      <c r="K32" s="459">
        <f>J29+J32+J31+J30</f>
        <v>35660.996000000217</v>
      </c>
    </row>
    <row r="33" spans="1:11" x14ac:dyDescent="0.25">
      <c r="B33" s="162" t="s">
        <v>61</v>
      </c>
      <c r="C33" s="162">
        <v>720</v>
      </c>
      <c r="D33" s="108">
        <v>2142</v>
      </c>
      <c r="E33" s="57">
        <f>+C33/D33</f>
        <v>0.33613445378151263</v>
      </c>
      <c r="G33" s="163"/>
      <c r="H33" s="237" t="s">
        <v>157</v>
      </c>
      <c r="I33" s="237" t="s">
        <v>92</v>
      </c>
      <c r="J33" s="71"/>
      <c r="K33" s="68"/>
    </row>
    <row r="34" spans="1:11" x14ac:dyDescent="0.25">
      <c r="B34" s="162" t="s">
        <v>62</v>
      </c>
      <c r="C34" s="162">
        <v>1400</v>
      </c>
      <c r="D34" s="108">
        <v>1890</v>
      </c>
      <c r="E34" s="57">
        <f>+C34/D34</f>
        <v>0.7407407407407407</v>
      </c>
      <c r="G34" s="86" t="s">
        <v>86</v>
      </c>
      <c r="H34" s="87">
        <v>9645</v>
      </c>
      <c r="I34" s="88">
        <f>+H34*0.025</f>
        <v>241.125</v>
      </c>
      <c r="J34" s="224"/>
    </row>
    <row r="35" spans="1:11" x14ac:dyDescent="0.25">
      <c r="B35" s="162" t="s">
        <v>63</v>
      </c>
      <c r="C35" s="67">
        <v>1360</v>
      </c>
      <c r="D35" s="108">
        <v>3006</v>
      </c>
      <c r="E35" s="57">
        <f>+C35/D35</f>
        <v>0.45242847638057221</v>
      </c>
      <c r="G35" s="86" t="s">
        <v>259</v>
      </c>
      <c r="H35" s="87">
        <v>756</v>
      </c>
      <c r="I35" s="88">
        <f>+H35*0.025</f>
        <v>18.900000000000002</v>
      </c>
      <c r="J35" s="224"/>
    </row>
    <row r="36" spans="1:11" x14ac:dyDescent="0.25">
      <c r="C36" s="162">
        <f>+SUM(C33:C35)</f>
        <v>3480</v>
      </c>
      <c r="D36" s="110">
        <f>+SUM(D33:D35)</f>
        <v>7038</v>
      </c>
      <c r="E36" s="57">
        <f>+C36/D36</f>
        <v>0.49445865302642794</v>
      </c>
      <c r="G36" s="86" t="s">
        <v>171</v>
      </c>
      <c r="H36" s="87">
        <v>216</v>
      </c>
      <c r="I36" s="88">
        <f>+H36*0.025</f>
        <v>5.4</v>
      </c>
      <c r="J36" s="297" t="s">
        <v>188</v>
      </c>
    </row>
    <row r="37" spans="1:11" x14ac:dyDescent="0.25">
      <c r="G37" s="89" t="s">
        <v>169</v>
      </c>
      <c r="H37" s="87">
        <f>425+100</f>
        <v>525</v>
      </c>
      <c r="I37" s="88">
        <f>+H37*1.5</f>
        <v>787.5</v>
      </c>
      <c r="J37" s="298">
        <f>+I37+I34+I35+I36</f>
        <v>1052.9250000000002</v>
      </c>
    </row>
    <row r="38" spans="1:11" x14ac:dyDescent="0.25">
      <c r="B38" s="162" t="s">
        <v>66</v>
      </c>
      <c r="D38" s="162"/>
      <c r="G38" s="89" t="s">
        <v>168</v>
      </c>
      <c r="H38" s="87">
        <v>135</v>
      </c>
      <c r="I38" s="88">
        <f>+H38*1.5</f>
        <v>202.5</v>
      </c>
      <c r="J38" s="228" t="s">
        <v>193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231" t="s">
        <v>123</v>
      </c>
      <c r="H39" s="138">
        <v>240</v>
      </c>
      <c r="I39" s="232">
        <v>346.5</v>
      </c>
      <c r="J39" s="218" t="s">
        <v>146</v>
      </c>
    </row>
    <row r="40" spans="1:11" x14ac:dyDescent="0.25">
      <c r="B40" s="73">
        <v>56</v>
      </c>
      <c r="C40" s="74">
        <v>5</v>
      </c>
      <c r="D40" s="74">
        <v>17</v>
      </c>
      <c r="E40" s="75">
        <f>+SUM(B40:D40)</f>
        <v>78</v>
      </c>
      <c r="G40" s="89" t="s">
        <v>170</v>
      </c>
      <c r="H40" s="87">
        <v>24</v>
      </c>
      <c r="I40" s="88">
        <f>+H40*1.5</f>
        <v>36</v>
      </c>
      <c r="J40" s="224" t="s">
        <v>213</v>
      </c>
    </row>
    <row r="41" spans="1:11" x14ac:dyDescent="0.25">
      <c r="G41" s="89" t="s">
        <v>107</v>
      </c>
      <c r="H41" s="87">
        <f>213-20</f>
        <v>193</v>
      </c>
      <c r="I41" s="88">
        <f>+H41*1.5</f>
        <v>289.5</v>
      </c>
      <c r="J41" s="224" t="s">
        <v>152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124</v>
      </c>
      <c r="I42" s="220" t="s">
        <v>148</v>
      </c>
      <c r="J42" s="218" t="s">
        <v>146</v>
      </c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4">+C43/D43</f>
        <v>0</v>
      </c>
      <c r="F43" s="201">
        <f t="shared" ref="F43:F48" si="5">+B43/24</f>
        <v>0</v>
      </c>
      <c r="G43" s="202">
        <v>7</v>
      </c>
      <c r="H43" s="144" t="s">
        <v>120</v>
      </c>
      <c r="I43" s="145">
        <v>0</v>
      </c>
      <c r="J43" s="218"/>
    </row>
    <row r="44" spans="1:11" x14ac:dyDescent="0.25">
      <c r="A44" s="207" t="s">
        <v>71</v>
      </c>
      <c r="B44" s="199">
        <v>3.85</v>
      </c>
      <c r="C44" s="199">
        <v>1282</v>
      </c>
      <c r="D44" s="200">
        <v>3600</v>
      </c>
      <c r="E44" s="201">
        <f t="shared" si="4"/>
        <v>0.3561111111111111</v>
      </c>
      <c r="F44" s="201">
        <f t="shared" si="5"/>
        <v>0.16041666666666668</v>
      </c>
      <c r="G44" s="202">
        <v>12</v>
      </c>
      <c r="H44" s="144" t="s">
        <v>121</v>
      </c>
      <c r="I44" s="220" t="s">
        <v>149</v>
      </c>
      <c r="J44" s="218" t="s">
        <v>146</v>
      </c>
    </row>
    <row r="45" spans="1:11" x14ac:dyDescent="0.25">
      <c r="A45" s="207" t="s">
        <v>72</v>
      </c>
      <c r="B45" s="199">
        <v>10.39</v>
      </c>
      <c r="C45" s="199">
        <v>3270</v>
      </c>
      <c r="D45" s="200">
        <v>3900</v>
      </c>
      <c r="E45" s="201">
        <f t="shared" si="4"/>
        <v>0.83846153846153848</v>
      </c>
      <c r="F45" s="201">
        <f t="shared" si="5"/>
        <v>0.43291666666666667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17.25</v>
      </c>
      <c r="C46" s="199">
        <v>2635</v>
      </c>
      <c r="D46" s="200">
        <v>3900</v>
      </c>
      <c r="E46" s="201">
        <f t="shared" si="4"/>
        <v>0.67564102564102568</v>
      </c>
      <c r="F46" s="201">
        <f t="shared" si="5"/>
        <v>0.71875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5.17</v>
      </c>
      <c r="C47" s="199">
        <v>1813</v>
      </c>
      <c r="D47" s="200">
        <v>3900</v>
      </c>
      <c r="E47" s="201">
        <f t="shared" si="4"/>
        <v>0.46487179487179486</v>
      </c>
      <c r="F47" s="201">
        <f t="shared" si="5"/>
        <v>0.21541666666666667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17.600000000000001</v>
      </c>
      <c r="C48" s="261">
        <v>2367</v>
      </c>
      <c r="D48" s="262">
        <v>4300</v>
      </c>
      <c r="E48" s="263">
        <f t="shared" si="4"/>
        <v>0.5504651162790698</v>
      </c>
      <c r="F48" s="201">
        <f t="shared" si="5"/>
        <v>0.73333333333333339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5" si="6">+J48*1.5</f>
        <v>129</v>
      </c>
    </row>
    <row r="49" spans="2:11" x14ac:dyDescent="0.25">
      <c r="B49" s="113">
        <f>+SUM(B43:B48)</f>
        <v>54.260000000000005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6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6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6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46141</v>
      </c>
      <c r="I52" s="129" t="s">
        <v>175</v>
      </c>
      <c r="J52" s="162">
        <v>94</v>
      </c>
      <c r="K52" s="318">
        <f t="shared" si="6"/>
        <v>141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46141</v>
      </c>
      <c r="I53" s="129" t="s">
        <v>176</v>
      </c>
      <c r="J53" s="162">
        <v>150</v>
      </c>
      <c r="K53" s="318">
        <f t="shared" si="6"/>
        <v>225</v>
      </c>
    </row>
    <row r="54" spans="2:11" x14ac:dyDescent="0.25">
      <c r="C54" s="71">
        <v>4</v>
      </c>
      <c r="D54" s="108">
        <v>3</v>
      </c>
      <c r="H54" s="301">
        <v>46144</v>
      </c>
      <c r="I54" s="129" t="s">
        <v>175</v>
      </c>
      <c r="J54" s="162">
        <v>129</v>
      </c>
      <c r="K54" s="318">
        <f t="shared" si="6"/>
        <v>193.5</v>
      </c>
    </row>
    <row r="55" spans="2:11" x14ac:dyDescent="0.25">
      <c r="C55" s="71">
        <v>5</v>
      </c>
      <c r="D55" s="108">
        <v>0</v>
      </c>
      <c r="H55" s="301">
        <v>46144</v>
      </c>
      <c r="I55" s="129" t="s">
        <v>176</v>
      </c>
      <c r="J55" s="162">
        <v>167</v>
      </c>
      <c r="K55" s="318">
        <f t="shared" si="6"/>
        <v>250.5</v>
      </c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6</v>
      </c>
    </row>
    <row r="59" spans="2:11" x14ac:dyDescent="0.25">
      <c r="H59" s="359" t="s">
        <v>273</v>
      </c>
      <c r="I59" s="345"/>
      <c r="J59" s="199">
        <f>+J54+J55</f>
        <v>296</v>
      </c>
      <c r="K59" s="346">
        <f>+J59*1.5</f>
        <v>444</v>
      </c>
    </row>
    <row r="60" spans="2:11" x14ac:dyDescent="0.25">
      <c r="B60" s="364" t="s">
        <v>231</v>
      </c>
      <c r="C60" s="199">
        <v>2229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7">+F65*1.5</f>
        <v>97.5</v>
      </c>
      <c r="H65" s="301">
        <v>46129</v>
      </c>
      <c r="I65" s="129" t="s">
        <v>175</v>
      </c>
      <c r="J65" s="162">
        <v>5040</v>
      </c>
      <c r="K65" s="318">
        <f t="shared" ref="K65:K71" si="8"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7"/>
        <v>282</v>
      </c>
      <c r="H66" s="301">
        <v>46132</v>
      </c>
      <c r="I66" s="129" t="s">
        <v>175</v>
      </c>
      <c r="J66" s="162">
        <v>5136</v>
      </c>
      <c r="K66" s="318">
        <f t="shared" si="8"/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7"/>
        <v>3</v>
      </c>
      <c r="H67" s="301">
        <v>46132</v>
      </c>
      <c r="I67" s="129" t="s">
        <v>176</v>
      </c>
      <c r="J67" s="162">
        <v>5941</v>
      </c>
      <c r="K67" s="318">
        <f t="shared" si="8"/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7"/>
        <v>300</v>
      </c>
      <c r="H68" s="301">
        <v>46145</v>
      </c>
      <c r="I68" s="129" t="s">
        <v>175</v>
      </c>
      <c r="J68" s="162">
        <v>2986</v>
      </c>
      <c r="K68" s="318">
        <f t="shared" si="8"/>
        <v>74.650000000000006</v>
      </c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7"/>
        <v>250.5</v>
      </c>
      <c r="H69" s="301">
        <v>46145</v>
      </c>
      <c r="I69" s="129" t="s">
        <v>176</v>
      </c>
      <c r="J69" s="162">
        <v>5940</v>
      </c>
      <c r="K69" s="318">
        <f t="shared" si="8"/>
        <v>148.5</v>
      </c>
    </row>
    <row r="70" spans="2:11" x14ac:dyDescent="0.25">
      <c r="B70" s="71" t="s">
        <v>280</v>
      </c>
      <c r="C70" s="466">
        <v>0.99</v>
      </c>
      <c r="D70" s="301" t="s">
        <v>295</v>
      </c>
      <c r="E70" s="129"/>
      <c r="F70" s="71">
        <f>+G70/1.5</f>
        <v>712.18</v>
      </c>
      <c r="G70" s="297">
        <f>663.27+(270*1.5)</f>
        <v>1068.27</v>
      </c>
      <c r="H70" s="301">
        <v>46146</v>
      </c>
      <c r="I70" s="129" t="s">
        <v>175</v>
      </c>
      <c r="J70" s="162">
        <v>4302</v>
      </c>
      <c r="K70" s="318">
        <f t="shared" si="8"/>
        <v>107.55000000000001</v>
      </c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59" t="s">
        <v>297</v>
      </c>
      <c r="I71" s="345"/>
      <c r="J71" s="199">
        <f>+J69+J68+J70</f>
        <v>13228</v>
      </c>
      <c r="K71" s="346">
        <f t="shared" si="8"/>
        <v>330.70000000000005</v>
      </c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</sheetData>
  <protectedRanges>
    <protectedRange password="D554" sqref="I42:I44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2"/>
  <sheetViews>
    <sheetView topLeftCell="A47" workbookViewId="0">
      <selection activeCell="A28" sqref="A28:K72"/>
    </sheetView>
  </sheetViews>
  <sheetFormatPr baseColWidth="10" defaultColWidth="11.42578125" defaultRowHeight="15.75" x14ac:dyDescent="0.25"/>
  <cols>
    <col min="1" max="1" width="2.42578125" style="162" customWidth="1"/>
    <col min="2" max="2" width="45.42578125" style="162" bestFit="1" customWidth="1"/>
    <col min="3" max="3" width="7.28515625" style="162" customWidth="1"/>
    <col min="4" max="4" width="12" style="163" bestFit="1" customWidth="1"/>
    <col min="5" max="5" width="9.5703125" style="162" bestFit="1" customWidth="1"/>
    <col min="6" max="6" width="12" style="162" bestFit="1" customWidth="1"/>
    <col min="7" max="7" width="15.7109375" style="162" bestFit="1" customWidth="1"/>
    <col min="8" max="10" width="11.42578125" style="162"/>
    <col min="11" max="11" width="7.85546875" style="162" bestFit="1" customWidth="1"/>
    <col min="12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/>
      <c r="F1" s="374">
        <v>46023</v>
      </c>
      <c r="G1" s="374">
        <v>46054</v>
      </c>
      <c r="H1" s="374">
        <v>46082</v>
      </c>
      <c r="I1" s="374">
        <v>46113</v>
      </c>
      <c r="J1" s="374">
        <v>46143</v>
      </c>
      <c r="K1" s="374">
        <v>46174</v>
      </c>
    </row>
    <row r="2" spans="1:11" x14ac:dyDescent="0.25">
      <c r="E2" s="320"/>
      <c r="F2" s="308">
        <f>+'Plan ventas 2026'!C6</f>
        <v>206828.90469992431</v>
      </c>
      <c r="G2" s="308">
        <f>+'Plan ventas 2026'!D6</f>
        <v>194544.91062046765</v>
      </c>
      <c r="H2" s="308">
        <f>+'Plan ventas 2026'!E6</f>
        <v>209783.99206683473</v>
      </c>
      <c r="I2" s="308">
        <f>+'Plan ventas 2026'!F9</f>
        <v>222576.996709089</v>
      </c>
      <c r="J2" s="308">
        <f>+'Plan ventas 2026'!G9</f>
        <v>228230.92688777612</v>
      </c>
      <c r="K2" s="308">
        <f>+'Plan ventas 2026'!H9</f>
        <v>224314.19420069718</v>
      </c>
    </row>
    <row r="3" spans="1:11" ht="15" customHeight="1" x14ac:dyDescent="0.25">
      <c r="A3" s="164"/>
      <c r="B3" s="519" t="s">
        <v>36</v>
      </c>
      <c r="C3" s="519"/>
      <c r="D3" s="519"/>
      <c r="E3" s="108"/>
      <c r="F3" s="108">
        <f>+F2/31</f>
        <v>6671.9001516104618</v>
      </c>
      <c r="G3" s="108">
        <f>+G2/28</f>
        <v>6948.0325221595585</v>
      </c>
      <c r="H3" s="108">
        <f>+H2/31</f>
        <v>6767.2255505430558</v>
      </c>
      <c r="I3" s="108">
        <f>+I2/30</f>
        <v>7419.2332236363</v>
      </c>
      <c r="J3" s="108">
        <f t="shared" ref="J3:K3" si="0">+J2/30</f>
        <v>7607.6975629258704</v>
      </c>
      <c r="K3" s="108">
        <f t="shared" si="0"/>
        <v>7477.1398066899064</v>
      </c>
    </row>
    <row r="4" spans="1:11" ht="19.5" customHeight="1" thickBot="1" x14ac:dyDescent="0.4">
      <c r="A4" s="164"/>
      <c r="B4" s="514"/>
      <c r="C4" s="514"/>
      <c r="D4" s="165">
        <f>D23</f>
        <v>9439.7559999999976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4703</v>
      </c>
      <c r="D5" s="172">
        <v>200.41200000000001</v>
      </c>
      <c r="E5" s="80">
        <f t="shared" ref="E5:E23" si="1">+D5/$D$4</f>
        <v>2.12306335036626E-2</v>
      </c>
      <c r="F5" s="58" t="s">
        <v>51</v>
      </c>
      <c r="G5" s="59">
        <v>46160</v>
      </c>
      <c r="H5" s="190">
        <v>6675</v>
      </c>
      <c r="I5" s="141">
        <v>7219.76</v>
      </c>
      <c r="J5" s="60">
        <f t="shared" ref="J5:J12" si="2">+I5/H5</f>
        <v>1.0816119850187267</v>
      </c>
    </row>
    <row r="6" spans="1:11" ht="15" customHeight="1" x14ac:dyDescent="0.25">
      <c r="A6" s="164"/>
      <c r="B6" s="169" t="s">
        <v>10</v>
      </c>
      <c r="C6" s="177">
        <v>21316</v>
      </c>
      <c r="D6" s="173">
        <v>909.94200000000001</v>
      </c>
      <c r="E6" s="80">
        <f t="shared" si="1"/>
        <v>9.6394652573647058E-2</v>
      </c>
      <c r="F6" s="58" t="s">
        <v>52</v>
      </c>
      <c r="G6" s="59">
        <v>46161</v>
      </c>
      <c r="H6" s="190">
        <v>9401</v>
      </c>
      <c r="I6" s="141">
        <v>8073.0940000000001</v>
      </c>
      <c r="J6" s="60">
        <f t="shared" si="2"/>
        <v>0.85874843101797682</v>
      </c>
    </row>
    <row r="7" spans="1:11" ht="15" customHeight="1" x14ac:dyDescent="0.25">
      <c r="A7" s="164"/>
      <c r="B7" s="169" t="s">
        <v>35</v>
      </c>
      <c r="C7" s="177">
        <v>28948</v>
      </c>
      <c r="D7" s="173">
        <v>1236.6320000000001</v>
      </c>
      <c r="E7" s="245">
        <f t="shared" si="1"/>
        <v>0.13100253862493907</v>
      </c>
      <c r="F7" s="58" t="s">
        <v>53</v>
      </c>
      <c r="G7" s="59">
        <v>46162</v>
      </c>
      <c r="H7" s="190">
        <v>9333</v>
      </c>
      <c r="I7" s="141">
        <v>9439.7559999999994</v>
      </c>
      <c r="J7" s="60">
        <f t="shared" si="2"/>
        <v>1.0114385513768349</v>
      </c>
    </row>
    <row r="8" spans="1:11" ht="15" customHeight="1" x14ac:dyDescent="0.25">
      <c r="A8" s="164"/>
      <c r="B8" s="169" t="s">
        <v>4</v>
      </c>
      <c r="C8" s="177">
        <v>800</v>
      </c>
      <c r="D8" s="173">
        <v>34.17</v>
      </c>
      <c r="E8" s="80">
        <f t="shared" si="1"/>
        <v>3.6197969523788548E-3</v>
      </c>
      <c r="F8" s="58" t="s">
        <v>54</v>
      </c>
      <c r="G8" s="59">
        <v>46163</v>
      </c>
      <c r="H8" s="190">
        <v>9361</v>
      </c>
      <c r="I8" s="141"/>
      <c r="J8" s="60">
        <f t="shared" si="2"/>
        <v>0</v>
      </c>
    </row>
    <row r="9" spans="1:11" ht="15" customHeight="1" x14ac:dyDescent="0.25">
      <c r="A9" s="164"/>
      <c r="B9" s="169" t="s">
        <v>37</v>
      </c>
      <c r="C9" s="177">
        <v>44183</v>
      </c>
      <c r="D9" s="173">
        <v>1885.068</v>
      </c>
      <c r="E9" s="245">
        <f t="shared" si="1"/>
        <v>0.19969456837655555</v>
      </c>
      <c r="F9" s="58" t="s">
        <v>55</v>
      </c>
      <c r="G9" s="59">
        <v>46164</v>
      </c>
      <c r="H9" s="190">
        <v>7985</v>
      </c>
      <c r="I9" s="141"/>
      <c r="J9" s="60">
        <f t="shared" si="2"/>
        <v>0</v>
      </c>
    </row>
    <row r="10" spans="1:11" ht="15" customHeight="1" x14ac:dyDescent="0.25">
      <c r="A10" s="164"/>
      <c r="B10" s="169" t="s">
        <v>38</v>
      </c>
      <c r="C10" s="177">
        <v>52739</v>
      </c>
      <c r="D10" s="173">
        <v>2249.89</v>
      </c>
      <c r="E10" s="245">
        <f t="shared" si="1"/>
        <v>0.23834196561860291</v>
      </c>
      <c r="F10" s="58" t="s">
        <v>56</v>
      </c>
      <c r="G10" s="59">
        <v>46165</v>
      </c>
      <c r="H10" s="190">
        <v>6720</v>
      </c>
      <c r="I10" s="141"/>
      <c r="J10" s="60">
        <f t="shared" si="2"/>
        <v>0</v>
      </c>
    </row>
    <row r="11" spans="1:11" ht="15" customHeight="1" x14ac:dyDescent="0.25">
      <c r="A11" s="164"/>
      <c r="B11" s="169" t="s">
        <v>42</v>
      </c>
      <c r="C11" s="177">
        <v>14726</v>
      </c>
      <c r="D11" s="173">
        <v>628.59199999999998</v>
      </c>
      <c r="E11" s="80">
        <f t="shared" si="1"/>
        <v>6.6589856771721662E-2</v>
      </c>
      <c r="F11" s="58" t="s">
        <v>57</v>
      </c>
      <c r="G11" s="59">
        <v>46166</v>
      </c>
      <c r="H11" s="190">
        <v>5810</v>
      </c>
      <c r="I11" s="141"/>
      <c r="J11" s="60">
        <f t="shared" si="2"/>
        <v>0</v>
      </c>
    </row>
    <row r="12" spans="1:11" ht="15" customHeight="1" x14ac:dyDescent="0.25">
      <c r="A12" s="164"/>
      <c r="B12" s="169" t="s">
        <v>218</v>
      </c>
      <c r="C12" s="177">
        <v>720</v>
      </c>
      <c r="D12" s="173">
        <v>30.73</v>
      </c>
      <c r="E12" s="80">
        <f t="shared" si="1"/>
        <v>3.2553807534855782E-3</v>
      </c>
      <c r="H12" s="139">
        <f>+SUM(H5:H11)</f>
        <v>55285</v>
      </c>
      <c r="I12" s="142">
        <f>+SUM(I5:I11)</f>
        <v>24732.61</v>
      </c>
      <c r="J12" s="140">
        <f t="shared" si="2"/>
        <v>0.44736565071900153</v>
      </c>
    </row>
    <row r="13" spans="1:11" ht="15" customHeight="1" x14ac:dyDescent="0.25">
      <c r="A13" s="164"/>
      <c r="B13" s="169" t="s">
        <v>39</v>
      </c>
      <c r="C13" s="177">
        <v>554</v>
      </c>
      <c r="D13" s="173">
        <v>835.94</v>
      </c>
      <c r="E13" s="80">
        <f t="shared" si="1"/>
        <v>8.8555255029896987E-2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43</v>
      </c>
      <c r="C14" s="177">
        <v>181</v>
      </c>
      <c r="D14" s="173">
        <v>272.44</v>
      </c>
      <c r="E14" s="80">
        <f t="shared" si="1"/>
        <v>2.8860915472815194E-2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49</v>
      </c>
      <c r="C15" s="177"/>
      <c r="D15" s="173"/>
      <c r="E15" s="80">
        <f t="shared" si="1"/>
        <v>0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3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45</v>
      </c>
      <c r="C16" s="177">
        <v>116</v>
      </c>
      <c r="D16" s="173">
        <v>175.36</v>
      </c>
      <c r="E16" s="80">
        <f t="shared" si="1"/>
        <v>1.8576751348234007E-2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3"/>
        <v>0.98824488278289624</v>
      </c>
      <c r="K16" s="456">
        <f t="shared" si="3"/>
        <v>1.250875925629845</v>
      </c>
    </row>
    <row r="17" spans="1:11" ht="15" customHeight="1" x14ac:dyDescent="0.25">
      <c r="A17" s="164"/>
      <c r="B17" s="169" t="s">
        <v>41</v>
      </c>
      <c r="C17" s="177">
        <v>45</v>
      </c>
      <c r="D17" s="173">
        <v>67.97</v>
      </c>
      <c r="E17" s="80">
        <f t="shared" si="1"/>
        <v>7.2003979763883745E-3</v>
      </c>
      <c r="F17" s="112" t="s">
        <v>111</v>
      </c>
      <c r="G17" s="190">
        <v>205343.72800000012</v>
      </c>
      <c r="H17" s="190">
        <v>198970.75799999986</v>
      </c>
      <c r="I17" s="190">
        <v>228705.96</v>
      </c>
      <c r="J17" s="456">
        <f t="shared" si="3"/>
        <v>0.96896437956945902</v>
      </c>
      <c r="K17" s="456">
        <f t="shared" si="3"/>
        <v>1.1494450857949696</v>
      </c>
    </row>
    <row r="18" spans="1:11" ht="15" customHeight="1" x14ac:dyDescent="0.25">
      <c r="A18" s="164"/>
      <c r="B18" s="169" t="s">
        <v>88</v>
      </c>
      <c r="C18" s="177">
        <v>20</v>
      </c>
      <c r="D18" s="173">
        <v>30.25</v>
      </c>
      <c r="E18" s="80">
        <f t="shared" si="1"/>
        <v>3.2045319815469813E-3</v>
      </c>
      <c r="F18" s="112" t="s">
        <v>102</v>
      </c>
      <c r="G18" s="190">
        <v>209473.77399999995</v>
      </c>
      <c r="H18" s="190">
        <v>212393.17300000001</v>
      </c>
      <c r="I18" s="190">
        <f>+D24</f>
        <v>157681.19</v>
      </c>
      <c r="J18" s="456">
        <f t="shared" si="3"/>
        <v>1.0139368234230604</v>
      </c>
      <c r="K18" s="456">
        <f t="shared" si="3"/>
        <v>0.74240234642570169</v>
      </c>
    </row>
    <row r="19" spans="1:11" ht="15" customHeight="1" x14ac:dyDescent="0.25">
      <c r="A19" s="164"/>
      <c r="B19" s="169" t="s">
        <v>40</v>
      </c>
      <c r="C19" s="177"/>
      <c r="D19" s="173">
        <v>541.48</v>
      </c>
      <c r="E19" s="80">
        <f t="shared" si="1"/>
        <v>5.7361652144398666E-2</v>
      </c>
      <c r="F19" s="112" t="s">
        <v>125</v>
      </c>
      <c r="G19" s="190">
        <v>196506.86</v>
      </c>
      <c r="H19" s="190">
        <v>204590</v>
      </c>
      <c r="I19" s="190"/>
      <c r="J19" s="456">
        <f t="shared" si="3"/>
        <v>1.0411341364876525</v>
      </c>
      <c r="K19" s="456">
        <f t="shared" si="3"/>
        <v>0</v>
      </c>
    </row>
    <row r="20" spans="1:11" ht="15" customHeight="1" x14ac:dyDescent="0.25">
      <c r="A20" s="164"/>
      <c r="B20" s="169" t="s">
        <v>265</v>
      </c>
      <c r="C20" s="177"/>
      <c r="D20" s="173"/>
      <c r="E20" s="80">
        <f t="shared" si="1"/>
        <v>0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3"/>
        <v>1.0133436050715139</v>
      </c>
      <c r="K20" s="456">
        <f t="shared" si="3"/>
        <v>0</v>
      </c>
    </row>
    <row r="21" spans="1:11" ht="15" customHeight="1" x14ac:dyDescent="0.25">
      <c r="A21" s="164"/>
      <c r="B21" s="169" t="s">
        <v>9</v>
      </c>
      <c r="C21" s="177"/>
      <c r="D21" s="173">
        <v>120.3</v>
      </c>
      <c r="E21" s="80">
        <f t="shared" si="1"/>
        <v>1.2743973467110805E-2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3"/>
        <v>1.0027046084995204</v>
      </c>
      <c r="K21" s="456">
        <f t="shared" si="3"/>
        <v>0</v>
      </c>
    </row>
    <row r="22" spans="1:11" ht="15" customHeight="1" thickBot="1" x14ac:dyDescent="0.3">
      <c r="A22" s="164"/>
      <c r="B22" s="169" t="s">
        <v>46</v>
      </c>
      <c r="C22" s="177"/>
      <c r="D22" s="173">
        <v>220.58</v>
      </c>
      <c r="E22" s="80">
        <f t="shared" si="1"/>
        <v>2.3367129404615973E-2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3"/>
        <v>1.0160661727759943</v>
      </c>
      <c r="K22" s="456">
        <f t="shared" si="3"/>
        <v>0</v>
      </c>
    </row>
    <row r="23" spans="1:11" ht="15" customHeight="1" thickBot="1" x14ac:dyDescent="0.3">
      <c r="A23" s="164"/>
      <c r="B23" s="178" t="s">
        <v>0</v>
      </c>
      <c r="C23" s="170"/>
      <c r="D23" s="171">
        <f>SUM(D5:D22)</f>
        <v>9439.7559999999976</v>
      </c>
      <c r="E23" s="80">
        <f t="shared" si="1"/>
        <v>1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3"/>
        <v>1.0505805018598029</v>
      </c>
      <c r="K23" s="456">
        <f t="shared" si="3"/>
        <v>0</v>
      </c>
    </row>
    <row r="24" spans="1:11" ht="15" customHeight="1" x14ac:dyDescent="0.25">
      <c r="A24" s="164"/>
      <c r="B24" s="166" t="s">
        <v>1</v>
      </c>
      <c r="C24" s="167"/>
      <c r="D24" s="233">
        <v>157681.19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3"/>
        <v>1.1265796786294864</v>
      </c>
      <c r="K24" s="456">
        <f t="shared" si="3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3"/>
        <v>1.1725047231175361</v>
      </c>
      <c r="K25" s="456">
        <f t="shared" si="3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1064437.7859999998</v>
      </c>
      <c r="J26" s="378"/>
      <c r="K26" s="378">
        <f>+I26/H26</f>
        <v>1.3829284263335191</v>
      </c>
    </row>
    <row r="27" spans="1:11" ht="19.5" thickBot="1" x14ac:dyDescent="0.3">
      <c r="E27" s="313">
        <f>+D24/J2</f>
        <v>0.69088441321334915</v>
      </c>
      <c r="G27" s="379" t="s">
        <v>229</v>
      </c>
      <c r="H27" s="380"/>
      <c r="I27" s="380">
        <v>2726927.1277059279</v>
      </c>
      <c r="J27" s="381">
        <f>+I26/H26</f>
        <v>1.3829284263335191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515">
        <v>20</v>
      </c>
      <c r="D29" s="108">
        <f>J3*C29</f>
        <v>152153.95125851739</v>
      </c>
      <c r="E29" s="314">
        <f>+D29/J2</f>
        <v>0.66666666666666663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+D24-D29</f>
        <v>5527.238741482608</v>
      </c>
      <c r="E30" s="99">
        <f>E27-E29</f>
        <v>2.4217746546682517E-2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1.1494450857949696</v>
      </c>
      <c r="J31" s="422">
        <f>+I17-H17</f>
        <v>29735.202000000136</v>
      </c>
      <c r="K31" s="459">
        <f>J28+J31+J30+J29</f>
        <v>137058.20400000017</v>
      </c>
    </row>
    <row r="32" spans="1:11" ht="16.5" thickBot="1" x14ac:dyDescent="0.3">
      <c r="B32" s="66" t="s">
        <v>60</v>
      </c>
      <c r="D32" s="109" t="s">
        <v>105</v>
      </c>
      <c r="E32" s="109" t="s">
        <v>80</v>
      </c>
      <c r="H32" s="420" t="s">
        <v>298</v>
      </c>
      <c r="I32" s="421">
        <f>+I18/H18</f>
        <v>0.74240234642570169</v>
      </c>
      <c r="J32" s="422">
        <f>+I18-H18</f>
        <v>-54711.983000000007</v>
      </c>
      <c r="K32" s="459">
        <f>J29+J32+J31+J30</f>
        <v>45264.703000000212</v>
      </c>
    </row>
    <row r="33" spans="1:11" x14ac:dyDescent="0.25">
      <c r="B33" s="162" t="s">
        <v>61</v>
      </c>
      <c r="C33" s="162">
        <v>876</v>
      </c>
      <c r="D33" s="108">
        <v>2142</v>
      </c>
      <c r="E33" s="57">
        <f>+C33/D33</f>
        <v>0.40896358543417366</v>
      </c>
      <c r="G33" s="163"/>
      <c r="H33" s="237" t="s">
        <v>157</v>
      </c>
      <c r="I33" s="237" t="s">
        <v>92</v>
      </c>
      <c r="J33" s="71"/>
      <c r="K33" s="68"/>
    </row>
    <row r="34" spans="1:11" x14ac:dyDescent="0.25">
      <c r="B34" s="162" t="s">
        <v>62</v>
      </c>
      <c r="C34" s="162">
        <v>1437</v>
      </c>
      <c r="D34" s="108">
        <v>1890</v>
      </c>
      <c r="E34" s="57">
        <f>+C34/D34</f>
        <v>0.76031746031746028</v>
      </c>
      <c r="G34" s="86" t="s">
        <v>86</v>
      </c>
      <c r="H34" s="87">
        <v>9645</v>
      </c>
      <c r="I34" s="88">
        <f>+H34*0.025</f>
        <v>241.125</v>
      </c>
      <c r="J34" s="224"/>
    </row>
    <row r="35" spans="1:11" x14ac:dyDescent="0.25">
      <c r="B35" s="162" t="s">
        <v>63</v>
      </c>
      <c r="C35" s="67">
        <v>1372</v>
      </c>
      <c r="D35" s="108">
        <v>3006</v>
      </c>
      <c r="E35" s="57">
        <f>+C35/D35</f>
        <v>0.45642049234863608</v>
      </c>
      <c r="G35" s="86" t="s">
        <v>259</v>
      </c>
      <c r="H35" s="87">
        <v>756</v>
      </c>
      <c r="I35" s="88">
        <f>+H35*0.025</f>
        <v>18.900000000000002</v>
      </c>
      <c r="J35" s="224"/>
    </row>
    <row r="36" spans="1:11" x14ac:dyDescent="0.25">
      <c r="C36" s="162">
        <f>+SUM(C33:C35)</f>
        <v>3685</v>
      </c>
      <c r="D36" s="110">
        <f>+SUM(D33:D35)</f>
        <v>7038</v>
      </c>
      <c r="E36" s="57">
        <f>+C36/D36</f>
        <v>0.52358624609263993</v>
      </c>
      <c r="G36" s="86" t="s">
        <v>171</v>
      </c>
      <c r="H36" s="87">
        <v>216</v>
      </c>
      <c r="I36" s="88">
        <f>+H36*0.025</f>
        <v>5.4</v>
      </c>
      <c r="J36" s="297" t="s">
        <v>188</v>
      </c>
    </row>
    <row r="37" spans="1:11" x14ac:dyDescent="0.25">
      <c r="G37" s="89" t="s">
        <v>169</v>
      </c>
      <c r="H37" s="87">
        <f>405+100</f>
        <v>505</v>
      </c>
      <c r="I37" s="88">
        <f>+H37*1.5</f>
        <v>757.5</v>
      </c>
      <c r="J37" s="298">
        <f>+I37+I34+I35+I36</f>
        <v>1022.925</v>
      </c>
    </row>
    <row r="38" spans="1:11" x14ac:dyDescent="0.25">
      <c r="B38" s="162" t="s">
        <v>66</v>
      </c>
      <c r="D38" s="162"/>
      <c r="G38" s="89" t="s">
        <v>168</v>
      </c>
      <c r="H38" s="87">
        <v>135</v>
      </c>
      <c r="I38" s="88">
        <f>+H38*1.5</f>
        <v>202.5</v>
      </c>
      <c r="J38" s="228" t="s">
        <v>193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231" t="s">
        <v>123</v>
      </c>
      <c r="H39" s="138">
        <v>240</v>
      </c>
      <c r="I39" s="232">
        <v>346.5</v>
      </c>
      <c r="J39" s="218" t="s">
        <v>146</v>
      </c>
    </row>
    <row r="40" spans="1:11" x14ac:dyDescent="0.25">
      <c r="B40" s="73">
        <v>50</v>
      </c>
      <c r="C40" s="74">
        <v>5</v>
      </c>
      <c r="D40" s="74">
        <v>12</v>
      </c>
      <c r="E40" s="75">
        <f>+SUM(B40:D40)</f>
        <v>67</v>
      </c>
      <c r="G40" s="89" t="s">
        <v>170</v>
      </c>
      <c r="H40" s="87">
        <v>24</v>
      </c>
      <c r="I40" s="88">
        <f>+H40*1.5</f>
        <v>36</v>
      </c>
      <c r="J40" s="224" t="s">
        <v>213</v>
      </c>
    </row>
    <row r="41" spans="1:11" x14ac:dyDescent="0.25">
      <c r="G41" s="89" t="s">
        <v>107</v>
      </c>
      <c r="H41" s="87">
        <f>213-20</f>
        <v>193</v>
      </c>
      <c r="I41" s="88">
        <f>+H41*1.5</f>
        <v>289.5</v>
      </c>
      <c r="J41" s="224" t="s">
        <v>152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124</v>
      </c>
      <c r="I42" s="220" t="s">
        <v>148</v>
      </c>
      <c r="J42" s="218" t="s">
        <v>146</v>
      </c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4">+C43/D43</f>
        <v>0</v>
      </c>
      <c r="F43" s="201">
        <f t="shared" ref="F43:F48" si="5">+B43/24</f>
        <v>0</v>
      </c>
      <c r="G43" s="202">
        <v>7</v>
      </c>
      <c r="H43" s="144" t="s">
        <v>120</v>
      </c>
      <c r="I43" s="145">
        <v>0</v>
      </c>
      <c r="J43" s="218"/>
    </row>
    <row r="44" spans="1:11" x14ac:dyDescent="0.25">
      <c r="A44" s="207" t="s">
        <v>71</v>
      </c>
      <c r="B44" s="199">
        <v>3.15</v>
      </c>
      <c r="C44" s="199">
        <v>1624</v>
      </c>
      <c r="D44" s="200">
        <v>3600</v>
      </c>
      <c r="E44" s="201">
        <f t="shared" si="4"/>
        <v>0.45111111111111113</v>
      </c>
      <c r="F44" s="201">
        <f t="shared" si="5"/>
        <v>0.13125000000000001</v>
      </c>
      <c r="G44" s="202">
        <v>12</v>
      </c>
      <c r="H44" s="144" t="s">
        <v>121</v>
      </c>
      <c r="I44" s="220" t="s">
        <v>149</v>
      </c>
      <c r="J44" s="218" t="s">
        <v>146</v>
      </c>
    </row>
    <row r="45" spans="1:11" x14ac:dyDescent="0.25">
      <c r="A45" s="207" t="s">
        <v>72</v>
      </c>
      <c r="B45" s="199">
        <v>12.7</v>
      </c>
      <c r="C45" s="199">
        <v>3162</v>
      </c>
      <c r="D45" s="200">
        <v>3900</v>
      </c>
      <c r="E45" s="201">
        <f t="shared" si="4"/>
        <v>0.8107692307692308</v>
      </c>
      <c r="F45" s="201">
        <f t="shared" si="5"/>
        <v>0.52916666666666667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19.11</v>
      </c>
      <c r="C46" s="199">
        <v>2729</v>
      </c>
      <c r="D46" s="200">
        <v>3900</v>
      </c>
      <c r="E46" s="201">
        <f t="shared" si="4"/>
        <v>0.69974358974358974</v>
      </c>
      <c r="F46" s="201">
        <f t="shared" si="5"/>
        <v>0.79625000000000001</v>
      </c>
      <c r="G46" s="202">
        <v>12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15.7</v>
      </c>
      <c r="C47" s="199">
        <v>1989</v>
      </c>
      <c r="D47" s="200">
        <v>3900</v>
      </c>
      <c r="E47" s="201">
        <f t="shared" si="4"/>
        <v>0.51</v>
      </c>
      <c r="F47" s="201">
        <f t="shared" si="5"/>
        <v>0.65416666666666667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15.99</v>
      </c>
      <c r="C48" s="261"/>
      <c r="D48" s="262">
        <v>4300</v>
      </c>
      <c r="E48" s="263">
        <f t="shared" si="4"/>
        <v>0</v>
      </c>
      <c r="F48" s="201">
        <f t="shared" si="5"/>
        <v>0.66625000000000001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5" si="6">+J48*1.5</f>
        <v>129</v>
      </c>
    </row>
    <row r="49" spans="2:11" x14ac:dyDescent="0.25">
      <c r="B49" s="113">
        <f>+SUM(B43:B48)</f>
        <v>66.649999999999991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6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6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6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46141</v>
      </c>
      <c r="I52" s="129" t="s">
        <v>175</v>
      </c>
      <c r="J52" s="162">
        <v>94</v>
      </c>
      <c r="K52" s="318">
        <f t="shared" si="6"/>
        <v>141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46141</v>
      </c>
      <c r="I53" s="129" t="s">
        <v>176</v>
      </c>
      <c r="J53" s="162">
        <v>150</v>
      </c>
      <c r="K53" s="318">
        <f t="shared" si="6"/>
        <v>225</v>
      </c>
    </row>
    <row r="54" spans="2:11" x14ac:dyDescent="0.25">
      <c r="C54" s="71">
        <v>4</v>
      </c>
      <c r="D54" s="108">
        <v>1</v>
      </c>
      <c r="H54" s="301">
        <v>46144</v>
      </c>
      <c r="I54" s="129" t="s">
        <v>175</v>
      </c>
      <c r="J54" s="162">
        <v>129</v>
      </c>
      <c r="K54" s="318">
        <f t="shared" si="6"/>
        <v>193.5</v>
      </c>
    </row>
    <row r="55" spans="2:11" x14ac:dyDescent="0.25">
      <c r="C55" s="71">
        <v>5</v>
      </c>
      <c r="D55" s="108">
        <v>0</v>
      </c>
      <c r="H55" s="301">
        <v>46144</v>
      </c>
      <c r="I55" s="129" t="s">
        <v>176</v>
      </c>
      <c r="J55" s="162">
        <v>167</v>
      </c>
      <c r="K55" s="318">
        <f t="shared" si="6"/>
        <v>250.5</v>
      </c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12</v>
      </c>
    </row>
    <row r="59" spans="2:11" x14ac:dyDescent="0.25">
      <c r="H59" s="359" t="s">
        <v>273</v>
      </c>
      <c r="I59" s="345"/>
      <c r="J59" s="199">
        <f>+J54+J55</f>
        <v>296</v>
      </c>
      <c r="K59" s="346">
        <f>+J59*1.5</f>
        <v>444</v>
      </c>
    </row>
    <row r="60" spans="2:11" x14ac:dyDescent="0.25">
      <c r="B60" s="364" t="s">
        <v>231</v>
      </c>
      <c r="C60" s="199">
        <v>2472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7">+F65*1.5</f>
        <v>97.5</v>
      </c>
      <c r="H65" s="301">
        <v>46129</v>
      </c>
      <c r="I65" s="129" t="s">
        <v>175</v>
      </c>
      <c r="J65" s="162">
        <v>5040</v>
      </c>
      <c r="K65" s="318">
        <f t="shared" ref="K65:K71" si="8"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7"/>
        <v>282</v>
      </c>
      <c r="H66" s="301">
        <v>46132</v>
      </c>
      <c r="I66" s="129" t="s">
        <v>175</v>
      </c>
      <c r="J66" s="162">
        <v>5136</v>
      </c>
      <c r="K66" s="318">
        <f t="shared" si="8"/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7"/>
        <v>3</v>
      </c>
      <c r="H67" s="301">
        <v>46132</v>
      </c>
      <c r="I67" s="129" t="s">
        <v>176</v>
      </c>
      <c r="J67" s="162">
        <v>5941</v>
      </c>
      <c r="K67" s="318">
        <f t="shared" si="8"/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7"/>
        <v>300</v>
      </c>
      <c r="H68" s="301">
        <v>46145</v>
      </c>
      <c r="I68" s="129" t="s">
        <v>175</v>
      </c>
      <c r="J68" s="162">
        <v>2986</v>
      </c>
      <c r="K68" s="318">
        <f t="shared" si="8"/>
        <v>74.650000000000006</v>
      </c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7"/>
        <v>250.5</v>
      </c>
      <c r="H69" s="301">
        <v>46145</v>
      </c>
      <c r="I69" s="129" t="s">
        <v>176</v>
      </c>
      <c r="J69" s="162">
        <v>5940</v>
      </c>
      <c r="K69" s="318">
        <f t="shared" si="8"/>
        <v>148.5</v>
      </c>
    </row>
    <row r="70" spans="2:11" x14ac:dyDescent="0.25">
      <c r="B70" s="71" t="s">
        <v>280</v>
      </c>
      <c r="C70" s="466">
        <v>0.99</v>
      </c>
      <c r="D70" s="301" t="s">
        <v>295</v>
      </c>
      <c r="E70" s="129"/>
      <c r="F70" s="71">
        <f>+G70/1.5</f>
        <v>712.18</v>
      </c>
      <c r="G70" s="297">
        <f>663.27+(270*1.5)</f>
        <v>1068.27</v>
      </c>
      <c r="H70" s="301">
        <v>46146</v>
      </c>
      <c r="I70" s="129" t="s">
        <v>175</v>
      </c>
      <c r="J70" s="162">
        <v>4302</v>
      </c>
      <c r="K70" s="318">
        <f t="shared" si="8"/>
        <v>107.55000000000001</v>
      </c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59" t="s">
        <v>297</v>
      </c>
      <c r="I71" s="345"/>
      <c r="J71" s="199">
        <f>+J69+J68+J70</f>
        <v>13228</v>
      </c>
      <c r="K71" s="346">
        <f t="shared" si="8"/>
        <v>330.70000000000005</v>
      </c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</sheetData>
  <protectedRanges>
    <protectedRange password="D554" sqref="I42:I44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2"/>
  <sheetViews>
    <sheetView tabSelected="1" topLeftCell="A37" workbookViewId="0">
      <selection activeCell="H58" sqref="H58"/>
    </sheetView>
  </sheetViews>
  <sheetFormatPr baseColWidth="10" defaultColWidth="11.42578125" defaultRowHeight="15.75" x14ac:dyDescent="0.25"/>
  <cols>
    <col min="1" max="1" width="2.42578125" style="162" customWidth="1"/>
    <col min="2" max="2" width="50" style="162" bestFit="1" customWidth="1"/>
    <col min="3" max="3" width="13.28515625" style="162" customWidth="1"/>
    <col min="4" max="4" width="14.5703125" style="163" customWidth="1"/>
    <col min="5" max="16384" width="11.42578125" style="162"/>
  </cols>
  <sheetData>
    <row r="1" spans="1:11" ht="15" customHeight="1" x14ac:dyDescent="0.25">
      <c r="A1" s="161"/>
      <c r="B1" s="518">
        <f ca="1">TODAY()-1</f>
        <v>46171</v>
      </c>
      <c r="C1" s="518"/>
      <c r="D1" s="518"/>
      <c r="E1" s="61"/>
      <c r="F1" s="374">
        <v>46023</v>
      </c>
      <c r="G1" s="374">
        <v>46054</v>
      </c>
      <c r="H1" s="374">
        <v>46082</v>
      </c>
      <c r="I1" s="374">
        <v>46113</v>
      </c>
      <c r="J1" s="374">
        <v>46143</v>
      </c>
      <c r="K1" s="374">
        <v>46174</v>
      </c>
    </row>
    <row r="2" spans="1:11" x14ac:dyDescent="0.25">
      <c r="E2" s="320"/>
      <c r="F2" s="308">
        <f>+'Plan ventas 2026'!C6</f>
        <v>206828.90469992431</v>
      </c>
      <c r="G2" s="308">
        <f>+'Plan ventas 2026'!D6</f>
        <v>194544.91062046765</v>
      </c>
      <c r="H2" s="308">
        <f>+'Plan ventas 2026'!E6</f>
        <v>209783.99206683473</v>
      </c>
      <c r="I2" s="308">
        <f>+'Plan ventas 2026'!F9</f>
        <v>222576.996709089</v>
      </c>
      <c r="J2" s="308">
        <f>+'Plan ventas 2026'!G9</f>
        <v>228230.92688777612</v>
      </c>
      <c r="K2" s="308">
        <f>+'Plan ventas 2026'!H9</f>
        <v>224314.19420069718</v>
      </c>
    </row>
    <row r="3" spans="1:11" ht="15" customHeight="1" x14ac:dyDescent="0.25">
      <c r="A3" s="164"/>
      <c r="B3" s="519" t="s">
        <v>36</v>
      </c>
      <c r="C3" s="519"/>
      <c r="D3" s="519"/>
      <c r="E3" s="108"/>
      <c r="F3" s="108">
        <f>+F2/31</f>
        <v>6671.9001516104618</v>
      </c>
      <c r="G3" s="108">
        <f>+G2/28</f>
        <v>6948.0325221595585</v>
      </c>
      <c r="H3" s="108">
        <f>+H2/31</f>
        <v>6767.2255505430558</v>
      </c>
      <c r="I3" s="108">
        <f>+I2/30</f>
        <v>7419.2332236363</v>
      </c>
      <c r="J3" s="108">
        <f t="shared" ref="J3:K3" si="0">+J2/30</f>
        <v>7607.6975629258704</v>
      </c>
      <c r="K3" s="108">
        <f t="shared" si="0"/>
        <v>7477.1398066899064</v>
      </c>
    </row>
    <row r="4" spans="1:11" ht="19.5" customHeight="1" thickBot="1" x14ac:dyDescent="0.4">
      <c r="A4" s="164"/>
      <c r="B4" s="516"/>
      <c r="C4" s="516"/>
      <c r="D4" s="165">
        <f>D23</f>
        <v>9828.6459999999988</v>
      </c>
      <c r="E4" s="80"/>
      <c r="F4" s="57"/>
      <c r="H4" s="69" t="s">
        <v>58</v>
      </c>
      <c r="I4" s="278" t="s">
        <v>59</v>
      </c>
      <c r="J4" s="69" t="s">
        <v>80</v>
      </c>
    </row>
    <row r="5" spans="1:11" ht="15" customHeight="1" x14ac:dyDescent="0.25">
      <c r="A5" s="164"/>
      <c r="B5" s="168" t="s">
        <v>6</v>
      </c>
      <c r="C5" s="176">
        <v>4663</v>
      </c>
      <c r="D5" s="172">
        <v>199.14599999999999</v>
      </c>
      <c r="E5" s="80">
        <f t="shared" ref="E5:E23" si="1">+D5/$D$4</f>
        <v>2.0261793943947112E-2</v>
      </c>
      <c r="F5" s="58" t="s">
        <v>51</v>
      </c>
      <c r="G5" s="59">
        <v>46160</v>
      </c>
      <c r="H5" s="190">
        <v>6675</v>
      </c>
      <c r="I5" s="141">
        <v>7219.76</v>
      </c>
      <c r="J5" s="60">
        <f t="shared" ref="J5:J12" si="2">+I5/H5</f>
        <v>1.0816119850187267</v>
      </c>
    </row>
    <row r="6" spans="1:11" ht="15" customHeight="1" x14ac:dyDescent="0.25">
      <c r="A6" s="164"/>
      <c r="B6" s="169" t="s">
        <v>10</v>
      </c>
      <c r="C6" s="177">
        <v>17153</v>
      </c>
      <c r="D6" s="173">
        <v>732.654</v>
      </c>
      <c r="E6" s="80">
        <f t="shared" si="1"/>
        <v>7.4542719312507555E-2</v>
      </c>
      <c r="F6" s="58" t="s">
        <v>52</v>
      </c>
      <c r="G6" s="59">
        <v>46161</v>
      </c>
      <c r="H6" s="190">
        <v>9401</v>
      </c>
      <c r="I6" s="141">
        <v>8073.0940000000001</v>
      </c>
      <c r="J6" s="60">
        <f t="shared" si="2"/>
        <v>0.85874843101797682</v>
      </c>
    </row>
    <row r="7" spans="1:11" ht="15" customHeight="1" x14ac:dyDescent="0.25">
      <c r="A7" s="164"/>
      <c r="B7" s="169" t="s">
        <v>35</v>
      </c>
      <c r="C7" s="177">
        <v>29894</v>
      </c>
      <c r="D7" s="173">
        <v>1277.162</v>
      </c>
      <c r="E7" s="245">
        <f t="shared" si="1"/>
        <v>0.12994282223614526</v>
      </c>
      <c r="F7" s="58" t="s">
        <v>53</v>
      </c>
      <c r="G7" s="59">
        <v>46162</v>
      </c>
      <c r="H7" s="190">
        <v>9333</v>
      </c>
      <c r="I7" s="141">
        <v>9439.7559999999994</v>
      </c>
      <c r="J7" s="60">
        <f t="shared" si="2"/>
        <v>1.0114385513768349</v>
      </c>
    </row>
    <row r="8" spans="1:11" ht="15" customHeight="1" x14ac:dyDescent="0.25">
      <c r="A8" s="164"/>
      <c r="B8" s="169" t="s">
        <v>4</v>
      </c>
      <c r="C8" s="177"/>
      <c r="D8" s="173"/>
      <c r="E8" s="80">
        <f t="shared" si="1"/>
        <v>0</v>
      </c>
      <c r="F8" s="58" t="s">
        <v>54</v>
      </c>
      <c r="G8" s="59">
        <v>46163</v>
      </c>
      <c r="H8" s="190">
        <v>9361</v>
      </c>
      <c r="I8" s="141">
        <v>8351.9140000000007</v>
      </c>
      <c r="J8" s="60">
        <f t="shared" si="2"/>
        <v>0.89220318342057481</v>
      </c>
    </row>
    <row r="9" spans="1:11" ht="15" customHeight="1" x14ac:dyDescent="0.25">
      <c r="A9" s="164"/>
      <c r="B9" s="169" t="s">
        <v>37</v>
      </c>
      <c r="C9" s="177">
        <v>41538</v>
      </c>
      <c r="D9" s="173">
        <v>1772.394</v>
      </c>
      <c r="E9" s="245">
        <f t="shared" si="1"/>
        <v>0.18032941668669319</v>
      </c>
      <c r="F9" s="58" t="s">
        <v>55</v>
      </c>
      <c r="G9" s="59">
        <v>46164</v>
      </c>
      <c r="H9" s="190">
        <v>7985</v>
      </c>
      <c r="I9" s="141">
        <v>10800</v>
      </c>
      <c r="J9" s="60">
        <f t="shared" si="2"/>
        <v>1.3525360050093926</v>
      </c>
    </row>
    <row r="10" spans="1:11" ht="15" customHeight="1" x14ac:dyDescent="0.25">
      <c r="A10" s="164"/>
      <c r="B10" s="169" t="s">
        <v>38</v>
      </c>
      <c r="C10" s="177">
        <v>68087</v>
      </c>
      <c r="D10" s="173">
        <v>2905.962</v>
      </c>
      <c r="E10" s="245">
        <f t="shared" si="1"/>
        <v>0.29566249511885973</v>
      </c>
      <c r="F10" s="58" t="s">
        <v>56</v>
      </c>
      <c r="G10" s="59">
        <v>46165</v>
      </c>
      <c r="H10" s="190">
        <v>6720</v>
      </c>
      <c r="I10" s="141">
        <v>9828.6460000000006</v>
      </c>
      <c r="J10" s="60">
        <f t="shared" si="2"/>
        <v>1.4625961309523809</v>
      </c>
    </row>
    <row r="11" spans="1:11" ht="15" customHeight="1" x14ac:dyDescent="0.25">
      <c r="A11" s="164"/>
      <c r="B11" s="169" t="s">
        <v>42</v>
      </c>
      <c r="C11" s="177">
        <v>18907</v>
      </c>
      <c r="D11" s="173">
        <v>808.27</v>
      </c>
      <c r="E11" s="80">
        <f t="shared" si="1"/>
        <v>8.2236149312936907E-2</v>
      </c>
      <c r="F11" s="58" t="s">
        <v>57</v>
      </c>
      <c r="G11" s="59">
        <v>46166</v>
      </c>
      <c r="H11" s="190">
        <v>5810</v>
      </c>
      <c r="I11" s="141"/>
      <c r="J11" s="60">
        <f t="shared" si="2"/>
        <v>0</v>
      </c>
    </row>
    <row r="12" spans="1:11" ht="15" customHeight="1" x14ac:dyDescent="0.25">
      <c r="A12" s="164"/>
      <c r="B12" s="169" t="s">
        <v>218</v>
      </c>
      <c r="C12" s="177"/>
      <c r="D12" s="173"/>
      <c r="E12" s="80">
        <f t="shared" si="1"/>
        <v>0</v>
      </c>
      <c r="H12" s="139">
        <f>+SUM(H5:H11)</f>
        <v>55285</v>
      </c>
      <c r="I12" s="142">
        <f>+SUM(I5:I11)</f>
        <v>53713.170000000006</v>
      </c>
      <c r="J12" s="140">
        <f t="shared" si="2"/>
        <v>0.97156859907750759</v>
      </c>
    </row>
    <row r="13" spans="1:11" ht="15" customHeight="1" x14ac:dyDescent="0.25">
      <c r="A13" s="164"/>
      <c r="B13" s="169" t="s">
        <v>95</v>
      </c>
      <c r="C13" s="177"/>
      <c r="D13" s="173"/>
      <c r="E13" s="80">
        <f t="shared" si="1"/>
        <v>0</v>
      </c>
      <c r="F13" s="112"/>
      <c r="G13" s="113">
        <v>2024</v>
      </c>
      <c r="H13" s="113">
        <v>2025</v>
      </c>
      <c r="I13" s="113">
        <v>2026</v>
      </c>
      <c r="J13" s="387" t="s">
        <v>235</v>
      </c>
      <c r="K13" s="437" t="s">
        <v>238</v>
      </c>
    </row>
    <row r="14" spans="1:11" ht="15" customHeight="1" x14ac:dyDescent="0.25">
      <c r="A14" s="164"/>
      <c r="B14" s="169" t="s">
        <v>39</v>
      </c>
      <c r="C14" s="177">
        <v>441</v>
      </c>
      <c r="D14" s="173">
        <v>666.26800000000003</v>
      </c>
      <c r="E14" s="80">
        <f t="shared" si="1"/>
        <v>6.7788381024202121E-2</v>
      </c>
      <c r="F14" s="112" t="s">
        <v>108</v>
      </c>
      <c r="G14" s="190">
        <v>204007.80300000001</v>
      </c>
      <c r="H14" s="190">
        <v>190629.128</v>
      </c>
      <c r="I14" s="190">
        <v>227710.64599999995</v>
      </c>
      <c r="J14" s="456">
        <f>+H14/G14</f>
        <v>0.93442076820953746</v>
      </c>
      <c r="K14" s="456">
        <f>+I14/H14</f>
        <v>1.1945217836804036</v>
      </c>
    </row>
    <row r="15" spans="1:11" ht="15" customHeight="1" x14ac:dyDescent="0.25">
      <c r="A15" s="164"/>
      <c r="B15" s="169" t="s">
        <v>43</v>
      </c>
      <c r="C15" s="177">
        <v>233</v>
      </c>
      <c r="D15" s="173">
        <v>351.72</v>
      </c>
      <c r="E15" s="80">
        <f t="shared" si="1"/>
        <v>3.578519360652526E-2</v>
      </c>
      <c r="F15" s="112" t="s">
        <v>109</v>
      </c>
      <c r="G15" s="190">
        <v>186305.94399999996</v>
      </c>
      <c r="H15" s="190">
        <v>182874.285</v>
      </c>
      <c r="I15" s="190">
        <v>203636.96</v>
      </c>
      <c r="J15" s="456">
        <f t="shared" ref="J15:K25" si="3">+H15/G15</f>
        <v>0.9815805179033904</v>
      </c>
      <c r="K15" s="456">
        <f>+I15/H15</f>
        <v>1.1135352354214263</v>
      </c>
    </row>
    <row r="16" spans="1:11" ht="15" customHeight="1" x14ac:dyDescent="0.25">
      <c r="A16" s="164"/>
      <c r="B16" s="169" t="s">
        <v>49</v>
      </c>
      <c r="C16" s="177">
        <v>43</v>
      </c>
      <c r="D16" s="173">
        <v>64.75</v>
      </c>
      <c r="E16" s="80">
        <f t="shared" si="1"/>
        <v>6.5878860628412099E-3</v>
      </c>
      <c r="F16" s="112" t="s">
        <v>110</v>
      </c>
      <c r="G16" s="190">
        <v>199570.19199999989</v>
      </c>
      <c r="H16" s="190">
        <v>197224.22099999999</v>
      </c>
      <c r="I16" s="190">
        <v>246703.03000000009</v>
      </c>
      <c r="J16" s="456">
        <f t="shared" si="3"/>
        <v>0.98824488278289624</v>
      </c>
      <c r="K16" s="456">
        <f t="shared" si="3"/>
        <v>1.250875925629845</v>
      </c>
    </row>
    <row r="17" spans="1:11" ht="15" customHeight="1" x14ac:dyDescent="0.25">
      <c r="A17" s="164"/>
      <c r="B17" s="169" t="s">
        <v>45</v>
      </c>
      <c r="C17" s="177">
        <v>45</v>
      </c>
      <c r="D17" s="173">
        <v>67.88</v>
      </c>
      <c r="E17" s="80">
        <f t="shared" si="1"/>
        <v>6.9063429489677423E-3</v>
      </c>
      <c r="F17" s="112" t="s">
        <v>111</v>
      </c>
      <c r="G17" s="190">
        <v>205343.72800000012</v>
      </c>
      <c r="H17" s="190">
        <v>198970.75799999986</v>
      </c>
      <c r="I17" s="190">
        <v>228705.96</v>
      </c>
      <c r="J17" s="456">
        <f t="shared" si="3"/>
        <v>0.96896437956945902</v>
      </c>
      <c r="K17" s="456">
        <f t="shared" si="3"/>
        <v>1.1494450857949696</v>
      </c>
    </row>
    <row r="18" spans="1:11" ht="15" customHeight="1" x14ac:dyDescent="0.25">
      <c r="A18" s="164"/>
      <c r="B18" s="169" t="s">
        <v>41</v>
      </c>
      <c r="C18" s="177">
        <v>252</v>
      </c>
      <c r="D18" s="173">
        <v>380.05</v>
      </c>
      <c r="E18" s="80">
        <f t="shared" si="1"/>
        <v>3.866758452791972E-2</v>
      </c>
      <c r="F18" s="112" t="s">
        <v>102</v>
      </c>
      <c r="G18" s="190">
        <v>209473.77399999995</v>
      </c>
      <c r="H18" s="190">
        <v>212393.17300000001</v>
      </c>
      <c r="I18" s="190">
        <f>+D24</f>
        <v>235954.43900000001</v>
      </c>
      <c r="J18" s="456">
        <f t="shared" si="3"/>
        <v>1.0139368234230604</v>
      </c>
      <c r="K18" s="456">
        <f t="shared" si="3"/>
        <v>1.110932313252837</v>
      </c>
    </row>
    <row r="19" spans="1:11" ht="15" customHeight="1" x14ac:dyDescent="0.25">
      <c r="A19" s="164"/>
      <c r="B19" s="169" t="s">
        <v>44</v>
      </c>
      <c r="C19" s="177">
        <v>20</v>
      </c>
      <c r="D19" s="173">
        <v>30.17</v>
      </c>
      <c r="E19" s="80">
        <f t="shared" si="1"/>
        <v>3.0695988033346612E-3</v>
      </c>
      <c r="F19" s="112" t="s">
        <v>125</v>
      </c>
      <c r="G19" s="190">
        <v>196506.86</v>
      </c>
      <c r="H19" s="190">
        <v>204590</v>
      </c>
      <c r="I19" s="190"/>
      <c r="J19" s="456">
        <f t="shared" si="3"/>
        <v>1.0411341364876525</v>
      </c>
      <c r="K19" s="456">
        <f t="shared" si="3"/>
        <v>0</v>
      </c>
    </row>
    <row r="20" spans="1:11" ht="15" customHeight="1" x14ac:dyDescent="0.25">
      <c r="A20" s="164"/>
      <c r="B20" s="169" t="s">
        <v>40</v>
      </c>
      <c r="C20" s="177"/>
      <c r="D20" s="173">
        <v>540.1</v>
      </c>
      <c r="E20" s="80">
        <f t="shared" si="1"/>
        <v>5.495161795429402E-2</v>
      </c>
      <c r="F20" s="112" t="s">
        <v>132</v>
      </c>
      <c r="G20" s="190">
        <v>219516.23899999997</v>
      </c>
      <c r="H20" s="190">
        <v>222445.37700000001</v>
      </c>
      <c r="I20" s="190"/>
      <c r="J20" s="456">
        <f t="shared" si="3"/>
        <v>1.0133436050715139</v>
      </c>
      <c r="K20" s="456">
        <f t="shared" si="3"/>
        <v>0</v>
      </c>
    </row>
    <row r="21" spans="1:11" ht="15" customHeight="1" x14ac:dyDescent="0.25">
      <c r="A21" s="164"/>
      <c r="B21" s="169" t="s">
        <v>9</v>
      </c>
      <c r="C21" s="177"/>
      <c r="D21" s="173"/>
      <c r="E21" s="80">
        <f t="shared" si="1"/>
        <v>0</v>
      </c>
      <c r="F21" s="112" t="s">
        <v>135</v>
      </c>
      <c r="G21" s="272">
        <v>232937.965</v>
      </c>
      <c r="H21" s="272">
        <v>233567.97099999999</v>
      </c>
      <c r="I21" s="272"/>
      <c r="J21" s="456">
        <f t="shared" si="3"/>
        <v>1.0027046084995204</v>
      </c>
      <c r="K21" s="456">
        <f t="shared" si="3"/>
        <v>0</v>
      </c>
    </row>
    <row r="22" spans="1:11" ht="15" customHeight="1" thickBot="1" x14ac:dyDescent="0.3">
      <c r="A22" s="164"/>
      <c r="B22" s="169" t="s">
        <v>46</v>
      </c>
      <c r="C22" s="177"/>
      <c r="D22" s="173">
        <v>32.119999999999997</v>
      </c>
      <c r="E22" s="80">
        <f t="shared" si="1"/>
        <v>3.2679984608256318E-3</v>
      </c>
      <c r="F22" s="112" t="s">
        <v>160</v>
      </c>
      <c r="G22" s="272">
        <v>231021.16800000001</v>
      </c>
      <c r="H22" s="272">
        <v>234732.79399999999</v>
      </c>
      <c r="I22" s="272"/>
      <c r="J22" s="456">
        <f t="shared" si="3"/>
        <v>1.0160661727759943</v>
      </c>
      <c r="K22" s="456">
        <f t="shared" si="3"/>
        <v>0</v>
      </c>
    </row>
    <row r="23" spans="1:11" ht="15" customHeight="1" thickBot="1" x14ac:dyDescent="0.3">
      <c r="A23" s="164"/>
      <c r="B23" s="178" t="s">
        <v>0</v>
      </c>
      <c r="C23" s="170"/>
      <c r="D23" s="171">
        <f>SUM(D5:D22)</f>
        <v>9828.6459999999988</v>
      </c>
      <c r="E23" s="80">
        <f t="shared" si="1"/>
        <v>1</v>
      </c>
      <c r="F23" s="112" t="s">
        <v>161</v>
      </c>
      <c r="G23" s="190">
        <v>237591.573</v>
      </c>
      <c r="H23" s="272">
        <v>249609.07399999999</v>
      </c>
      <c r="I23" s="272"/>
      <c r="J23" s="456">
        <f t="shared" si="3"/>
        <v>1.0505805018598029</v>
      </c>
      <c r="K23" s="456">
        <f t="shared" si="3"/>
        <v>0</v>
      </c>
    </row>
    <row r="24" spans="1:11" ht="15" customHeight="1" x14ac:dyDescent="0.25">
      <c r="A24" s="164"/>
      <c r="B24" s="166" t="s">
        <v>1</v>
      </c>
      <c r="C24" s="167"/>
      <c r="D24" s="233">
        <v>235954.43900000001</v>
      </c>
      <c r="E24" s="80"/>
      <c r="F24" s="112" t="s">
        <v>198</v>
      </c>
      <c r="G24" s="190">
        <v>215275.19500000001</v>
      </c>
      <c r="H24" s="272">
        <v>242524.66</v>
      </c>
      <c r="I24" s="272"/>
      <c r="J24" s="456">
        <f t="shared" si="3"/>
        <v>1.1265796786294864</v>
      </c>
      <c r="K24" s="456">
        <f t="shared" si="3"/>
        <v>0</v>
      </c>
    </row>
    <row r="25" spans="1:11" x14ac:dyDescent="0.25">
      <c r="E25" s="80"/>
      <c r="F25" s="112" t="s">
        <v>199</v>
      </c>
      <c r="G25" s="190">
        <v>210045.58799999999</v>
      </c>
      <c r="H25" s="190">
        <v>246279.44400000005</v>
      </c>
      <c r="I25" s="190"/>
      <c r="J25" s="456">
        <f t="shared" si="3"/>
        <v>1.1725047231175361</v>
      </c>
      <c r="K25" s="456">
        <f t="shared" si="3"/>
        <v>0</v>
      </c>
    </row>
    <row r="26" spans="1:11" ht="16.5" thickBot="1" x14ac:dyDescent="0.3">
      <c r="E26" s="80"/>
      <c r="G26" s="68">
        <f>+SUM(G14:G25)</f>
        <v>2547596.0290000001</v>
      </c>
      <c r="H26" s="377">
        <f>+SUM(H14:H17)</f>
        <v>769698.39199999976</v>
      </c>
      <c r="I26" s="377">
        <f>+SUM(I14:I25)</f>
        <v>1142711.0349999999</v>
      </c>
      <c r="J26" s="378"/>
      <c r="K26" s="378">
        <f>+I26/H26</f>
        <v>1.4846218296373943</v>
      </c>
    </row>
    <row r="27" spans="1:11" ht="19.5" thickBot="1" x14ac:dyDescent="0.3">
      <c r="E27" s="313">
        <f>+D24/J2</f>
        <v>1.0338407779241139</v>
      </c>
      <c r="G27" s="379" t="s">
        <v>229</v>
      </c>
      <c r="H27" s="380"/>
      <c r="I27" s="380">
        <v>2726927.1277059279</v>
      </c>
      <c r="J27" s="381">
        <f>+I26/H26</f>
        <v>1.4846218296373943</v>
      </c>
      <c r="K27" s="179"/>
    </row>
    <row r="28" spans="1:11" ht="16.5" thickBot="1" x14ac:dyDescent="0.3">
      <c r="F28" s="179"/>
      <c r="G28" s="179"/>
      <c r="H28" s="420" t="s">
        <v>277</v>
      </c>
      <c r="I28" s="421">
        <f>+I14/H14</f>
        <v>1.1945217836804036</v>
      </c>
      <c r="J28" s="422">
        <f>+I14-H14</f>
        <v>37081.517999999953</v>
      </c>
    </row>
    <row r="29" spans="1:11" ht="16.5" thickBot="1" x14ac:dyDescent="0.3">
      <c r="B29" s="397" t="s">
        <v>251</v>
      </c>
      <c r="C29" s="517">
        <v>21</v>
      </c>
      <c r="D29" s="108">
        <f>J3*C29</f>
        <v>159761.64882144329</v>
      </c>
      <c r="E29" s="314">
        <f>+D29/J2</f>
        <v>0.70000000000000007</v>
      </c>
      <c r="F29" s="352"/>
      <c r="H29" s="420" t="s">
        <v>261</v>
      </c>
      <c r="I29" s="421">
        <f>+I15/H15</f>
        <v>1.1135352354214263</v>
      </c>
      <c r="J29" s="422">
        <f>+I15-H15</f>
        <v>20762.674999999988</v>
      </c>
      <c r="K29" s="68"/>
    </row>
    <row r="30" spans="1:11" ht="16.5" thickBot="1" x14ac:dyDescent="0.3">
      <c r="D30" s="183">
        <f>+D24-D29</f>
        <v>76192.790178556723</v>
      </c>
      <c r="E30" s="99">
        <f>E27-E29</f>
        <v>0.33384077792411382</v>
      </c>
      <c r="H30" s="420" t="s">
        <v>278</v>
      </c>
      <c r="I30" s="421">
        <f>+I16/H16</f>
        <v>1.250875925629845</v>
      </c>
      <c r="J30" s="422">
        <f>+I16-H16</f>
        <v>49478.809000000096</v>
      </c>
      <c r="K30" s="459">
        <f>+J30+J29+J28</f>
        <v>107323.00200000004</v>
      </c>
    </row>
    <row r="31" spans="1:11" ht="16.5" thickBot="1" x14ac:dyDescent="0.3">
      <c r="H31" s="420" t="s">
        <v>286</v>
      </c>
      <c r="I31" s="421">
        <f>+I17/H17</f>
        <v>1.1494450857949696</v>
      </c>
      <c r="J31" s="422">
        <f>+I17-H17</f>
        <v>29735.202000000136</v>
      </c>
      <c r="K31" s="459">
        <f>J28+J31+J30+J29</f>
        <v>137058.20400000017</v>
      </c>
    </row>
    <row r="32" spans="1:11" ht="16.5" thickBot="1" x14ac:dyDescent="0.3">
      <c r="B32" s="66" t="s">
        <v>60</v>
      </c>
      <c r="D32" s="109" t="s">
        <v>105</v>
      </c>
      <c r="E32" s="109" t="s">
        <v>80</v>
      </c>
      <c r="H32" s="420" t="s">
        <v>298</v>
      </c>
      <c r="I32" s="421">
        <f>+I18/H18</f>
        <v>1.110932313252837</v>
      </c>
      <c r="J32" s="422">
        <f>+I18-H18</f>
        <v>23561.266000000003</v>
      </c>
      <c r="K32" s="459">
        <f>J29+J32+J31+J30</f>
        <v>123537.95200000022</v>
      </c>
    </row>
    <row r="33" spans="1:11" x14ac:dyDescent="0.25">
      <c r="B33" s="162" t="s">
        <v>61</v>
      </c>
      <c r="C33" s="162">
        <v>580.37</v>
      </c>
      <c r="D33" s="108">
        <v>2142</v>
      </c>
      <c r="E33" s="57">
        <f>+C33/D33</f>
        <v>0.27094771241830068</v>
      </c>
      <c r="G33" s="163"/>
      <c r="H33" s="237" t="s">
        <v>157</v>
      </c>
      <c r="I33" s="237" t="s">
        <v>92</v>
      </c>
      <c r="J33" s="71"/>
      <c r="K33" s="68"/>
    </row>
    <row r="34" spans="1:11" x14ac:dyDescent="0.25">
      <c r="B34" s="162" t="s">
        <v>62</v>
      </c>
      <c r="C34" s="162">
        <v>996.32</v>
      </c>
      <c r="D34" s="108">
        <v>1890</v>
      </c>
      <c r="E34" s="57">
        <f>+C34/D34</f>
        <v>0.52715343915343915</v>
      </c>
      <c r="G34" s="86" t="s">
        <v>86</v>
      </c>
      <c r="H34" s="87">
        <v>8365</v>
      </c>
      <c r="I34" s="88">
        <f>+H34*0.025</f>
        <v>209.125</v>
      </c>
      <c r="J34" s="224"/>
    </row>
    <row r="35" spans="1:11" x14ac:dyDescent="0.25">
      <c r="B35" s="162" t="s">
        <v>63</v>
      </c>
      <c r="C35" s="67">
        <v>1699.4</v>
      </c>
      <c r="D35" s="108">
        <v>3006</v>
      </c>
      <c r="E35" s="57">
        <f>+C35/D35</f>
        <v>0.5653359946773121</v>
      </c>
      <c r="G35" s="86" t="s">
        <v>259</v>
      </c>
      <c r="H35" s="87">
        <v>756</v>
      </c>
      <c r="I35" s="88">
        <f>+H35*0.025</f>
        <v>18.900000000000002</v>
      </c>
      <c r="J35" s="224"/>
    </row>
    <row r="36" spans="1:11" x14ac:dyDescent="0.25">
      <c r="C36" s="162">
        <f>+SUM(C33:C35)</f>
        <v>3276.09</v>
      </c>
      <c r="D36" s="110">
        <f>+SUM(D33:D35)</f>
        <v>7038</v>
      </c>
      <c r="E36" s="57">
        <f>+C36/D36</f>
        <v>0.46548593350383632</v>
      </c>
      <c r="G36" s="86" t="s">
        <v>171</v>
      </c>
      <c r="H36" s="87">
        <v>216</v>
      </c>
      <c r="I36" s="88">
        <f>+H36*0.025</f>
        <v>5.4</v>
      </c>
      <c r="J36" s="297" t="s">
        <v>188</v>
      </c>
    </row>
    <row r="37" spans="1:11" x14ac:dyDescent="0.25">
      <c r="G37" s="89" t="s">
        <v>169</v>
      </c>
      <c r="H37" s="87">
        <f>383+100</f>
        <v>483</v>
      </c>
      <c r="I37" s="88">
        <f>+H37*1.5</f>
        <v>724.5</v>
      </c>
      <c r="J37" s="298">
        <f>+I37+I34+I35+I36</f>
        <v>957.92499999999995</v>
      </c>
    </row>
    <row r="38" spans="1:11" x14ac:dyDescent="0.25">
      <c r="B38" s="162" t="s">
        <v>66</v>
      </c>
      <c r="D38" s="162"/>
      <c r="G38" s="89" t="s">
        <v>168</v>
      </c>
      <c r="H38" s="87">
        <v>135</v>
      </c>
      <c r="I38" s="88">
        <f>+H38*1.5</f>
        <v>202.5</v>
      </c>
      <c r="J38" s="228" t="s">
        <v>193</v>
      </c>
    </row>
    <row r="39" spans="1:11" x14ac:dyDescent="0.25">
      <c r="B39" s="76" t="s">
        <v>67</v>
      </c>
      <c r="C39" s="77" t="s">
        <v>68</v>
      </c>
      <c r="D39" s="78" t="s">
        <v>69</v>
      </c>
      <c r="E39" s="79" t="s">
        <v>33</v>
      </c>
      <c r="G39" s="231" t="s">
        <v>123</v>
      </c>
      <c r="H39" s="138">
        <v>240</v>
      </c>
      <c r="I39" s="232">
        <v>346.5</v>
      </c>
      <c r="J39" s="218" t="s">
        <v>146</v>
      </c>
    </row>
    <row r="40" spans="1:11" x14ac:dyDescent="0.25">
      <c r="B40" s="73">
        <v>8</v>
      </c>
      <c r="C40" s="74">
        <v>0</v>
      </c>
      <c r="D40" s="74">
        <v>16</v>
      </c>
      <c r="E40" s="75">
        <f>+SUM(B40:D40)</f>
        <v>24</v>
      </c>
      <c r="G40" s="89" t="s">
        <v>170</v>
      </c>
      <c r="H40" s="87">
        <v>24</v>
      </c>
      <c r="I40" s="88">
        <f>+H40*1.5</f>
        <v>36</v>
      </c>
      <c r="J40" s="224" t="s">
        <v>213</v>
      </c>
    </row>
    <row r="41" spans="1:11" x14ac:dyDescent="0.25">
      <c r="G41" s="89" t="s">
        <v>107</v>
      </c>
      <c r="H41" s="87">
        <f>213-20</f>
        <v>193</v>
      </c>
      <c r="I41" s="88">
        <f>+H41*1.5</f>
        <v>289.5</v>
      </c>
      <c r="J41" s="224" t="s">
        <v>152</v>
      </c>
    </row>
    <row r="42" spans="1:11" x14ac:dyDescent="0.25">
      <c r="B42" s="162" t="s">
        <v>214</v>
      </c>
      <c r="C42" s="162" t="s">
        <v>215</v>
      </c>
      <c r="D42" s="162" t="s">
        <v>216</v>
      </c>
      <c r="E42" s="198" t="s">
        <v>76</v>
      </c>
      <c r="F42" s="198" t="s">
        <v>137</v>
      </c>
      <c r="G42" s="71" t="s">
        <v>90</v>
      </c>
      <c r="H42" s="144" t="s">
        <v>124</v>
      </c>
      <c r="I42" s="220" t="s">
        <v>148</v>
      </c>
      <c r="J42" s="218" t="s">
        <v>146</v>
      </c>
    </row>
    <row r="43" spans="1:11" x14ac:dyDescent="0.25">
      <c r="A43" s="207" t="s">
        <v>70</v>
      </c>
      <c r="B43" s="199">
        <v>0</v>
      </c>
      <c r="C43" s="199">
        <v>0</v>
      </c>
      <c r="D43" s="200">
        <v>2400</v>
      </c>
      <c r="E43" s="201">
        <f t="shared" ref="E43:E48" si="4">+C43/D43</f>
        <v>0</v>
      </c>
      <c r="F43" s="201">
        <f t="shared" ref="F43:F48" si="5">+B43/24</f>
        <v>0</v>
      </c>
      <c r="G43" s="202">
        <v>7</v>
      </c>
      <c r="H43" s="144" t="s">
        <v>120</v>
      </c>
      <c r="I43" s="145">
        <v>0</v>
      </c>
      <c r="J43" s="218"/>
    </row>
    <row r="44" spans="1:11" x14ac:dyDescent="0.25">
      <c r="A44" s="207" t="s">
        <v>71</v>
      </c>
      <c r="B44" s="199">
        <v>10.86</v>
      </c>
      <c r="C44" s="199">
        <v>2118</v>
      </c>
      <c r="D44" s="200">
        <v>3600</v>
      </c>
      <c r="E44" s="201">
        <f t="shared" si="4"/>
        <v>0.58833333333333337</v>
      </c>
      <c r="F44" s="201">
        <f t="shared" si="5"/>
        <v>0.45249999999999996</v>
      </c>
      <c r="G44" s="202">
        <v>12</v>
      </c>
      <c r="H44" s="144" t="s">
        <v>121</v>
      </c>
      <c r="I44" s="220" t="s">
        <v>149</v>
      </c>
      <c r="J44" s="218" t="s">
        <v>146</v>
      </c>
    </row>
    <row r="45" spans="1:11" x14ac:dyDescent="0.25">
      <c r="A45" s="207" t="s">
        <v>72</v>
      </c>
      <c r="B45" s="199">
        <v>9.6300000000000008</v>
      </c>
      <c r="C45" s="199">
        <v>33.619999999999997</v>
      </c>
      <c r="D45" s="200">
        <v>3900</v>
      </c>
      <c r="E45" s="201">
        <f t="shared" si="4"/>
        <v>8.6205128205128195E-3</v>
      </c>
      <c r="F45" s="201">
        <f t="shared" si="5"/>
        <v>0.40125000000000005</v>
      </c>
      <c r="G45" s="202">
        <v>12</v>
      </c>
      <c r="H45" s="237" t="s">
        <v>195</v>
      </c>
      <c r="I45" s="162" t="s">
        <v>217</v>
      </c>
      <c r="J45" s="162" t="s">
        <v>177</v>
      </c>
      <c r="K45" s="215" t="s">
        <v>92</v>
      </c>
    </row>
    <row r="46" spans="1:11" x14ac:dyDescent="0.25">
      <c r="A46" s="207" t="s">
        <v>73</v>
      </c>
      <c r="B46" s="199">
        <v>12.6</v>
      </c>
      <c r="C46" s="199">
        <v>1951</v>
      </c>
      <c r="D46" s="200">
        <v>3900</v>
      </c>
      <c r="E46" s="201">
        <f t="shared" si="4"/>
        <v>0.50025641025641021</v>
      </c>
      <c r="F46" s="201">
        <f t="shared" si="5"/>
        <v>0.52500000000000002</v>
      </c>
      <c r="G46" s="202">
        <v>11</v>
      </c>
      <c r="H46" s="301" t="s">
        <v>287</v>
      </c>
      <c r="I46" s="129"/>
      <c r="J46" s="162">
        <f>+K46/1.5</f>
        <v>346</v>
      </c>
      <c r="K46" s="318">
        <v>519</v>
      </c>
    </row>
    <row r="47" spans="1:11" x14ac:dyDescent="0.25">
      <c r="A47" s="207" t="s">
        <v>74</v>
      </c>
      <c r="B47" s="199">
        <v>12.77</v>
      </c>
      <c r="C47" s="199">
        <v>2798</v>
      </c>
      <c r="D47" s="200">
        <v>3900</v>
      </c>
      <c r="E47" s="201">
        <f t="shared" si="4"/>
        <v>0.71743589743589742</v>
      </c>
      <c r="F47" s="201">
        <f t="shared" si="5"/>
        <v>0.53208333333333335</v>
      </c>
      <c r="G47" s="202">
        <v>12</v>
      </c>
      <c r="H47" s="301">
        <v>46130</v>
      </c>
      <c r="I47" s="129" t="s">
        <v>175</v>
      </c>
      <c r="J47" s="162">
        <v>80</v>
      </c>
      <c r="K47" s="318">
        <f>+J47*1.5</f>
        <v>120</v>
      </c>
    </row>
    <row r="48" spans="1:11" x14ac:dyDescent="0.25">
      <c r="A48" s="259" t="s">
        <v>75</v>
      </c>
      <c r="B48" s="260">
        <v>15.71</v>
      </c>
      <c r="C48" s="261">
        <v>3171</v>
      </c>
      <c r="D48" s="262">
        <v>4300</v>
      </c>
      <c r="E48" s="263">
        <f t="shared" si="4"/>
        <v>0.73744186046511628</v>
      </c>
      <c r="F48" s="201">
        <f t="shared" si="5"/>
        <v>0.65458333333333341</v>
      </c>
      <c r="G48" s="202">
        <v>16</v>
      </c>
      <c r="H48" s="301">
        <v>46130</v>
      </c>
      <c r="I48" s="129" t="s">
        <v>176</v>
      </c>
      <c r="J48" s="162">
        <v>86</v>
      </c>
      <c r="K48" s="318">
        <f t="shared" ref="K48:K55" si="6">+J48*1.5</f>
        <v>129</v>
      </c>
    </row>
    <row r="49" spans="2:11" x14ac:dyDescent="0.25">
      <c r="B49" s="113">
        <f>+SUM(B43:B48)</f>
        <v>61.57</v>
      </c>
      <c r="C49" s="71"/>
      <c r="D49" s="72"/>
      <c r="H49" s="301">
        <v>46131</v>
      </c>
      <c r="I49" s="129" t="s">
        <v>175</v>
      </c>
      <c r="J49" s="162">
        <v>141</v>
      </c>
      <c r="K49" s="318">
        <f t="shared" si="6"/>
        <v>211.5</v>
      </c>
    </row>
    <row r="50" spans="2:11" x14ac:dyDescent="0.25">
      <c r="B50" s="162" t="s">
        <v>78</v>
      </c>
      <c r="C50" s="71" t="s">
        <v>83</v>
      </c>
      <c r="D50" s="72" t="s">
        <v>79</v>
      </c>
      <c r="H50" s="301">
        <v>46134</v>
      </c>
      <c r="I50" s="129" t="s">
        <v>175</v>
      </c>
      <c r="J50" s="162">
        <v>150</v>
      </c>
      <c r="K50" s="318">
        <f t="shared" si="6"/>
        <v>225</v>
      </c>
    </row>
    <row r="51" spans="2:11" x14ac:dyDescent="0.25">
      <c r="C51" s="71">
        <v>1</v>
      </c>
      <c r="D51" s="225">
        <v>0</v>
      </c>
      <c r="E51" s="225" t="s">
        <v>250</v>
      </c>
      <c r="H51" s="301">
        <v>46134</v>
      </c>
      <c r="I51" s="129" t="s">
        <v>176</v>
      </c>
      <c r="J51" s="162">
        <v>84</v>
      </c>
      <c r="K51" s="318">
        <f t="shared" si="6"/>
        <v>126</v>
      </c>
    </row>
    <row r="52" spans="2:11" x14ac:dyDescent="0.25">
      <c r="C52" s="71">
        <v>2</v>
      </c>
      <c r="D52" s="225">
        <v>0</v>
      </c>
      <c r="E52" s="225" t="s">
        <v>250</v>
      </c>
      <c r="H52" s="301">
        <v>46141</v>
      </c>
      <c r="I52" s="129" t="s">
        <v>175</v>
      </c>
      <c r="J52" s="162">
        <v>94</v>
      </c>
      <c r="K52" s="318">
        <f t="shared" si="6"/>
        <v>141</v>
      </c>
    </row>
    <row r="53" spans="2:11" x14ac:dyDescent="0.25">
      <c r="C53" s="71">
        <v>3</v>
      </c>
      <c r="D53" s="108">
        <v>0</v>
      </c>
      <c r="E53" s="225" t="s">
        <v>250</v>
      </c>
      <c r="H53" s="301">
        <v>46141</v>
      </c>
      <c r="I53" s="129" t="s">
        <v>176</v>
      </c>
      <c r="J53" s="162">
        <v>150</v>
      </c>
      <c r="K53" s="318">
        <f t="shared" si="6"/>
        <v>225</v>
      </c>
    </row>
    <row r="54" spans="2:11" x14ac:dyDescent="0.25">
      <c r="C54" s="71">
        <v>4</v>
      </c>
      <c r="D54" s="108">
        <v>8</v>
      </c>
      <c r="H54" s="301">
        <v>46144</v>
      </c>
      <c r="I54" s="129" t="s">
        <v>175</v>
      </c>
      <c r="J54" s="162">
        <v>129</v>
      </c>
      <c r="K54" s="318">
        <f t="shared" si="6"/>
        <v>193.5</v>
      </c>
    </row>
    <row r="55" spans="2:11" x14ac:dyDescent="0.25">
      <c r="C55" s="71">
        <v>5</v>
      </c>
      <c r="D55" s="108">
        <v>0</v>
      </c>
      <c r="H55" s="301">
        <v>46144</v>
      </c>
      <c r="I55" s="129" t="s">
        <v>176</v>
      </c>
      <c r="J55" s="162">
        <v>167</v>
      </c>
      <c r="K55" s="318">
        <f t="shared" si="6"/>
        <v>250.5</v>
      </c>
    </row>
    <row r="56" spans="2:11" x14ac:dyDescent="0.25">
      <c r="C56" s="71">
        <v>6</v>
      </c>
      <c r="D56" s="108">
        <v>0</v>
      </c>
      <c r="H56" s="301"/>
      <c r="I56" s="129"/>
      <c r="K56" s="318"/>
    </row>
    <row r="57" spans="2:11" x14ac:dyDescent="0.25">
      <c r="C57" s="71">
        <v>7</v>
      </c>
      <c r="D57" s="225">
        <v>0</v>
      </c>
      <c r="E57" s="225" t="s">
        <v>250</v>
      </c>
      <c r="H57" s="301"/>
      <c r="I57" s="129"/>
      <c r="K57" s="318"/>
    </row>
    <row r="58" spans="2:11" x14ac:dyDescent="0.25">
      <c r="C58" s="71">
        <v>8</v>
      </c>
      <c r="D58" s="108">
        <v>8</v>
      </c>
    </row>
    <row r="59" spans="2:11" x14ac:dyDescent="0.25">
      <c r="H59" s="359" t="s">
        <v>273</v>
      </c>
      <c r="I59" s="345"/>
      <c r="J59" s="199">
        <f>+J54+J55</f>
        <v>296</v>
      </c>
      <c r="K59" s="346">
        <f>+J59*1.5</f>
        <v>444</v>
      </c>
    </row>
    <row r="60" spans="2:11" x14ac:dyDescent="0.25">
      <c r="B60" s="364" t="s">
        <v>231</v>
      </c>
      <c r="C60" s="199">
        <v>2216</v>
      </c>
      <c r="D60" s="384" t="s">
        <v>92</v>
      </c>
    </row>
    <row r="61" spans="2:11" x14ac:dyDescent="0.25">
      <c r="H61" s="237" t="s">
        <v>197</v>
      </c>
      <c r="I61"/>
      <c r="J61" s="162" t="s">
        <v>157</v>
      </c>
      <c r="K61" s="215" t="s">
        <v>92</v>
      </c>
    </row>
    <row r="62" spans="2:11" x14ac:dyDescent="0.25">
      <c r="D62" s="237" t="s">
        <v>205</v>
      </c>
      <c r="E62"/>
      <c r="F62" s="237" t="s">
        <v>177</v>
      </c>
      <c r="G62" s="437" t="s">
        <v>92</v>
      </c>
      <c r="H62" s="301" t="s">
        <v>287</v>
      </c>
      <c r="I62" s="129"/>
      <c r="J62" s="162">
        <v>17455</v>
      </c>
      <c r="K62" s="318">
        <f>+J62*0.025</f>
        <v>436.375</v>
      </c>
    </row>
    <row r="63" spans="2:11" x14ac:dyDescent="0.25">
      <c r="D63" s="301">
        <v>45942</v>
      </c>
      <c r="E63" s="129" t="s">
        <v>176</v>
      </c>
      <c r="F63" s="162">
        <v>47</v>
      </c>
      <c r="G63" s="318">
        <v>70.5</v>
      </c>
      <c r="H63" s="301"/>
      <c r="I63" s="129"/>
      <c r="J63" s="162">
        <v>2468</v>
      </c>
      <c r="K63" s="318"/>
    </row>
    <row r="64" spans="2:11" x14ac:dyDescent="0.25">
      <c r="D64" s="237" t="s">
        <v>167</v>
      </c>
      <c r="E64"/>
      <c r="F64" s="237" t="s">
        <v>157</v>
      </c>
      <c r="G64" s="437" t="s">
        <v>92</v>
      </c>
      <c r="H64" s="301"/>
      <c r="I64" s="129"/>
      <c r="J64" s="162">
        <v>2439</v>
      </c>
      <c r="K64" s="318"/>
    </row>
    <row r="65" spans="2:11" x14ac:dyDescent="0.25">
      <c r="B65" s="66"/>
      <c r="C65" s="391"/>
      <c r="D65" s="301">
        <v>46123</v>
      </c>
      <c r="E65" s="129" t="s">
        <v>175</v>
      </c>
      <c r="F65" s="71">
        <v>65</v>
      </c>
      <c r="G65" s="297">
        <f t="shared" ref="G65:G69" si="7">+F65*1.5</f>
        <v>97.5</v>
      </c>
      <c r="H65" s="301">
        <v>46129</v>
      </c>
      <c r="I65" s="129" t="s">
        <v>175</v>
      </c>
      <c r="J65" s="162">
        <v>5040</v>
      </c>
      <c r="K65" s="318">
        <f t="shared" ref="K65:K71" si="8">+J65*0.025</f>
        <v>126</v>
      </c>
    </row>
    <row r="66" spans="2:11" x14ac:dyDescent="0.25">
      <c r="C66" s="389"/>
      <c r="D66" s="301">
        <v>46123</v>
      </c>
      <c r="E66" s="129" t="s">
        <v>176</v>
      </c>
      <c r="F66" s="108">
        <v>188</v>
      </c>
      <c r="G66" s="297">
        <f t="shared" si="7"/>
        <v>282</v>
      </c>
      <c r="H66" s="301">
        <v>46132</v>
      </c>
      <c r="I66" s="129" t="s">
        <v>175</v>
      </c>
      <c r="J66" s="162">
        <v>5136</v>
      </c>
      <c r="K66" s="318">
        <f t="shared" si="8"/>
        <v>128.4</v>
      </c>
    </row>
    <row r="67" spans="2:11" x14ac:dyDescent="0.25">
      <c r="B67" s="71"/>
      <c r="C67" s="467" t="s">
        <v>80</v>
      </c>
      <c r="D67" s="301">
        <v>46124</v>
      </c>
      <c r="E67" s="129" t="s">
        <v>175</v>
      </c>
      <c r="F67" s="71">
        <v>2</v>
      </c>
      <c r="G67" s="297">
        <f t="shared" si="7"/>
        <v>3</v>
      </c>
      <c r="H67" s="301">
        <v>46132</v>
      </c>
      <c r="I67" s="129" t="s">
        <v>176</v>
      </c>
      <c r="J67" s="162">
        <v>5941</v>
      </c>
      <c r="K67" s="318">
        <f t="shared" si="8"/>
        <v>148.52500000000001</v>
      </c>
    </row>
    <row r="68" spans="2:11" x14ac:dyDescent="0.25">
      <c r="B68" s="71" t="s">
        <v>254</v>
      </c>
      <c r="C68" s="466">
        <v>1</v>
      </c>
      <c r="D68" s="301">
        <v>46124</v>
      </c>
      <c r="E68" s="129" t="s">
        <v>176</v>
      </c>
      <c r="F68" s="71">
        <v>200</v>
      </c>
      <c r="G68" s="297">
        <f t="shared" si="7"/>
        <v>300</v>
      </c>
      <c r="H68" s="301">
        <v>46145</v>
      </c>
      <c r="I68" s="129" t="s">
        <v>175</v>
      </c>
      <c r="J68" s="162">
        <v>2986</v>
      </c>
      <c r="K68" s="318">
        <f t="shared" si="8"/>
        <v>74.650000000000006</v>
      </c>
    </row>
    <row r="69" spans="2:11" x14ac:dyDescent="0.25">
      <c r="B69" s="71" t="s">
        <v>279</v>
      </c>
      <c r="C69" s="466">
        <v>0.99</v>
      </c>
      <c r="D69" s="301">
        <v>46125</v>
      </c>
      <c r="E69" s="129" t="s">
        <v>175</v>
      </c>
      <c r="F69" s="71">
        <v>167</v>
      </c>
      <c r="G69" s="297">
        <f t="shared" si="7"/>
        <v>250.5</v>
      </c>
      <c r="H69" s="301">
        <v>46145</v>
      </c>
      <c r="I69" s="129" t="s">
        <v>176</v>
      </c>
      <c r="J69" s="162">
        <v>5940</v>
      </c>
      <c r="K69" s="318">
        <f t="shared" si="8"/>
        <v>148.5</v>
      </c>
    </row>
    <row r="70" spans="2:11" x14ac:dyDescent="0.25">
      <c r="B70" s="71" t="s">
        <v>280</v>
      </c>
      <c r="C70" s="466">
        <v>0.99</v>
      </c>
      <c r="D70" s="301" t="s">
        <v>295</v>
      </c>
      <c r="E70" s="129"/>
      <c r="F70" s="71">
        <f>+G70/1.5</f>
        <v>712.18</v>
      </c>
      <c r="G70" s="297">
        <f>663.27+(270*1.5)</f>
        <v>1068.27</v>
      </c>
      <c r="H70" s="301">
        <v>46146</v>
      </c>
      <c r="I70" s="129" t="s">
        <v>175</v>
      </c>
      <c r="J70" s="162">
        <v>4302</v>
      </c>
      <c r="K70" s="318">
        <f t="shared" si="8"/>
        <v>107.55000000000001</v>
      </c>
    </row>
    <row r="71" spans="2:11" x14ac:dyDescent="0.25">
      <c r="B71" s="71" t="s">
        <v>281</v>
      </c>
      <c r="C71" s="466">
        <v>0.99</v>
      </c>
      <c r="D71" s="301"/>
      <c r="E71" s="129"/>
      <c r="F71" s="71"/>
      <c r="G71" s="297"/>
      <c r="H71" s="359" t="s">
        <v>297</v>
      </c>
      <c r="I71" s="345"/>
      <c r="J71" s="199">
        <f>+J69+J68+J70</f>
        <v>13228</v>
      </c>
      <c r="K71" s="346">
        <f t="shared" si="8"/>
        <v>330.70000000000005</v>
      </c>
    </row>
    <row r="72" spans="2:11" x14ac:dyDescent="0.25">
      <c r="B72" s="71" t="s">
        <v>282</v>
      </c>
      <c r="C72" s="466">
        <v>0.99</v>
      </c>
      <c r="D72" s="301"/>
      <c r="E72" s="129"/>
      <c r="F72" s="108"/>
      <c r="G72" s="297"/>
      <c r="H72" s="301"/>
      <c r="I72" s="129"/>
      <c r="K72" s="318"/>
    </row>
  </sheetData>
  <protectedRanges>
    <protectedRange password="D554" sqref="I42:I44" name="Rango1_1_2_1_1_1_1" securityDescriptor="O:WDG:WDD:(A;;CC;;;S-1-5-21-602234756-1814372317-3751740159-65568)(A;;CC;;;S-1-5-21-602234756-1814372317-3751740159-104412)"/>
  </protectedRanges>
  <mergeCells count="2">
    <mergeCell ref="B1:D1"/>
    <mergeCell ref="B3:D3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legacyDrawing r:id="rId2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9"/>
  <sheetViews>
    <sheetView topLeftCell="B1" workbookViewId="0">
      <selection activeCell="F8" sqref="F8"/>
    </sheetView>
  </sheetViews>
  <sheetFormatPr baseColWidth="10" defaultRowHeight="15" x14ac:dyDescent="0.25"/>
  <cols>
    <col min="2" max="2" width="20.28515625" bestFit="1" customWidth="1"/>
    <col min="6" max="6" width="11.140625" bestFit="1" customWidth="1"/>
  </cols>
  <sheetData>
    <row r="1" spans="2:16" x14ac:dyDescent="0.25">
      <c r="B1">
        <v>2026</v>
      </c>
      <c r="C1" t="s">
        <v>108</v>
      </c>
      <c r="D1" t="s">
        <v>109</v>
      </c>
      <c r="E1" t="s">
        <v>110</v>
      </c>
      <c r="F1" t="s">
        <v>111</v>
      </c>
      <c r="G1" t="s">
        <v>102</v>
      </c>
      <c r="H1" t="s">
        <v>125</v>
      </c>
      <c r="I1" t="s">
        <v>132</v>
      </c>
      <c r="J1" t="s">
        <v>135</v>
      </c>
      <c r="K1" t="s">
        <v>160</v>
      </c>
      <c r="L1" t="s">
        <v>161</v>
      </c>
      <c r="M1" t="s">
        <v>198</v>
      </c>
      <c r="N1" t="s">
        <v>199</v>
      </c>
    </row>
    <row r="2" spans="2:16" x14ac:dyDescent="0.25">
      <c r="B2" t="s">
        <v>225</v>
      </c>
      <c r="C2" s="370">
        <v>192165.92078596776</v>
      </c>
      <c r="D2" s="370">
        <v>179398.29094701802</v>
      </c>
      <c r="E2" s="370">
        <v>194439.50346635541</v>
      </c>
      <c r="F2" s="370">
        <v>198128.39266049786</v>
      </c>
      <c r="G2" s="370">
        <v>210381.44520188204</v>
      </c>
      <c r="H2" s="370">
        <v>199416.32805644351</v>
      </c>
      <c r="I2" s="370">
        <v>215756.38276891105</v>
      </c>
      <c r="J2" s="370">
        <v>223685.98504617545</v>
      </c>
      <c r="K2" s="370">
        <v>235307.85701781834</v>
      </c>
      <c r="L2" s="370">
        <v>237702.91085192136</v>
      </c>
      <c r="M2" s="370">
        <v>226591.30759546492</v>
      </c>
      <c r="N2" s="370">
        <v>225590.55330747188</v>
      </c>
      <c r="P2" t="s">
        <v>103</v>
      </c>
    </row>
    <row r="3" spans="2:16" x14ac:dyDescent="0.25">
      <c r="B3" t="s">
        <v>226</v>
      </c>
      <c r="C3" s="370">
        <v>11767.98391395657</v>
      </c>
      <c r="D3" s="370">
        <v>12151.619673449635</v>
      </c>
      <c r="E3" s="370">
        <v>12304.488600479315</v>
      </c>
      <c r="F3" s="370">
        <v>11090.411369683012</v>
      </c>
      <c r="G3" s="370">
        <v>10741.801265805836</v>
      </c>
      <c r="H3" s="370">
        <v>12014.852665020495</v>
      </c>
      <c r="I3" s="370">
        <v>13546.815193399754</v>
      </c>
      <c r="J3" s="370">
        <v>12963.620025381148</v>
      </c>
      <c r="K3" s="370">
        <v>12577.40375629508</v>
      </c>
      <c r="L3" s="370">
        <v>13332.059450604309</v>
      </c>
      <c r="M3" s="370">
        <v>13791.963604735009</v>
      </c>
      <c r="N3" s="370">
        <v>13624.230481189834</v>
      </c>
      <c r="O3" s="373">
        <f>+SUM(C2:N3)</f>
        <v>2688472.1277059284</v>
      </c>
      <c r="P3" s="373">
        <v>2765035</v>
      </c>
    </row>
    <row r="4" spans="2:16" x14ac:dyDescent="0.25">
      <c r="B4" t="s">
        <v>227</v>
      </c>
      <c r="C4" s="370">
        <v>1470</v>
      </c>
      <c r="D4" s="370">
        <v>1520</v>
      </c>
      <c r="E4" s="370">
        <v>1540</v>
      </c>
      <c r="F4" s="370">
        <v>1600</v>
      </c>
      <c r="G4" s="370">
        <v>1650</v>
      </c>
      <c r="H4" s="370">
        <v>1680</v>
      </c>
      <c r="I4" s="370">
        <v>1740</v>
      </c>
      <c r="J4" s="370">
        <v>1810</v>
      </c>
      <c r="K4" s="370">
        <v>1835</v>
      </c>
      <c r="L4" s="370">
        <v>1865</v>
      </c>
      <c r="M4" s="370">
        <v>1865</v>
      </c>
      <c r="N4" s="370">
        <v>1880</v>
      </c>
    </row>
    <row r="5" spans="2:16" x14ac:dyDescent="0.25">
      <c r="B5" t="s">
        <v>168</v>
      </c>
      <c r="C5" s="370">
        <v>1425</v>
      </c>
      <c r="D5" s="370">
        <v>1475</v>
      </c>
      <c r="E5" s="370">
        <v>1500</v>
      </c>
      <c r="F5" s="370">
        <v>1400</v>
      </c>
      <c r="G5" s="370">
        <v>1500</v>
      </c>
      <c r="H5" s="370">
        <v>1500</v>
      </c>
      <c r="I5" s="370">
        <v>1600</v>
      </c>
      <c r="J5" s="370">
        <v>1500</v>
      </c>
      <c r="K5" s="370">
        <v>1500</v>
      </c>
      <c r="L5" s="370">
        <v>1600</v>
      </c>
      <c r="M5" s="370">
        <v>1500</v>
      </c>
      <c r="N5" s="370">
        <v>1500</v>
      </c>
    </row>
    <row r="6" spans="2:16" x14ac:dyDescent="0.25">
      <c r="B6" s="371" t="s">
        <v>33</v>
      </c>
      <c r="C6" s="372">
        <f>SUM(C2:C5)</f>
        <v>206828.90469992431</v>
      </c>
      <c r="D6" s="372">
        <f t="shared" ref="D6:N6" si="0">SUM(D2:D5)</f>
        <v>194544.91062046765</v>
      </c>
      <c r="E6" s="372">
        <f t="shared" si="0"/>
        <v>209783.99206683473</v>
      </c>
      <c r="F6" s="372">
        <f t="shared" si="0"/>
        <v>212218.80403018088</v>
      </c>
      <c r="G6" s="372">
        <f t="shared" si="0"/>
        <v>224273.24646768789</v>
      </c>
      <c r="H6" s="372">
        <f t="shared" si="0"/>
        <v>214611.18072146401</v>
      </c>
      <c r="I6" s="372">
        <f t="shared" si="0"/>
        <v>232643.19796231081</v>
      </c>
      <c r="J6" s="372">
        <f t="shared" si="0"/>
        <v>239959.60507155661</v>
      </c>
      <c r="K6" s="372">
        <f t="shared" si="0"/>
        <v>251220.26077411341</v>
      </c>
      <c r="L6" s="372">
        <f t="shared" si="0"/>
        <v>254499.97030252567</v>
      </c>
      <c r="M6" s="372">
        <f t="shared" si="0"/>
        <v>243748.27120019993</v>
      </c>
      <c r="N6" s="372">
        <f t="shared" si="0"/>
        <v>242594.78378866171</v>
      </c>
      <c r="O6" s="373">
        <f>+SUM(C6:N6)</f>
        <v>2726927.1277059279</v>
      </c>
    </row>
    <row r="7" spans="2:16" x14ac:dyDescent="0.25">
      <c r="B7" t="s">
        <v>103</v>
      </c>
      <c r="F7" s="370"/>
      <c r="O7">
        <f>+O6*0.05</f>
        <v>136346.35638529641</v>
      </c>
    </row>
    <row r="8" spans="2:16" ht="15.75" thickBot="1" x14ac:dyDescent="0.3">
      <c r="B8" t="s">
        <v>228</v>
      </c>
      <c r="C8" s="373">
        <f>+C2+C3</f>
        <v>203933.90469992431</v>
      </c>
      <c r="D8" s="373">
        <f t="shared" ref="D8:N8" si="1">+D2+D3</f>
        <v>191549.91062046765</v>
      </c>
      <c r="E8" s="373">
        <f t="shared" si="1"/>
        <v>206743.99206683473</v>
      </c>
      <c r="F8" s="373">
        <f>+F2+F3</f>
        <v>209218.80403018088</v>
      </c>
      <c r="G8" s="373">
        <f t="shared" si="1"/>
        <v>221123.24646768789</v>
      </c>
      <c r="H8" s="373">
        <f t="shared" si="1"/>
        <v>211431.18072146401</v>
      </c>
      <c r="I8" s="373">
        <f t="shared" si="1"/>
        <v>229303.19796231081</v>
      </c>
      <c r="J8" s="373">
        <f t="shared" si="1"/>
        <v>236649.60507155661</v>
      </c>
      <c r="K8" s="373">
        <f t="shared" si="1"/>
        <v>247885.26077411341</v>
      </c>
      <c r="L8" s="373">
        <f t="shared" si="1"/>
        <v>251034.97030252567</v>
      </c>
      <c r="M8" s="373">
        <f t="shared" si="1"/>
        <v>240383.27120019993</v>
      </c>
      <c r="N8" s="373">
        <f t="shared" si="1"/>
        <v>239214.78378866171</v>
      </c>
    </row>
    <row r="9" spans="2:16" ht="15.75" thickBot="1" x14ac:dyDescent="0.3">
      <c r="B9" s="470" t="s">
        <v>284</v>
      </c>
      <c r="C9" s="471"/>
      <c r="D9" s="471"/>
      <c r="E9" s="471"/>
      <c r="F9" s="373">
        <v>222576.996709089</v>
      </c>
      <c r="G9" s="373">
        <v>228230.92688777612</v>
      </c>
      <c r="H9" s="373">
        <v>224314.19420069718</v>
      </c>
      <c r="I9" s="373">
        <v>238334.42266025615</v>
      </c>
      <c r="J9" s="373">
        <v>243689.49699615643</v>
      </c>
      <c r="K9" s="373">
        <v>252122.42182873018</v>
      </c>
      <c r="L9" s="373">
        <v>262844.79146170797</v>
      </c>
      <c r="M9" s="373">
        <v>249531.47505354599</v>
      </c>
      <c r="N9" s="373">
        <v>251517.30435911645</v>
      </c>
    </row>
    <row r="10" spans="2:16" x14ac:dyDescent="0.25">
      <c r="F10" s="472">
        <f>+F9/F8</f>
        <v>1.0638479544935222</v>
      </c>
      <c r="G10" s="472">
        <f t="shared" ref="G10:N10" si="2">+G9/G8</f>
        <v>1.0321435241822341</v>
      </c>
      <c r="H10" s="472">
        <f>+H9/H8</f>
        <v>1.0609324198790009</v>
      </c>
      <c r="I10" s="472">
        <f t="shared" si="2"/>
        <v>1.0393855156761911</v>
      </c>
      <c r="J10" s="472">
        <f t="shared" si="2"/>
        <v>1.0297481667990578</v>
      </c>
      <c r="K10" s="472">
        <f t="shared" si="2"/>
        <v>1.0170932351580109</v>
      </c>
      <c r="L10" s="472">
        <f t="shared" si="2"/>
        <v>1.0470445258879675</v>
      </c>
      <c r="M10" s="472">
        <f t="shared" si="2"/>
        <v>1.0380567408358758</v>
      </c>
      <c r="N10" s="472">
        <f t="shared" si="2"/>
        <v>1.0514287636224173</v>
      </c>
    </row>
    <row r="11" spans="2:16" x14ac:dyDescent="0.25">
      <c r="F11" s="491">
        <f>+F9-F8</f>
        <v>13358.192678908119</v>
      </c>
      <c r="G11" s="491">
        <f t="shared" ref="G11:N11" si="3">+G9-G8</f>
        <v>7107.6804200882325</v>
      </c>
      <c r="H11" s="491">
        <f t="shared" si="3"/>
        <v>12883.013479233166</v>
      </c>
      <c r="I11" s="491">
        <f t="shared" si="3"/>
        <v>9031.2246979453485</v>
      </c>
      <c r="J11" s="491">
        <f t="shared" si="3"/>
        <v>7039.8919245998259</v>
      </c>
      <c r="K11" s="491">
        <f t="shared" si="3"/>
        <v>4237.1610546167649</v>
      </c>
      <c r="L11" s="491">
        <f t="shared" si="3"/>
        <v>11809.821159182291</v>
      </c>
      <c r="M11" s="491">
        <f t="shared" si="3"/>
        <v>9148.2038533460582</v>
      </c>
      <c r="N11" s="491">
        <f t="shared" si="3"/>
        <v>12302.520570454741</v>
      </c>
    </row>
    <row r="12" spans="2:16" x14ac:dyDescent="0.25">
      <c r="F12" s="472"/>
      <c r="G12" s="472"/>
      <c r="H12" s="472"/>
      <c r="I12" s="472"/>
      <c r="J12" s="472"/>
      <c r="K12" s="472"/>
      <c r="L12" s="472"/>
      <c r="M12" s="472"/>
      <c r="N12" s="472"/>
    </row>
    <row r="13" spans="2:16" x14ac:dyDescent="0.25">
      <c r="F13" s="373"/>
      <c r="G13" s="373"/>
      <c r="H13" s="373"/>
      <c r="I13" s="373"/>
      <c r="J13" s="373"/>
      <c r="K13" s="373"/>
      <c r="L13" s="373"/>
      <c r="M13" s="373"/>
      <c r="N13" s="373"/>
    </row>
    <row r="14" spans="2:16" ht="17.25" x14ac:dyDescent="0.4">
      <c r="B14" s="443">
        <v>2027</v>
      </c>
      <c r="C14">
        <f t="shared" ref="C14:N14" si="4">+C6*1.04</f>
        <v>215102.06088792128</v>
      </c>
      <c r="D14">
        <f t="shared" si="4"/>
        <v>202326.70704528637</v>
      </c>
      <c r="E14">
        <f t="shared" si="4"/>
        <v>218175.35174950812</v>
      </c>
      <c r="F14">
        <f t="shared" si="4"/>
        <v>220707.55619138811</v>
      </c>
      <c r="G14">
        <f t="shared" si="4"/>
        <v>233244.17632639542</v>
      </c>
      <c r="H14">
        <f t="shared" si="4"/>
        <v>223195.62795032258</v>
      </c>
      <c r="I14">
        <f t="shared" si="4"/>
        <v>241948.92588080323</v>
      </c>
      <c r="J14">
        <f t="shared" si="4"/>
        <v>249557.98927441888</v>
      </c>
      <c r="K14">
        <f t="shared" si="4"/>
        <v>261269.07120507795</v>
      </c>
      <c r="L14">
        <f t="shared" si="4"/>
        <v>264679.9691146267</v>
      </c>
      <c r="M14">
        <f t="shared" si="4"/>
        <v>253498.20204820792</v>
      </c>
      <c r="N14">
        <f t="shared" si="4"/>
        <v>252298.57514020818</v>
      </c>
      <c r="O14" s="442">
        <f>+SUM(C14:N14)</f>
        <v>2836004.2128141648</v>
      </c>
    </row>
    <row r="16" spans="2:16" x14ac:dyDescent="0.25">
      <c r="C16">
        <v>215102.06088792128</v>
      </c>
      <c r="D16">
        <v>202326.70704528637</v>
      </c>
      <c r="E16">
        <v>218175.35174950812</v>
      </c>
      <c r="F16">
        <v>220707.55619138799</v>
      </c>
      <c r="G16">
        <v>233244.17632639542</v>
      </c>
      <c r="H16">
        <v>223195.62795032258</v>
      </c>
      <c r="I16">
        <v>241948.92588080323</v>
      </c>
      <c r="J16">
        <v>249557.98927441888</v>
      </c>
      <c r="K16">
        <v>261269.07120507795</v>
      </c>
      <c r="L16">
        <v>264679.9691146267</v>
      </c>
      <c r="M16">
        <v>253498.20204820792</v>
      </c>
      <c r="N16">
        <v>252298.57514020818</v>
      </c>
    </row>
    <row r="17" spans="6:14" x14ac:dyDescent="0.25">
      <c r="F17" s="491"/>
      <c r="G17" s="491"/>
      <c r="H17" s="491"/>
      <c r="I17" s="491"/>
      <c r="J17" s="491"/>
      <c r="K17" s="491"/>
      <c r="L17" s="491"/>
      <c r="M17" s="491"/>
      <c r="N17" s="491"/>
    </row>
    <row r="18" spans="6:14" x14ac:dyDescent="0.25">
      <c r="F18" s="472"/>
      <c r="G18" s="472"/>
      <c r="H18" s="472"/>
      <c r="I18" s="472"/>
      <c r="J18" s="472"/>
      <c r="K18" s="472"/>
      <c r="L18" s="472"/>
      <c r="M18" s="472"/>
      <c r="N18" s="472"/>
    </row>
    <row r="19" spans="6:14" x14ac:dyDescent="0.25">
      <c r="F19" s="491"/>
      <c r="G19" s="491"/>
      <c r="H19" s="491"/>
      <c r="I19" s="491"/>
      <c r="J19" s="491"/>
      <c r="K19" s="491"/>
      <c r="L19" s="491"/>
      <c r="M19" s="491"/>
      <c r="N19" s="491"/>
    </row>
  </sheetData>
  <pageMargins left="0.7" right="0.7" top="0.75" bottom="0.75" header="0.3" footer="0.3"/>
  <pageSetup paperSize="9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C2" sqref="C2"/>
    </sheetView>
  </sheetViews>
  <sheetFormatPr baseColWidth="10" defaultRowHeight="15" x14ac:dyDescent="0.25"/>
  <cols>
    <col min="1" max="1" width="55.42578125" customWidth="1"/>
  </cols>
  <sheetData>
    <row r="1" spans="1:6" ht="15.75" thickBot="1" x14ac:dyDescent="0.3">
      <c r="A1" t="s">
        <v>20</v>
      </c>
      <c r="B1" t="s">
        <v>21</v>
      </c>
      <c r="C1" t="s">
        <v>22</v>
      </c>
    </row>
    <row r="2" spans="1:6" ht="16.5" thickBot="1" x14ac:dyDescent="0.3">
      <c r="A2" s="19" t="s">
        <v>8</v>
      </c>
      <c r="B2" s="12">
        <v>6000</v>
      </c>
      <c r="C2" s="22">
        <v>255.69200000000006</v>
      </c>
      <c r="E2" s="42" t="s">
        <v>20</v>
      </c>
      <c r="F2" s="43" t="s">
        <v>22</v>
      </c>
    </row>
    <row r="3" spans="1:6" ht="15.75" x14ac:dyDescent="0.25">
      <c r="A3" s="16" t="s">
        <v>6</v>
      </c>
      <c r="B3" s="13">
        <v>9460</v>
      </c>
      <c r="C3" s="20">
        <v>402.81200000000001</v>
      </c>
      <c r="E3" s="40" t="s">
        <v>23</v>
      </c>
      <c r="F3" s="41">
        <f>C4+C7+C8+C9+C10+C3+C23+C16</f>
        <v>3138.26</v>
      </c>
    </row>
    <row r="4" spans="1:6" ht="15.75" x14ac:dyDescent="0.25">
      <c r="A4" s="16" t="s">
        <v>17</v>
      </c>
      <c r="B4" s="13">
        <v>0</v>
      </c>
      <c r="C4" s="21">
        <v>0</v>
      </c>
      <c r="E4" s="32" t="s">
        <v>24</v>
      </c>
      <c r="F4" s="33">
        <f>+C2+C20+C25</f>
        <v>496.81200000000007</v>
      </c>
    </row>
    <row r="5" spans="1:6" ht="15.75" x14ac:dyDescent="0.25">
      <c r="A5" s="16" t="s">
        <v>3</v>
      </c>
      <c r="B5" s="13">
        <v>17770</v>
      </c>
      <c r="C5" s="29">
        <v>758.11199999999997</v>
      </c>
      <c r="E5" s="32" t="s">
        <v>25</v>
      </c>
      <c r="F5" s="34">
        <f>+C11+C24</f>
        <v>913.52600000000007</v>
      </c>
    </row>
    <row r="6" spans="1:6" ht="15.75" x14ac:dyDescent="0.25">
      <c r="A6" s="16" t="s">
        <v>18</v>
      </c>
      <c r="B6" s="13">
        <v>750</v>
      </c>
      <c r="C6" s="25">
        <v>31.92</v>
      </c>
      <c r="E6" s="32" t="s">
        <v>26</v>
      </c>
      <c r="F6" s="35">
        <f>+C12+C22+C19</f>
        <v>596.20200000000011</v>
      </c>
    </row>
    <row r="7" spans="1:6" ht="15.75" x14ac:dyDescent="0.25">
      <c r="A7" s="16" t="s">
        <v>10</v>
      </c>
      <c r="B7" s="13">
        <v>6780</v>
      </c>
      <c r="C7" s="20">
        <v>288.81599999999997</v>
      </c>
      <c r="E7" s="36" t="s">
        <v>27</v>
      </c>
      <c r="F7" s="29">
        <f>+C5+C14+C21</f>
        <v>758.11199999999997</v>
      </c>
    </row>
    <row r="8" spans="1:6" ht="15.75" x14ac:dyDescent="0.25">
      <c r="A8" s="16" t="s">
        <v>7</v>
      </c>
      <c r="B8" s="13">
        <v>3640</v>
      </c>
      <c r="C8" s="21">
        <v>154.99799999999999</v>
      </c>
      <c r="E8" s="36" t="s">
        <v>28</v>
      </c>
      <c r="F8" s="37">
        <f>+C6+C13</f>
        <v>31.92</v>
      </c>
    </row>
    <row r="9" spans="1:6" ht="16.5" thickBot="1" x14ac:dyDescent="0.3">
      <c r="A9" s="16" t="s">
        <v>5</v>
      </c>
      <c r="B9" s="13">
        <v>6060</v>
      </c>
      <c r="C9" s="20">
        <v>258.45</v>
      </c>
      <c r="E9" s="38" t="s">
        <v>32</v>
      </c>
      <c r="F9" s="39">
        <f>C15</f>
        <v>65.572000000000003</v>
      </c>
    </row>
    <row r="10" spans="1:6" ht="15.75" x14ac:dyDescent="0.25">
      <c r="A10" s="18" t="s">
        <v>2</v>
      </c>
      <c r="B10" s="13">
        <v>38590</v>
      </c>
      <c r="C10" s="20">
        <v>1643.7940000000001</v>
      </c>
    </row>
    <row r="11" spans="1:6" ht="15.75" x14ac:dyDescent="0.25">
      <c r="A11" s="16" t="s">
        <v>19</v>
      </c>
      <c r="B11" s="13">
        <v>18630</v>
      </c>
      <c r="C11" s="26">
        <v>794.16600000000005</v>
      </c>
      <c r="E11" t="s">
        <v>33</v>
      </c>
      <c r="F11" s="30">
        <f>SUM(F3:F10)</f>
        <v>6000.4040000000005</v>
      </c>
    </row>
    <row r="12" spans="1:6" ht="15.75" x14ac:dyDescent="0.25">
      <c r="A12" s="16" t="s">
        <v>4</v>
      </c>
      <c r="B12" s="13">
        <v>11170</v>
      </c>
      <c r="C12" s="24">
        <v>476.08200000000005</v>
      </c>
    </row>
    <row r="13" spans="1:6" ht="15.75" x14ac:dyDescent="0.25">
      <c r="A13" s="16" t="s">
        <v>16</v>
      </c>
      <c r="B13" s="13">
        <v>0</v>
      </c>
      <c r="C13" s="25">
        <v>0</v>
      </c>
    </row>
    <row r="14" spans="1:6" ht="15.75" x14ac:dyDescent="0.25">
      <c r="A14" s="16" t="s">
        <v>14</v>
      </c>
      <c r="B14" s="13">
        <v>0</v>
      </c>
      <c r="C14" s="29">
        <v>0</v>
      </c>
    </row>
    <row r="15" spans="1:6" ht="15.75" x14ac:dyDescent="0.25">
      <c r="A15" s="16" t="s">
        <v>29</v>
      </c>
      <c r="B15" s="13">
        <v>1540</v>
      </c>
      <c r="C15" s="31">
        <v>65.572000000000003</v>
      </c>
    </row>
    <row r="16" spans="1:6" ht="15.75" x14ac:dyDescent="0.25">
      <c r="A16" s="17" t="s">
        <v>34</v>
      </c>
      <c r="B16" s="13">
        <v>1152</v>
      </c>
      <c r="C16" s="41">
        <v>29.05</v>
      </c>
    </row>
    <row r="17" spans="1:3" ht="15.75" x14ac:dyDescent="0.25">
      <c r="A17" s="16" t="s">
        <v>15</v>
      </c>
      <c r="B17" s="13"/>
      <c r="C17" s="11"/>
    </row>
    <row r="18" spans="1:3" ht="15.75" x14ac:dyDescent="0.25">
      <c r="A18" s="16" t="s">
        <v>9</v>
      </c>
      <c r="B18" s="13"/>
      <c r="C18" s="11"/>
    </row>
    <row r="19" spans="1:3" ht="15.75" x14ac:dyDescent="0.25">
      <c r="A19" s="17" t="s">
        <v>11</v>
      </c>
      <c r="B19" s="14">
        <v>20</v>
      </c>
      <c r="C19" s="24">
        <v>30.11</v>
      </c>
    </row>
    <row r="20" spans="1:3" ht="15.75" x14ac:dyDescent="0.25">
      <c r="A20" s="17" t="s">
        <v>13</v>
      </c>
      <c r="B20" s="14">
        <v>100</v>
      </c>
      <c r="C20" s="23">
        <v>150.69</v>
      </c>
    </row>
    <row r="21" spans="1:3" ht="15.75" x14ac:dyDescent="0.25">
      <c r="A21" s="16" t="s">
        <v>30</v>
      </c>
      <c r="B21" s="13">
        <v>0</v>
      </c>
      <c r="C21" s="29">
        <v>0</v>
      </c>
    </row>
    <row r="22" spans="1:3" ht="15.75" x14ac:dyDescent="0.25">
      <c r="A22" s="16" t="s">
        <v>15</v>
      </c>
      <c r="B22" s="13">
        <v>90.01</v>
      </c>
      <c r="C22" s="24">
        <v>90.01</v>
      </c>
    </row>
    <row r="23" spans="1:3" ht="15.75" x14ac:dyDescent="0.25">
      <c r="A23" s="16" t="s">
        <v>9</v>
      </c>
      <c r="B23" s="13">
        <v>360.34</v>
      </c>
      <c r="C23" s="20">
        <v>360.34</v>
      </c>
    </row>
    <row r="24" spans="1:3" ht="15.75" x14ac:dyDescent="0.25">
      <c r="A24" s="16" t="s">
        <v>12</v>
      </c>
      <c r="B24" s="13">
        <v>119.36</v>
      </c>
      <c r="C24" s="27">
        <v>119.36</v>
      </c>
    </row>
    <row r="25" spans="1:3" ht="16.5" thickBot="1" x14ac:dyDescent="0.3">
      <c r="A25" s="16" t="s">
        <v>31</v>
      </c>
      <c r="B25" s="15">
        <v>90.43</v>
      </c>
      <c r="C25" s="28">
        <v>90.43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210</vt:i4>
      </vt:variant>
    </vt:vector>
  </HeadingPairs>
  <TitlesOfParts>
    <vt:vector size="210" baseType="lpstr">
      <vt:lpstr>18</vt:lpstr>
      <vt:lpstr>19</vt:lpstr>
      <vt:lpstr>20</vt:lpstr>
      <vt:lpstr>21</vt:lpstr>
      <vt:lpstr>22</vt:lpstr>
      <vt:lpstr>25</vt:lpstr>
      <vt:lpstr>26</vt:lpstr>
      <vt:lpstr>27</vt:lpstr>
      <vt:lpstr>28</vt:lpstr>
      <vt:lpstr>29</vt:lpstr>
      <vt:lpstr>01.06</vt:lpstr>
      <vt:lpstr>02.06</vt:lpstr>
      <vt:lpstr>03.06</vt:lpstr>
      <vt:lpstr>08.06</vt:lpstr>
      <vt:lpstr>09.06</vt:lpstr>
      <vt:lpstr>10.06</vt:lpstr>
      <vt:lpstr>11.06</vt:lpstr>
      <vt:lpstr>12.06</vt:lpstr>
      <vt:lpstr>15.06</vt:lpstr>
      <vt:lpstr>16.06</vt:lpstr>
      <vt:lpstr>17.06</vt:lpstr>
      <vt:lpstr>18.06</vt:lpstr>
      <vt:lpstr>19.06</vt:lpstr>
      <vt:lpstr>22.06</vt:lpstr>
      <vt:lpstr>23.06</vt:lpstr>
      <vt:lpstr>24.06</vt:lpstr>
      <vt:lpstr>26.06</vt:lpstr>
      <vt:lpstr>29.06</vt:lpstr>
      <vt:lpstr>30.06</vt:lpstr>
      <vt:lpstr>01.07</vt:lpstr>
      <vt:lpstr>02.07</vt:lpstr>
      <vt:lpstr>Hoja4</vt:lpstr>
      <vt:lpstr>06.07</vt:lpstr>
      <vt:lpstr>09.07</vt:lpstr>
      <vt:lpstr>10.07</vt:lpstr>
      <vt:lpstr>13.07</vt:lpstr>
      <vt:lpstr>14.07</vt:lpstr>
      <vt:lpstr>15.07</vt:lpstr>
      <vt:lpstr>16.07</vt:lpstr>
      <vt:lpstr>17.07</vt:lpstr>
      <vt:lpstr>20.07</vt:lpstr>
      <vt:lpstr>21.07</vt:lpstr>
      <vt:lpstr>23.07</vt:lpstr>
      <vt:lpstr>24.07</vt:lpstr>
      <vt:lpstr>29.07</vt:lpstr>
      <vt:lpstr>30.07</vt:lpstr>
      <vt:lpstr>31.07</vt:lpstr>
      <vt:lpstr>03.08</vt:lpstr>
      <vt:lpstr>04.08</vt:lpstr>
      <vt:lpstr>05.08</vt:lpstr>
      <vt:lpstr>06.08</vt:lpstr>
      <vt:lpstr>07.08</vt:lpstr>
      <vt:lpstr>10.08</vt:lpstr>
      <vt:lpstr>12.08</vt:lpstr>
      <vt:lpstr>13.08</vt:lpstr>
      <vt:lpstr>17.08</vt:lpstr>
      <vt:lpstr>18.08</vt:lpstr>
      <vt:lpstr>19.08</vt:lpstr>
      <vt:lpstr>21.08</vt:lpstr>
      <vt:lpstr>24.08</vt:lpstr>
      <vt:lpstr>25.08</vt:lpstr>
      <vt:lpstr>26.08</vt:lpstr>
      <vt:lpstr>27.08</vt:lpstr>
      <vt:lpstr>31.08</vt:lpstr>
      <vt:lpstr>01.09</vt:lpstr>
      <vt:lpstr>02.09</vt:lpstr>
      <vt:lpstr>03.09</vt:lpstr>
      <vt:lpstr>04.09</vt:lpstr>
      <vt:lpstr>07.09</vt:lpstr>
      <vt:lpstr>08.09</vt:lpstr>
      <vt:lpstr>09.09</vt:lpstr>
      <vt:lpstr>10.09</vt:lpstr>
      <vt:lpstr>11.09</vt:lpstr>
      <vt:lpstr>14.09</vt:lpstr>
      <vt:lpstr>15.09</vt:lpstr>
      <vt:lpstr>16.09</vt:lpstr>
      <vt:lpstr>17.09</vt:lpstr>
      <vt:lpstr>18.09</vt:lpstr>
      <vt:lpstr>21.09</vt:lpstr>
      <vt:lpstr>22.09</vt:lpstr>
      <vt:lpstr>Hoja1</vt:lpstr>
      <vt:lpstr>Hoja2</vt:lpstr>
      <vt:lpstr>25.09</vt:lpstr>
      <vt:lpstr>28.09</vt:lpstr>
      <vt:lpstr>29.09</vt:lpstr>
      <vt:lpstr>30.09</vt:lpstr>
      <vt:lpstr>01.10</vt:lpstr>
      <vt:lpstr>02.10</vt:lpstr>
      <vt:lpstr>05.10</vt:lpstr>
      <vt:lpstr>06.10</vt:lpstr>
      <vt:lpstr>08.10</vt:lpstr>
      <vt:lpstr>09.10</vt:lpstr>
      <vt:lpstr>13.10</vt:lpstr>
      <vt:lpstr>14.10</vt:lpstr>
      <vt:lpstr>15.10</vt:lpstr>
      <vt:lpstr>16.10</vt:lpstr>
      <vt:lpstr>19.10</vt:lpstr>
      <vt:lpstr>20.10</vt:lpstr>
      <vt:lpstr>21.10</vt:lpstr>
      <vt:lpstr>22.10</vt:lpstr>
      <vt:lpstr>23.10</vt:lpstr>
      <vt:lpstr>Hoja3</vt:lpstr>
      <vt:lpstr>28.10</vt:lpstr>
      <vt:lpstr>29.10</vt:lpstr>
      <vt:lpstr>30.10</vt:lpstr>
      <vt:lpstr>Hoja5</vt:lpstr>
      <vt:lpstr>03.11</vt:lpstr>
      <vt:lpstr>04.11</vt:lpstr>
      <vt:lpstr>05.11</vt:lpstr>
      <vt:lpstr>06.11</vt:lpstr>
      <vt:lpstr>09.11</vt:lpstr>
      <vt:lpstr>10.11</vt:lpstr>
      <vt:lpstr>Hoja7</vt:lpstr>
      <vt:lpstr>Hoja8</vt:lpstr>
      <vt:lpstr>17.11</vt:lpstr>
      <vt:lpstr>Hoja6</vt:lpstr>
      <vt:lpstr>19.11</vt:lpstr>
      <vt:lpstr>23.11</vt:lpstr>
      <vt:lpstr>24.11</vt:lpstr>
      <vt:lpstr>25.11</vt:lpstr>
      <vt:lpstr>26.11</vt:lpstr>
      <vt:lpstr>27.11</vt:lpstr>
      <vt:lpstr>30.11</vt:lpstr>
      <vt:lpstr>1.12</vt:lpstr>
      <vt:lpstr>2.12</vt:lpstr>
      <vt:lpstr>10.12</vt:lpstr>
      <vt:lpstr>11.12</vt:lpstr>
      <vt:lpstr>14.12</vt:lpstr>
      <vt:lpstr>Hoja9</vt:lpstr>
      <vt:lpstr>16.12</vt:lpstr>
      <vt:lpstr>17.12</vt:lpstr>
      <vt:lpstr>18.12</vt:lpstr>
      <vt:lpstr>21.12</vt:lpstr>
      <vt:lpstr>22.12</vt:lpstr>
      <vt:lpstr>23.12</vt:lpstr>
      <vt:lpstr>28.12</vt:lpstr>
      <vt:lpstr>29.12</vt:lpstr>
      <vt:lpstr>01.01.26</vt:lpstr>
      <vt:lpstr>04.01.26</vt:lpstr>
      <vt:lpstr>05.01.26</vt:lpstr>
      <vt:lpstr>06.01.26</vt:lpstr>
      <vt:lpstr>07.01.26</vt:lpstr>
      <vt:lpstr>08.01.26</vt:lpstr>
      <vt:lpstr>11.01.26</vt:lpstr>
      <vt:lpstr>12.01.26</vt:lpstr>
      <vt:lpstr>13.01.26</vt:lpstr>
      <vt:lpstr>14.01.26</vt:lpstr>
      <vt:lpstr>15.01</vt:lpstr>
      <vt:lpstr>18.01</vt:lpstr>
      <vt:lpstr>19.01</vt:lpstr>
      <vt:lpstr>21.01</vt:lpstr>
      <vt:lpstr>22.01</vt:lpstr>
      <vt:lpstr>25.01</vt:lpstr>
      <vt:lpstr>26.01</vt:lpstr>
      <vt:lpstr>27.01</vt:lpstr>
      <vt:lpstr>28.01</vt:lpstr>
      <vt:lpstr>29.01</vt:lpstr>
      <vt:lpstr>22.02</vt:lpstr>
      <vt:lpstr>23.02</vt:lpstr>
      <vt:lpstr>24.02</vt:lpstr>
      <vt:lpstr>25.02</vt:lpstr>
      <vt:lpstr>26.02</vt:lpstr>
      <vt:lpstr>01.03</vt:lpstr>
      <vt:lpstr>02.03</vt:lpstr>
      <vt:lpstr>03.03</vt:lpstr>
      <vt:lpstr>04.03</vt:lpstr>
      <vt:lpstr>05.03</vt:lpstr>
      <vt:lpstr>08.03</vt:lpstr>
      <vt:lpstr>09.03</vt:lpstr>
      <vt:lpstr>10.03</vt:lpstr>
      <vt:lpstr>12.03</vt:lpstr>
      <vt:lpstr>16.03</vt:lpstr>
      <vt:lpstr>17.03</vt:lpstr>
      <vt:lpstr>18.03</vt:lpstr>
      <vt:lpstr>19.03</vt:lpstr>
      <vt:lpstr>22.03</vt:lpstr>
      <vt:lpstr>23.03</vt:lpstr>
      <vt:lpstr>24.03</vt:lpstr>
      <vt:lpstr>25.03</vt:lpstr>
      <vt:lpstr>26.03</vt:lpstr>
      <vt:lpstr>29.03</vt:lpstr>
      <vt:lpstr>30.03</vt:lpstr>
      <vt:lpstr>31.03</vt:lpstr>
      <vt:lpstr>05.04</vt:lpstr>
      <vt:lpstr>06.04</vt:lpstr>
      <vt:lpstr>08.04</vt:lpstr>
      <vt:lpstr>09.04</vt:lpstr>
      <vt:lpstr>12.04</vt:lpstr>
      <vt:lpstr>13.04</vt:lpstr>
      <vt:lpstr>15.04</vt:lpstr>
      <vt:lpstr>16.04</vt:lpstr>
      <vt:lpstr>19.04</vt:lpstr>
      <vt:lpstr>20.04</vt:lpstr>
      <vt:lpstr>21.04</vt:lpstr>
      <vt:lpstr>22.04</vt:lpstr>
      <vt:lpstr>23.04</vt:lpstr>
      <vt:lpstr>26.04</vt:lpstr>
      <vt:lpstr>27.04</vt:lpstr>
      <vt:lpstr>28.04</vt:lpstr>
      <vt:lpstr>29.04</vt:lpstr>
      <vt:lpstr>03.05</vt:lpstr>
      <vt:lpstr>04.05</vt:lpstr>
      <vt:lpstr>05.05</vt:lpstr>
      <vt:lpstr>06.05</vt:lpstr>
      <vt:lpstr>07.05</vt:lpstr>
      <vt:lpstr>19.05</vt:lpstr>
      <vt:lpstr>20.05</vt:lpstr>
      <vt:lpstr>21.05</vt:lpstr>
      <vt:lpstr>Plan ventas 2026</vt:lpstr>
      <vt:lpstr>DESPACHO POR MATERIAL</vt:lpstr>
    </vt:vector>
  </TitlesOfParts>
  <Company>GRUPO GLORIA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 Ensacadora</dc:creator>
  <cp:lastModifiedBy>Tablerista Ensacado y despacho (Yura S.A.)</cp:lastModifiedBy>
  <cp:lastPrinted>2026-05-30T11:50:48Z</cp:lastPrinted>
  <dcterms:created xsi:type="dcterms:W3CDTF">2009-12-31T13:39:08Z</dcterms:created>
  <dcterms:modified xsi:type="dcterms:W3CDTF">2026-05-30T22:45:32Z</dcterms:modified>
</cp:coreProperties>
</file>