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pakuy\Documents\tugas my skill\FIX Tugas\Portofolio Excel\Akuntansi\"/>
    </mc:Choice>
  </mc:AlternateContent>
  <xr:revisionPtr revIDLastSave="0" documentId="13_ncr:1_{DF8068F3-99D2-4D9F-9AB1-8054E3933C41}" xr6:coauthVersionLast="47" xr6:coauthVersionMax="47" xr10:uidLastSave="{00000000-0000-0000-0000-000000000000}"/>
  <bookViews>
    <workbookView xWindow="0" yWindow="30" windowWidth="28785" windowHeight="15450" firstSheet="3" activeTab="7" xr2:uid="{C769D360-2D7E-CF44-B35E-54BC291F1A47}"/>
  </bookViews>
  <sheets>
    <sheet name="Profil &amp; Target PT TLV" sheetId="13" r:id="rId1"/>
    <sheet name="List Aset Tetap" sheetId="3" r:id="rId2"/>
    <sheet name="Schedule Loan Payment" sheetId="2" r:id="rId3"/>
    <sheet name="Prior BS&amp;IS" sheetId="1" r:id="rId4"/>
    <sheet name="Transaksi 20X5" sheetId="4" r:id="rId5"/>
    <sheet name="Jurnal Transaksi" sheetId="5" r:id="rId6"/>
    <sheet name="Informasi Tambahan" sheetId="9" r:id="rId7"/>
    <sheet name="Jurnal Penyesuaian" sheetId="10" r:id="rId8"/>
    <sheet name="BS PL" sheetId="7" r:id="rId9"/>
    <sheet name="TB" sheetId="6" r:id="rId10"/>
    <sheet name="CF" sheetId="11" r:id="rId11"/>
    <sheet name="Realisasi" sheetId="12" r:id="rId12"/>
  </sheets>
  <definedNames>
    <definedName name="_xlnm._FilterDatabase" localSheetId="5" hidden="1">'Jurnal Transaksi'!$A$5:$G$100</definedName>
    <definedName name="_xlnm._FilterDatabase" localSheetId="4" hidden="1">'Transaksi 20X5'!$B$2:$C$44</definedName>
    <definedName name="_xlnm.Print_Area" localSheetId="10">CF!$A$1:$G$36</definedName>
    <definedName name="_xlnm.Print_Area" localSheetId="0">'Profil &amp; Target PT TLV'!$A$1:$G$6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0" l="1"/>
  <c r="B26" i="11"/>
  <c r="B27" i="11" s="1"/>
  <c r="F10" i="10"/>
  <c r="G11" i="10" s="1"/>
  <c r="F8" i="10"/>
  <c r="G9" i="10" s="1"/>
  <c r="G7" i="10"/>
  <c r="G28" i="3"/>
  <c r="G97" i="5"/>
  <c r="G80" i="5"/>
  <c r="G73" i="5"/>
  <c r="C72" i="5"/>
  <c r="C73" i="5"/>
  <c r="C74" i="5"/>
  <c r="C75" i="5"/>
  <c r="C76" i="5"/>
  <c r="C77" i="5"/>
  <c r="C78" i="5"/>
  <c r="C79" i="5"/>
  <c r="C80" i="5"/>
  <c r="C81" i="5"/>
  <c r="C82" i="5"/>
  <c r="C83" i="5"/>
  <c r="C84" i="5"/>
  <c r="C85" i="5"/>
  <c r="C86" i="5"/>
  <c r="C87" i="5"/>
  <c r="C88" i="5"/>
  <c r="C89" i="5"/>
  <c r="C90" i="5"/>
  <c r="C91" i="5"/>
  <c r="C92" i="5"/>
  <c r="C93" i="5"/>
  <c r="C94" i="5"/>
  <c r="C95" i="5"/>
  <c r="C96" i="5"/>
  <c r="C97" i="5"/>
  <c r="G56" i="5"/>
  <c r="G49" i="5"/>
  <c r="G32" i="5"/>
  <c r="G25" i="5"/>
  <c r="G10" i="5"/>
  <c r="B21" i="11"/>
  <c r="C21" i="11"/>
  <c r="C14" i="6"/>
  <c r="C13" i="6"/>
  <c r="C12" i="6"/>
  <c r="C11" i="6"/>
  <c r="C10" i="6"/>
  <c r="C9" i="6"/>
  <c r="C8" i="6"/>
  <c r="C7" i="6"/>
  <c r="C6" i="6"/>
  <c r="C5" i="6"/>
  <c r="C4" i="6"/>
  <c r="F26" i="11" l="1"/>
  <c r="H28" i="3"/>
  <c r="G29" i="3"/>
  <c r="H29" i="3" s="1"/>
  <c r="G64" i="11"/>
  <c r="G63" i="11"/>
  <c r="G12" i="11" s="1"/>
  <c r="G25" i="11"/>
  <c r="G26" i="11"/>
  <c r="F21" i="11"/>
  <c r="C13" i="10"/>
  <c r="C12" i="10"/>
  <c r="C11" i="10"/>
  <c r="C10" i="10"/>
  <c r="C9" i="10"/>
  <c r="C8" i="10"/>
  <c r="C7" i="10"/>
  <c r="C6" i="10"/>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A34" i="12"/>
  <c r="B33" i="12"/>
  <c r="B36" i="12" s="1"/>
  <c r="B38" i="12" s="1"/>
  <c r="B40" i="12" s="1"/>
  <c r="C32" i="12"/>
  <c r="C33" i="12" s="1"/>
  <c r="C36" i="12" s="1"/>
  <c r="C38" i="12" s="1"/>
  <c r="C40" i="12" s="1"/>
  <c r="C26" i="12" s="1"/>
  <c r="C27" i="12" s="1"/>
  <c r="C19" i="12"/>
  <c r="C22" i="12" s="1"/>
  <c r="B19" i="12"/>
  <c r="B22" i="12" s="1"/>
  <c r="C12" i="12"/>
  <c r="C13" i="12" s="1"/>
  <c r="B12" i="12"/>
  <c r="B13" i="12" s="1"/>
  <c r="G54" i="11"/>
  <c r="G53" i="11" s="1"/>
  <c r="G10" i="11" s="1"/>
  <c r="E54" i="11"/>
  <c r="G21" i="11"/>
  <c r="G22" i="11" s="1"/>
  <c r="C26" i="11"/>
  <c r="C25" i="11"/>
  <c r="E4" i="6" l="1"/>
  <c r="H5" i="6"/>
  <c r="E5" i="6"/>
  <c r="E17" i="6"/>
  <c r="E6" i="6"/>
  <c r="E18" i="6"/>
  <c r="E7" i="6"/>
  <c r="E19" i="6"/>
  <c r="E8" i="6"/>
  <c r="E20" i="6"/>
  <c r="E9" i="6"/>
  <c r="E21" i="6"/>
  <c r="E10" i="6"/>
  <c r="E22" i="6"/>
  <c r="E11" i="6"/>
  <c r="E23" i="6"/>
  <c r="E12" i="6"/>
  <c r="E24" i="6"/>
  <c r="E13" i="6"/>
  <c r="E25" i="6"/>
  <c r="E16" i="6"/>
  <c r="E14" i="6"/>
  <c r="E26" i="6"/>
  <c r="E15" i="6"/>
  <c r="C28" i="12"/>
  <c r="F27" i="11"/>
  <c r="G27" i="11"/>
  <c r="F22" i="11"/>
  <c r="B22" i="11"/>
  <c r="C31" i="11"/>
  <c r="G31" i="11" s="1"/>
  <c r="C27" i="11"/>
  <c r="C22" i="11"/>
  <c r="C17" i="11"/>
  <c r="G61" i="11" s="1"/>
  <c r="C16" i="11"/>
  <c r="G50" i="11" s="1"/>
  <c r="C14" i="11"/>
  <c r="G49" i="11" s="1"/>
  <c r="C13" i="11"/>
  <c r="G45" i="11" s="1"/>
  <c r="A17" i="11"/>
  <c r="A16" i="11"/>
  <c r="A15" i="11"/>
  <c r="A14" i="11"/>
  <c r="A13" i="11"/>
  <c r="C43" i="7"/>
  <c r="G13" i="11" s="1"/>
  <c r="C41" i="7"/>
  <c r="C38" i="7"/>
  <c r="C39" i="7" s="1"/>
  <c r="C33" i="7"/>
  <c r="G44" i="11" s="1"/>
  <c r="I29" i="3"/>
  <c r="J29" i="3" s="1"/>
  <c r="I28" i="3"/>
  <c r="F30" i="3"/>
  <c r="G27" i="3"/>
  <c r="H27" i="3" s="1"/>
  <c r="G26" i="3"/>
  <c r="H26" i="3" s="1"/>
  <c r="G25" i="3"/>
  <c r="H25" i="3" s="1"/>
  <c r="G24" i="3"/>
  <c r="H24" i="3" s="1"/>
  <c r="G23" i="3"/>
  <c r="H23" i="3" s="1"/>
  <c r="G22" i="3"/>
  <c r="H22" i="3" s="1"/>
  <c r="C6" i="9"/>
  <c r="E5" i="9"/>
  <c r="C5" i="9" s="1"/>
  <c r="C24" i="7"/>
  <c r="C21" i="7"/>
  <c r="C20" i="7"/>
  <c r="C19" i="7"/>
  <c r="C11" i="1"/>
  <c r="C12" i="1" s="1"/>
  <c r="B11" i="1"/>
  <c r="B12" i="1" s="1"/>
  <c r="C10" i="7"/>
  <c r="C9" i="7"/>
  <c r="C8" i="7"/>
  <c r="C7" i="7"/>
  <c r="C30" i="1"/>
  <c r="B17" i="1"/>
  <c r="B20" i="1" s="1"/>
  <c r="C17" i="1"/>
  <c r="C20" i="1" s="1"/>
  <c r="B31" i="1"/>
  <c r="B33" i="1" s="1"/>
  <c r="B35" i="1" s="1"/>
  <c r="B37" i="1" s="1"/>
  <c r="F18" i="3"/>
  <c r="G17" i="3"/>
  <c r="I17" i="3" s="1"/>
  <c r="J17" i="3" s="1"/>
  <c r="G16" i="3"/>
  <c r="I16" i="3" s="1"/>
  <c r="G15" i="3"/>
  <c r="I15" i="3" s="1"/>
  <c r="G14" i="3"/>
  <c r="H14" i="3" s="1"/>
  <c r="G13" i="3"/>
  <c r="H13" i="3" s="1"/>
  <c r="G12" i="3"/>
  <c r="H12" i="3" s="1"/>
  <c r="G6" i="3"/>
  <c r="H6" i="3" s="1"/>
  <c r="I6" i="3" s="1"/>
  <c r="G5" i="3"/>
  <c r="H5" i="3" s="1"/>
  <c r="I5" i="3" s="1"/>
  <c r="G4" i="3"/>
  <c r="H4" i="3" s="1"/>
  <c r="C31" i="1" l="1"/>
  <c r="C33" i="1" s="1"/>
  <c r="C35" i="1" s="1"/>
  <c r="C37" i="1" s="1"/>
  <c r="C24" i="1" s="1"/>
  <c r="C25" i="1" s="1"/>
  <c r="C26" i="1" s="1"/>
  <c r="G43" i="11"/>
  <c r="G8" i="11" s="1"/>
  <c r="C34" i="7"/>
  <c r="G48" i="11" s="1"/>
  <c r="G47" i="11" s="1"/>
  <c r="G9" i="11" s="1"/>
  <c r="C13" i="7"/>
  <c r="C14" i="7" s="1"/>
  <c r="C22" i="7"/>
  <c r="C11" i="7"/>
  <c r="H30" i="3"/>
  <c r="H9" i="6" s="1"/>
  <c r="I25" i="3"/>
  <c r="J25" i="3" s="1"/>
  <c r="I4" i="3"/>
  <c r="I7" i="3" s="1"/>
  <c r="H7" i="3"/>
  <c r="J6" i="3"/>
  <c r="I14" i="3"/>
  <c r="I24" i="3" s="1"/>
  <c r="I26" i="3"/>
  <c r="J26" i="3" s="1"/>
  <c r="J5" i="3"/>
  <c r="I13" i="3"/>
  <c r="I23" i="3" s="1"/>
  <c r="J23" i="3" s="1"/>
  <c r="H26" i="6"/>
  <c r="C25" i="7"/>
  <c r="C26" i="7" s="1"/>
  <c r="J28" i="3"/>
  <c r="H15" i="3"/>
  <c r="I27" i="3"/>
  <c r="H16" i="3"/>
  <c r="H18" i="3" s="1"/>
  <c r="C9" i="11" s="1"/>
  <c r="G60" i="11" s="1"/>
  <c r="G56" i="11" s="1"/>
  <c r="G11" i="11" s="1"/>
  <c r="H17" i="3"/>
  <c r="D26" i="6"/>
  <c r="G25" i="6"/>
  <c r="G6" i="6"/>
  <c r="G21" i="6"/>
  <c r="H16" i="6"/>
  <c r="G12" i="6"/>
  <c r="H17" i="6"/>
  <c r="G8" i="6"/>
  <c r="G23" i="6"/>
  <c r="H23" i="6"/>
  <c r="H15" i="6"/>
  <c r="H20" i="6"/>
  <c r="H25" i="6"/>
  <c r="G17" i="6"/>
  <c r="H12" i="6"/>
  <c r="G13" i="6"/>
  <c r="H18" i="6"/>
  <c r="G4" i="6"/>
  <c r="G9" i="6"/>
  <c r="G14" i="6"/>
  <c r="G19" i="6"/>
  <c r="G24" i="6"/>
  <c r="G16" i="6"/>
  <c r="H21" i="6"/>
  <c r="G7" i="6"/>
  <c r="H7" i="6"/>
  <c r="H8" i="6"/>
  <c r="H14" i="6"/>
  <c r="H19" i="6"/>
  <c r="H24" i="6"/>
  <c r="G11" i="6"/>
  <c r="H6" i="6"/>
  <c r="H11" i="6"/>
  <c r="H22" i="6"/>
  <c r="G18" i="6"/>
  <c r="H13" i="6"/>
  <c r="G5" i="6"/>
  <c r="G10" i="6"/>
  <c r="G15" i="6"/>
  <c r="G20" i="6"/>
  <c r="J27" i="3"/>
  <c r="J15" i="3"/>
  <c r="J24" i="3"/>
  <c r="D18" i="6"/>
  <c r="D17" i="6"/>
  <c r="D8" i="6"/>
  <c r="D9" i="6"/>
  <c r="D21" i="6"/>
  <c r="D7" i="6"/>
  <c r="D12" i="6"/>
  <c r="D19" i="6"/>
  <c r="D24" i="6"/>
  <c r="D13" i="6"/>
  <c r="D20" i="6"/>
  <c r="D25" i="6"/>
  <c r="D4" i="6"/>
  <c r="D14" i="6"/>
  <c r="D10" i="6"/>
  <c r="D11" i="6"/>
  <c r="D16" i="6"/>
  <c r="D23" i="6"/>
  <c r="D5" i="6"/>
  <c r="D15" i="6"/>
  <c r="D22" i="6"/>
  <c r="D6" i="6"/>
  <c r="J16" i="3"/>
  <c r="B15" i="11" l="1"/>
  <c r="F51" i="11" s="1"/>
  <c r="J13" i="3"/>
  <c r="G18" i="11"/>
  <c r="G22" i="6"/>
  <c r="C35" i="7"/>
  <c r="C40" i="7" s="1"/>
  <c r="C42" i="7" s="1"/>
  <c r="C44" i="7" s="1"/>
  <c r="C7" i="11" s="1"/>
  <c r="C18" i="11" s="1"/>
  <c r="C29" i="11" s="1"/>
  <c r="C33" i="11" s="1"/>
  <c r="B31" i="11" s="1"/>
  <c r="C15" i="7"/>
  <c r="C1" i="6"/>
  <c r="C27" i="7"/>
  <c r="F26" i="6"/>
  <c r="J4" i="3"/>
  <c r="J7" i="3" s="1"/>
  <c r="I12" i="3"/>
  <c r="J14" i="3"/>
  <c r="F17" i="6"/>
  <c r="F18" i="6"/>
  <c r="I18" i="6" s="1"/>
  <c r="F12" i="6"/>
  <c r="I12" i="6" s="1"/>
  <c r="F23" i="6"/>
  <c r="I23" i="6" s="1"/>
  <c r="B10" i="11" s="1"/>
  <c r="F21" i="6"/>
  <c r="I21" i="6" s="1"/>
  <c r="F59" i="11" s="1"/>
  <c r="F9" i="6"/>
  <c r="I9" i="6" s="1"/>
  <c r="F22" i="6"/>
  <c r="F20" i="6"/>
  <c r="I20" i="6" s="1"/>
  <c r="F25" i="6"/>
  <c r="I25" i="6" s="1"/>
  <c r="B41" i="7" s="1"/>
  <c r="F8" i="6"/>
  <c r="I8" i="6" s="1"/>
  <c r="F7" i="6"/>
  <c r="I7" i="6" s="1"/>
  <c r="F16" i="6"/>
  <c r="I16" i="6" s="1"/>
  <c r="F11" i="6"/>
  <c r="I11" i="6" s="1"/>
  <c r="F6" i="6"/>
  <c r="I6" i="6" s="1"/>
  <c r="F13" i="6"/>
  <c r="I13" i="6" s="1"/>
  <c r="F5" i="6"/>
  <c r="I5" i="6" s="1"/>
  <c r="F14" i="6"/>
  <c r="I14" i="6" s="1"/>
  <c r="F24" i="6"/>
  <c r="I24" i="6" s="1"/>
  <c r="F60" i="11" s="1"/>
  <c r="F4" i="6"/>
  <c r="D1" i="6"/>
  <c r="E1" i="6"/>
  <c r="F19" i="6"/>
  <c r="I19" i="6" s="1"/>
  <c r="F10" i="6"/>
  <c r="F15" i="6"/>
  <c r="I15" i="6" s="1"/>
  <c r="C35" i="11" l="1"/>
  <c r="B24" i="7"/>
  <c r="E25" i="12" s="1"/>
  <c r="B8" i="7"/>
  <c r="E11" i="12"/>
  <c r="B33" i="7"/>
  <c r="B9" i="7"/>
  <c r="B14" i="11" s="1"/>
  <c r="B21" i="7"/>
  <c r="E18" i="12" s="1"/>
  <c r="B20" i="7"/>
  <c r="E17" i="12" s="1"/>
  <c r="B10" i="7"/>
  <c r="E7" i="12" s="1"/>
  <c r="E10" i="12"/>
  <c r="I22" i="6"/>
  <c r="B9" i="11" s="1"/>
  <c r="F54" i="11"/>
  <c r="F53" i="11" s="1"/>
  <c r="F10" i="11" s="1"/>
  <c r="F48" i="11"/>
  <c r="B13" i="7"/>
  <c r="B14" i="7" s="1"/>
  <c r="F58" i="11"/>
  <c r="B37" i="7"/>
  <c r="I17" i="6"/>
  <c r="B34" i="7" s="1"/>
  <c r="F57" i="11"/>
  <c r="F63" i="11"/>
  <c r="F12" i="11" s="1"/>
  <c r="I22" i="3"/>
  <c r="J12" i="3"/>
  <c r="J18" i="3" s="1"/>
  <c r="I18" i="3"/>
  <c r="F1" i="6"/>
  <c r="E34" i="12" l="1"/>
  <c r="B35" i="7"/>
  <c r="E6" i="12"/>
  <c r="E5" i="12"/>
  <c r="B13" i="11"/>
  <c r="F45" i="11" s="1"/>
  <c r="E31" i="12"/>
  <c r="B17" i="11"/>
  <c r="F61" i="11" s="1"/>
  <c r="F56" i="11" s="1"/>
  <c r="F11" i="11" s="1"/>
  <c r="E12" i="12"/>
  <c r="B38" i="7"/>
  <c r="E35" i="12" s="1"/>
  <c r="F49" i="11"/>
  <c r="F44" i="11"/>
  <c r="I30" i="3"/>
  <c r="J22" i="3"/>
  <c r="J30" i="3" s="1"/>
  <c r="B39" i="7" l="1"/>
  <c r="F43" i="11"/>
  <c r="F8" i="11" s="1"/>
  <c r="E32" i="12"/>
  <c r="F32" i="12" s="1"/>
  <c r="B40" i="7" l="1"/>
  <c r="B42" i="7" s="1"/>
  <c r="E33" i="12"/>
  <c r="E36" i="12" s="1"/>
  <c r="E38" i="12" l="1"/>
  <c r="G29" i="11" l="1"/>
  <c r="G33" i="11" s="1"/>
  <c r="H10" i="6" l="1"/>
  <c r="I10" i="6" s="1"/>
  <c r="B19" i="7" s="1"/>
  <c r="F31" i="11"/>
  <c r="G35" i="11"/>
  <c r="E16" i="12" l="1"/>
  <c r="E19" i="12" s="1"/>
  <c r="E22" i="12" s="1"/>
  <c r="B22" i="7"/>
  <c r="F50" i="11"/>
  <c r="F47" i="11" s="1"/>
  <c r="F9" i="11" s="1"/>
  <c r="G13" i="10" l="1"/>
  <c r="H4" i="6" s="1"/>
  <c r="G26" i="6"/>
  <c r="G1" i="6" s="1"/>
  <c r="I4" i="6" l="1"/>
  <c r="H1" i="6"/>
  <c r="B7" i="7"/>
  <c r="I26" i="6"/>
  <c r="B43" i="7" s="1"/>
  <c r="E4" i="12" l="1"/>
  <c r="E8" i="12" s="1"/>
  <c r="E13" i="12" s="1"/>
  <c r="B11" i="7"/>
  <c r="B15" i="7" s="1"/>
  <c r="E39" i="12"/>
  <c r="E40" i="12" s="1"/>
  <c r="F64" i="11"/>
  <c r="F13" i="11" s="1"/>
  <c r="F18" i="11" s="1"/>
  <c r="F29" i="11" s="1"/>
  <c r="F33" i="11" s="1"/>
  <c r="F35" i="11" s="1"/>
  <c r="B44" i="7"/>
  <c r="I1" i="6"/>
  <c r="B25" i="7" l="1"/>
  <c r="B7" i="11"/>
  <c r="B18" i="11" s="1"/>
  <c r="B29" i="11" s="1"/>
  <c r="B33" i="11" s="1"/>
  <c r="B35" i="11" s="1"/>
  <c r="E26" i="12" l="1"/>
  <c r="E27" i="12" s="1"/>
  <c r="E28" i="12" s="1"/>
  <c r="B26" i="7"/>
  <c r="B27" i="7" s="1"/>
</calcChain>
</file>

<file path=xl/sharedStrings.xml><?xml version="1.0" encoding="utf-8"?>
<sst xmlns="http://schemas.openxmlformats.org/spreadsheetml/2006/main" count="552" uniqueCount="228">
  <si>
    <t>Tahun</t>
  </si>
  <si>
    <t>Kuartal</t>
  </si>
  <si>
    <t>Total Bayar</t>
  </si>
  <si>
    <t>20X4</t>
  </si>
  <si>
    <t>Q1</t>
  </si>
  <si>
    <t>Q2</t>
  </si>
  <si>
    <t>Q3</t>
  </si>
  <si>
    <t>Q4</t>
  </si>
  <si>
    <t>20X5</t>
  </si>
  <si>
    <t>20X6</t>
  </si>
  <si>
    <t>Pokok Dibayar</t>
  </si>
  <si>
    <t>Bunga (flat)</t>
  </si>
  <si>
    <t>Sisa Pokok</t>
  </si>
  <si>
    <t>20X3</t>
  </si>
  <si>
    <t>Penjualan</t>
  </si>
  <si>
    <t>HPP</t>
  </si>
  <si>
    <t>Laba Kotor</t>
  </si>
  <si>
    <t>Beban Operasional</t>
  </si>
  <si>
    <t>Laba Usaha</t>
  </si>
  <si>
    <t>Beban Bunga (flat 6%)</t>
  </si>
  <si>
    <t>Laba Sebelum Pajak</t>
  </si>
  <si>
    <t>Pajak (11%)</t>
  </si>
  <si>
    <t>Laba Bersih</t>
  </si>
  <si>
    <t>Kas &amp; Bank</t>
  </si>
  <si>
    <t>Piutang Usaha</t>
  </si>
  <si>
    <t>Persediaan</t>
  </si>
  <si>
    <t>Total Aset Lancar</t>
  </si>
  <si>
    <t>TOTAL ASET</t>
  </si>
  <si>
    <t>Kewajiban Lancar</t>
  </si>
  <si>
    <t>Utang Usaha</t>
  </si>
  <si>
    <t>Subtotal Kewajiban Lancar</t>
  </si>
  <si>
    <t>Kewajiban Jangka Panjang</t>
  </si>
  <si>
    <t>TOTAL LIABILITAS</t>
  </si>
  <si>
    <t>EKUITAS</t>
  </si>
  <si>
    <t>TOTAL EKUITAS</t>
  </si>
  <si>
    <t>TOTAL LIAB. + EKUITAS</t>
  </si>
  <si>
    <t>Pinjaman Bank</t>
  </si>
  <si>
    <t>Biaya Yang Masih Harus Dibayar</t>
  </si>
  <si>
    <t>Pinjaman</t>
  </si>
  <si>
    <t>Tenor</t>
  </si>
  <si>
    <t>Pembayaran pokok</t>
  </si>
  <si>
    <t>Bunga</t>
  </si>
  <si>
    <t xml:space="preserve"> 3 tahun</t>
  </si>
  <si>
    <t xml:space="preserve"> Rp62.500 per kuartal</t>
  </si>
  <si>
    <t xml:space="preserve"> Rp45.000 per kuartal</t>
  </si>
  <si>
    <t>Total</t>
  </si>
  <si>
    <t>Tahun Perolehan</t>
  </si>
  <si>
    <t>Kategori</t>
  </si>
  <si>
    <t>Computers</t>
  </si>
  <si>
    <t>Furniture</t>
  </si>
  <si>
    <t>Equipment</t>
  </si>
  <si>
    <t>TOTAL</t>
  </si>
  <si>
    <t>Harga Perolehan</t>
  </si>
  <si>
    <t>Umur Manfaat</t>
  </si>
  <si>
    <t>Nilai Buku</t>
  </si>
  <si>
    <t>Akum. Penyusutan</t>
  </si>
  <si>
    <t>Penyusutan/Tahun</t>
  </si>
  <si>
    <t>C-001</t>
  </si>
  <si>
    <t>F-001</t>
  </si>
  <si>
    <t>E-001</t>
  </si>
  <si>
    <t>C-002</t>
  </si>
  <si>
    <t>F-002</t>
  </si>
  <si>
    <t>E-002</t>
  </si>
  <si>
    <t>No. Aset</t>
  </si>
  <si>
    <t>PT TLV menerima pelunasan piutang Rp300 juta dari peserta batch sebelumnya (Q4 20X4).</t>
  </si>
  <si>
    <t>Penjualan kelas online meningkat Rp1,2 miliar; 60% (Rp720 juta) diterima kas, 40% (Rp480 juta) dicatat sebagai piutang.</t>
  </si>
  <si>
    <t>PT TLV membayar utang usaha Rp250 juta kepada vendor materi digital dan platform e-learning.</t>
  </si>
  <si>
    <t>Dibayar accrued expense tahun lalu Rp70 juta (biaya konsultan dan langganan software).</t>
  </si>
  <si>
    <t>Perusahaan membayar Gaji staf Rp150 juta</t>
  </si>
  <si>
    <t>Perusahaan membayar Marketing online Rp80 juta</t>
  </si>
  <si>
    <t>Perusahaan membayar Administrasi umum Rp40 juta</t>
  </si>
  <si>
    <t>Transaksi</t>
  </si>
  <si>
    <t>Periode</t>
  </si>
  <si>
    <t>No</t>
  </si>
  <si>
    <t>PT TLV menerima kas Rp480 juta dari piutang kuartal sebelumnya.</t>
  </si>
  <si>
    <t>Penjualan naik ke Rp1,4 miliar (60% kas Rp840 juta, 40% piutang Rp560 juta).</t>
  </si>
  <si>
    <t>Pembayaran pinjaman bank Rp62,5 juta pokok + bunga Rp11,25 juta.</t>
  </si>
  <si>
    <t>Pembayaran angsuran pinjaman bank Rp62,5 juta (pokok) + bunga flat Rp11,25 juta</t>
  </si>
  <si>
    <t>PT TLV menandatangani kontrak sewa gedung offline Rp600 juta/tahun, dibayar penuh di awal Q2.</t>
  </si>
  <si>
    <t>Penerimaan kas Rp560 juta dari piutang Q2.</t>
  </si>
  <si>
    <t>Penjualan naik ke Rp1,6 miliar (kas Rp960 juta, piutang Rp640 juta).</t>
  </si>
  <si>
    <t>Trainer fee Rp200 juta dibayarkan untuk batch perdana offline.</t>
  </si>
  <si>
    <t>Pembelian komputer tambahan Rp250 juta untuk ruang offline, dibiayai kas.</t>
  </si>
  <si>
    <t>Penerimaan kas Rp640 juta dari piutang Q3.</t>
  </si>
  <si>
    <t>Penjualan Rp1,8 miliar (kas Rp1,08 miliar, piutang Rp720 juta).</t>
  </si>
  <si>
    <t>Trainer fee Rp250 juta dibayarkan untuk bootcamp Q4.</t>
  </si>
  <si>
    <t>Perusahaan membayar Gaji staf Rp190 juta</t>
  </si>
  <si>
    <t>Perusahaan membayar Marketing (iklan digital + event kampus) Rp120 juta</t>
  </si>
  <si>
    <t>Perusahaan membayar Gaji staf Rp210 juta</t>
  </si>
  <si>
    <t>Perusahaan membayar Marketing (end-year campaign) Rp150 juta</t>
  </si>
  <si>
    <t>Perusahaan membayar Administrasi umum Rp35 juta</t>
  </si>
  <si>
    <t>No. Akun</t>
  </si>
  <si>
    <t>Nama Akun</t>
  </si>
  <si>
    <t>Piutang usaha</t>
  </si>
  <si>
    <t>Deskripsi</t>
  </si>
  <si>
    <t>Debit</t>
  </si>
  <si>
    <t>Kredit</t>
  </si>
  <si>
    <t>Pendapatan</t>
  </si>
  <si>
    <t>Utang usaha</t>
  </si>
  <si>
    <t>Beban gaji</t>
  </si>
  <si>
    <t>Perusahaan membayar Internet, PDAM, Listrik Rp30 juta</t>
  </si>
  <si>
    <t>Perusahaan membayar Internet, PDAM, Listrik Rp50 juta</t>
  </si>
  <si>
    <t>Perusahaan membayar Internet, PDAM, Listrik Rp55 juta</t>
  </si>
  <si>
    <t>Untuk menyelenggarakan bootcamp online, perusahaan membayar penggunaan materi belajar dan platform senilai Rp780 juta</t>
  </si>
  <si>
    <t>Beban lain-lain</t>
  </si>
  <si>
    <t>Beban marketing</t>
  </si>
  <si>
    <t>Pinjaman bank</t>
  </si>
  <si>
    <t>Beban bunga</t>
  </si>
  <si>
    <t>Biaya dibayar dimuka</t>
  </si>
  <si>
    <t>Aset Tetap</t>
  </si>
  <si>
    <t>Akumulasi penyusutan</t>
  </si>
  <si>
    <t>Modal saham</t>
  </si>
  <si>
    <t>Saldo 20X4</t>
  </si>
  <si>
    <t>Saldo 20X5</t>
  </si>
  <si>
    <t>Akumulasi Penyusutan</t>
  </si>
  <si>
    <t>Aset Lancar</t>
  </si>
  <si>
    <t>Aset Tidak Lancar</t>
  </si>
  <si>
    <t>Total Aset Tidak Lancar</t>
  </si>
  <si>
    <t>Modal Saham</t>
  </si>
  <si>
    <t>Laba Ditahan</t>
  </si>
  <si>
    <t>Pembayaran Rp300 juta kepada vendor materi digital dan platform e-learning.</t>
  </si>
  <si>
    <t>Pembayaran Gaji staf Rp170 juta</t>
  </si>
  <si>
    <t>Pembayaran Marketing (online + promosi offline) Rp110 juta</t>
  </si>
  <si>
    <t>Pembayaran Internet, PDAM, Listrik Rp40 juta</t>
  </si>
  <si>
    <t>Pembayaran Administrasi umum Rp30 juta</t>
  </si>
  <si>
    <t>Pembelian learning kit Rp90 juta secara kredit</t>
  </si>
  <si>
    <t>PT TLV mulai renovasi ruang pelatihan; membeli furniture Rp200 juta melalui kredit.</t>
  </si>
  <si>
    <t>Pembelian learning kit Rp150 juta, persediaan dicatat sebagai utang ke vendor.</t>
  </si>
  <si>
    <t>Pembayaran utang usaha Rp350 juta ke vendor learning kit.</t>
  </si>
  <si>
    <t>Beban learning kit</t>
  </si>
  <si>
    <t>Beban fee trainer</t>
  </si>
  <si>
    <t>PT TLV membayar utang usaha Rp340 juta kepada vendor learning kit</t>
  </si>
  <si>
    <t>Pembelian learning kit Rp110 juta secara kas</t>
  </si>
  <si>
    <t>Informasi Tambahan (Dicatat sebagai Penyesuaian)</t>
  </si>
  <si>
    <t>Qty</t>
  </si>
  <si>
    <t>Harga/qty</t>
  </si>
  <si>
    <r>
      <t xml:space="preserve">Diketahui </t>
    </r>
    <r>
      <rPr>
        <b/>
        <sz val="12"/>
        <color theme="1"/>
        <rFont val="Aptos Narrow"/>
        <family val="2"/>
        <scheme val="minor"/>
      </rPr>
      <t xml:space="preserve">sisa </t>
    </r>
    <r>
      <rPr>
        <sz val="12"/>
        <color theme="1"/>
        <rFont val="Aptos Narrow"/>
        <family val="2"/>
        <scheme val="minor"/>
      </rPr>
      <t xml:space="preserve">learning kit pada </t>
    </r>
  </si>
  <si>
    <t>C-003</t>
  </si>
  <si>
    <t>F-003</t>
  </si>
  <si>
    <t>Perusahaan menghitung penyusutan atas aset dimiliki dengan catatan sebagai berikut:</t>
  </si>
  <si>
    <t>Disusutkan</t>
  </si>
  <si>
    <t>Setahun</t>
  </si>
  <si>
    <t>Proporsional</t>
  </si>
  <si>
    <t>Contoh:</t>
  </si>
  <si>
    <t>Perolehan Q2 maka akan disusutkan selama 3 kuartal (Q2, Q3, Q4)</t>
  </si>
  <si>
    <t>Perolehan Q3 maka akan disusutkan selama 2 kuartal (Q3, Q4)</t>
  </si>
  <si>
    <t>Penyesuaian</t>
  </si>
  <si>
    <t>Jurnal Penyesuaian</t>
  </si>
  <si>
    <t>Pemakaian learning kit dicatat sebagai HPP di akun 5003 Beban Learning Kit</t>
  </si>
  <si>
    <t>Rumus HPP:</t>
  </si>
  <si>
    <t>Saldo awal + Pembelian - Saldo Akhir</t>
  </si>
  <si>
    <t>Status</t>
  </si>
  <si>
    <t>Saldo Awal 20X5</t>
  </si>
  <si>
    <t>Saldo Akhir 20X5</t>
  </si>
  <si>
    <t>Perusahaan menghitung amortisasi atas pemakaian sewa gedung secara proporsional</t>
  </si>
  <si>
    <t>PT TLV</t>
  </si>
  <si>
    <t>Beban Penyusutan</t>
  </si>
  <si>
    <t>Beban penyusutan</t>
  </si>
  <si>
    <t>Beban utilitas</t>
  </si>
  <si>
    <t>Beban amortisasi</t>
  </si>
  <si>
    <t>Beban pajak badan</t>
  </si>
  <si>
    <t xml:space="preserve">Pajak yang dibayarkan jika omzet </t>
  </si>
  <si>
    <t>≤ 4,8M</t>
  </si>
  <si>
    <t>&gt;4,8M</t>
  </si>
  <si>
    <t>22% dari laba sebelum pajak</t>
  </si>
  <si>
    <t>11% dari laba sebelum pajak (tarif 22% x fasilitas 50%)</t>
  </si>
  <si>
    <t>Pembayaran pajak</t>
  </si>
  <si>
    <t>Jurnal Transaksi</t>
  </si>
  <si>
    <t>NERACA</t>
  </si>
  <si>
    <t>ASET</t>
  </si>
  <si>
    <t>ASET LANCAR</t>
  </si>
  <si>
    <t>ASET TIDAK LANCAR</t>
  </si>
  <si>
    <t>LIABILITAS &amp; EKUITAS</t>
  </si>
  <si>
    <t>LIABILITAS</t>
  </si>
  <si>
    <t>TOTAL LIABILITAS &amp; EKUITAS</t>
  </si>
  <si>
    <t>Aset Tetap - bersih</t>
  </si>
  <si>
    <t>Laba kotor</t>
  </si>
  <si>
    <t>Biaya Operasional</t>
  </si>
  <si>
    <t>Biaya Marketing</t>
  </si>
  <si>
    <t>Biaya Umum dan Administrasi</t>
  </si>
  <si>
    <t>Laba operasional</t>
  </si>
  <si>
    <t>Biaya bunga</t>
  </si>
  <si>
    <t>Laba sebelum pajak</t>
  </si>
  <si>
    <t>LABA RUGI</t>
  </si>
  <si>
    <t>Pajak</t>
  </si>
  <si>
    <t>Laba bersih</t>
  </si>
  <si>
    <t>ARUS KAS</t>
  </si>
  <si>
    <t>INDIRECT</t>
  </si>
  <si>
    <t>Ditambah item non-kas</t>
  </si>
  <si>
    <t>ARUS KAS DARI AKTIVITAS OPERASI</t>
  </si>
  <si>
    <t>Perubahan modal kerja</t>
  </si>
  <si>
    <t>Arus kas neto dari aktivitas operasi</t>
  </si>
  <si>
    <t>ARUS KAS DARI AKTIVITAS INVESTASI</t>
  </si>
  <si>
    <t>Pembelian aset tetap</t>
  </si>
  <si>
    <t>ARUS KAS DARI AKTIVITAS PENDANAAN</t>
  </si>
  <si>
    <t>Arus kas neto digunakan aktivitas operasi</t>
  </si>
  <si>
    <t>Penerimaan pinjaman bank</t>
  </si>
  <si>
    <t>Pembayaran pinjaman bank</t>
  </si>
  <si>
    <t>KENAIKAN (PENURUNAN) NETO KAS</t>
  </si>
  <si>
    <t>SALDO KAS &amp; BANK AWAL TAHUN</t>
  </si>
  <si>
    <t>SALDO KAS &amp; BANK AKHIR TAHUN</t>
  </si>
  <si>
    <t>Control</t>
  </si>
  <si>
    <t xml:space="preserve">DIRECT </t>
  </si>
  <si>
    <t>Penerimaan kas dari pelanggan</t>
  </si>
  <si>
    <t>Arus kas neto digunakan aktivitas investasi</t>
  </si>
  <si>
    <t>Arus kas neto dari (digunakan untuk) aktivitas pendanaan</t>
  </si>
  <si>
    <t>Pembayaran bunga pinjaman</t>
  </si>
  <si>
    <t>Pembayaran kepada karyawan</t>
  </si>
  <si>
    <t>Pembayaran untuk aktivitas operasi</t>
  </si>
  <si>
    <t>Kertas Kerja</t>
  </si>
  <si>
    <t>Perubahan Piutang</t>
  </si>
  <si>
    <t>Perubahan Persediaan</t>
  </si>
  <si>
    <t>Perubahan Utang</t>
  </si>
  <si>
    <t>Perubahan biaya yang masih harus dibayar</t>
  </si>
  <si>
    <t>Pembayaran kepada supplier</t>
  </si>
  <si>
    <t>Perubahan Biaya dibayar dimuka</t>
  </si>
  <si>
    <t>Realisasi</t>
  </si>
  <si>
    <t>Beban dibayar dimuka</t>
  </si>
  <si>
    <t>Bag. Jangka Pendek Pinjaman Bank</t>
  </si>
  <si>
    <t>Biaya Umum &amp; Administrasi</t>
  </si>
  <si>
    <t>Beban Bunga</t>
  </si>
  <si>
    <t>Budget</t>
  </si>
  <si>
    <t>Profil &amp; Rencana Ekspansi PT TLV Bootcamp</t>
  </si>
  <si>
    <t>Visi untuk 20X5: Ekspansi ke Pembelajaran Offline</t>
  </si>
  <si>
    <t>Memasuki tahun 20X5, PT TLV Bootcamp berencana untuk melakukan lompatan signifikan dengan memperkenalkan format Pembelajaran Offline yang dijadwalkan dimulai pada Kuartal II (Q2) 20X5. Ekspansi ini merupakan langkah strategis untuk menjangkau lebih banyak peserta, meningkatkan kualitas interaksi belajar-mengajar, dan memperkuat brand presence di pasar.</t>
  </si>
  <si>
    <t>Tentang PT TLV</t>
  </si>
  <si>
    <t>PT TLV Bootcamp adalah penyedia layanan pelatihan profesional yang berfokus pada bidang HR, Finance, Accounting, dan Tax. Sejak didirikan pada tahun 20X3, PT TLV berkomitmen untuk mencetak talenta-talenta siap kerja yang kompeten dan bersertifikat melalui metode pembelajaran intensif dan kurikulum yang sesuai dengan kebutuhan industri.</t>
  </si>
  <si>
    <t>*dalam ribuan rupiah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</si>
</sst>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7"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b/>
      <sz val="12"/>
      <color theme="1"/>
      <name val="Aptos Narrow"/>
      <family val="2"/>
      <scheme val="minor"/>
    </font>
    <font>
      <sz val="12"/>
      <color theme="1"/>
      <name val="Aptos Narrow"/>
      <family val="2"/>
      <scheme val="minor"/>
    </font>
    <font>
      <sz val="12"/>
      <color rgb="FFFF0000"/>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3" fontId="0" fillId="0" borderId="0" xfId="0" applyNumberFormat="1"/>
    <xf numFmtId="0" fontId="2" fillId="0" borderId="0" xfId="0" applyFont="1"/>
    <xf numFmtId="0" fontId="3" fillId="0" borderId="0" xfId="0" applyFont="1"/>
    <xf numFmtId="164" fontId="3" fillId="0" borderId="0" xfId="1" applyFont="1"/>
    <xf numFmtId="164" fontId="3" fillId="0" borderId="1" xfId="1" applyFont="1" applyBorder="1"/>
    <xf numFmtId="164" fontId="2" fillId="0" borderId="0" xfId="1" applyFont="1"/>
    <xf numFmtId="164" fontId="3" fillId="0" borderId="0" xfId="0" applyNumberFormat="1" applyFont="1"/>
    <xf numFmtId="0" fontId="2" fillId="0" borderId="3" xfId="0" applyFont="1" applyBorder="1"/>
    <xf numFmtId="0" fontId="3" fillId="0" borderId="3" xfId="0" applyFont="1" applyBorder="1"/>
    <xf numFmtId="3" fontId="3" fillId="0" borderId="3" xfId="0" applyNumberFormat="1" applyFont="1" applyBorder="1"/>
    <xf numFmtId="9" fontId="0" fillId="0" borderId="0" xfId="2" applyFont="1"/>
    <xf numFmtId="164" fontId="0" fillId="0" borderId="0" xfId="1" applyFont="1"/>
    <xf numFmtId="1" fontId="0" fillId="0" borderId="0" xfId="1" applyNumberFormat="1" applyFont="1"/>
    <xf numFmtId="0" fontId="4" fillId="0" borderId="0" xfId="0" applyFont="1"/>
    <xf numFmtId="164" fontId="0" fillId="0" borderId="0" xfId="0" applyNumberFormat="1"/>
    <xf numFmtId="9" fontId="3" fillId="0" borderId="0" xfId="2" applyFont="1"/>
    <xf numFmtId="0" fontId="0" fillId="0" borderId="0" xfId="0" applyAlignment="1">
      <alignment vertical="center"/>
    </xf>
    <xf numFmtId="164" fontId="2" fillId="0" borderId="0" xfId="1" applyFont="1" applyAlignment="1">
      <alignment horizontal="center"/>
    </xf>
    <xf numFmtId="164" fontId="3" fillId="0" borderId="0" xfId="1" applyFont="1" applyBorder="1"/>
    <xf numFmtId="164" fontId="2" fillId="0" borderId="2" xfId="1" applyFont="1" applyBorder="1"/>
    <xf numFmtId="164" fontId="2" fillId="0" borderId="0" xfId="1" applyFont="1" applyBorder="1"/>
    <xf numFmtId="3" fontId="4" fillId="0" borderId="0" xfId="0" applyNumberFormat="1" applyFont="1"/>
    <xf numFmtId="164" fontId="4" fillId="0" borderId="0" xfId="0" applyNumberFormat="1" applyFont="1"/>
    <xf numFmtId="164" fontId="4" fillId="0" borderId="0" xfId="1" applyFont="1"/>
    <xf numFmtId="164" fontId="0" fillId="0" borderId="1" xfId="1" applyFont="1" applyBorder="1"/>
    <xf numFmtId="164" fontId="4" fillId="0" borderId="2" xfId="1" applyFont="1" applyBorder="1"/>
    <xf numFmtId="0" fontId="5" fillId="0" borderId="0" xfId="0" applyFont="1"/>
    <xf numFmtId="0" fontId="0" fillId="2" borderId="0" xfId="0" applyFill="1"/>
    <xf numFmtId="164" fontId="4" fillId="0" borderId="4" xfId="1" applyFont="1" applyBorder="1"/>
    <xf numFmtId="0" fontId="0" fillId="0" borderId="0" xfId="0" applyAlignment="1">
      <alignment horizontal="left" indent="2"/>
    </xf>
    <xf numFmtId="0" fontId="5" fillId="0" borderId="0" xfId="0" applyFont="1" applyAlignment="1">
      <alignment horizontal="left" indent="2"/>
    </xf>
    <xf numFmtId="0" fontId="0" fillId="0" borderId="0" xfId="0" applyAlignment="1">
      <alignment horizontal="left" indent="3"/>
    </xf>
    <xf numFmtId="0" fontId="0" fillId="0" borderId="0" xfId="0" applyAlignment="1">
      <alignment wrapText="1"/>
    </xf>
    <xf numFmtId="164" fontId="4" fillId="0" borderId="1" xfId="1" applyFont="1" applyBorder="1" applyAlignment="1">
      <alignment horizontal="center"/>
    </xf>
    <xf numFmtId="164" fontId="4" fillId="0" borderId="0" xfId="1" applyFont="1" applyBorder="1" applyAlignment="1">
      <alignment horizontal="center"/>
    </xf>
    <xf numFmtId="164" fontId="2" fillId="0" borderId="0" xfId="0" applyNumberFormat="1" applyFont="1"/>
    <xf numFmtId="164" fontId="3" fillId="0" borderId="1" xfId="0" applyNumberFormat="1" applyFont="1" applyBorder="1"/>
    <xf numFmtId="164" fontId="3" fillId="0" borderId="0" xfId="1" applyFont="1" applyAlignment="1">
      <alignment horizontal="center"/>
    </xf>
    <xf numFmtId="9" fontId="3" fillId="0" borderId="0" xfId="0" applyNumberFormat="1" applyFont="1"/>
    <xf numFmtId="0" fontId="0" fillId="0" borderId="1" xfId="0" applyBorder="1"/>
    <xf numFmtId="0" fontId="0" fillId="0" borderId="3" xfId="0" applyBorder="1"/>
    <xf numFmtId="164" fontId="0" fillId="0" borderId="3" xfId="0" applyNumberFormat="1" applyBorder="1"/>
    <xf numFmtId="164" fontId="0" fillId="0" borderId="3" xfId="1" applyFont="1" applyBorder="1"/>
    <xf numFmtId="164" fontId="0" fillId="0" borderId="0" xfId="1" applyFont="1" applyFill="1"/>
    <xf numFmtId="164" fontId="0" fillId="0" borderId="1" xfId="1" applyFont="1" applyFill="1" applyBorder="1"/>
    <xf numFmtId="0" fontId="4" fillId="0" borderId="3" xfId="0" applyFont="1" applyBorder="1" applyAlignment="1">
      <alignment horizontal="center" vertical="center"/>
    </xf>
    <xf numFmtId="0" fontId="4" fillId="0" borderId="3" xfId="0" applyFont="1" applyBorder="1" applyAlignment="1">
      <alignment horizontal="center"/>
    </xf>
    <xf numFmtId="0" fontId="4" fillId="0" borderId="3" xfId="0" applyFont="1" applyBorder="1"/>
    <xf numFmtId="3" fontId="3" fillId="0" borderId="0" xfId="0" applyNumberFormat="1" applyFont="1"/>
    <xf numFmtId="164" fontId="6" fillId="0" borderId="0" xfId="1" applyFont="1"/>
    <xf numFmtId="0" fontId="0" fillId="3" borderId="3" xfId="0" applyFill="1" applyBorder="1"/>
    <xf numFmtId="0" fontId="0" fillId="0" borderId="0" xfId="0" applyAlignment="1">
      <alignment horizontal="left" vertical="top" wrapText="1"/>
    </xf>
    <xf numFmtId="0" fontId="0" fillId="0" borderId="3" xfId="0"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3" xfId="0" applyNumberFormat="1" applyFont="1" applyBorder="1" applyAlignment="1">
      <alignment horizontal="center"/>
    </xf>
    <xf numFmtId="164" fontId="4" fillId="0" borderId="5" xfId="0" applyNumberFormat="1" applyFont="1" applyBorder="1" applyAlignment="1">
      <alignment horizontal="center"/>
    </xf>
    <xf numFmtId="164" fontId="4" fillId="0" borderId="2" xfId="0" applyNumberFormat="1" applyFont="1" applyBorder="1" applyAlignment="1">
      <alignment horizontal="center"/>
    </xf>
    <xf numFmtId="164" fontId="4" fillId="0" borderId="6" xfId="0" applyNumberFormat="1" applyFont="1" applyBorder="1" applyAlignment="1">
      <alignment horizontal="center"/>
    </xf>
    <xf numFmtId="0" fontId="0" fillId="0" borderId="0" xfId="0" applyFont="1"/>
    <xf numFmtId="3" fontId="0" fillId="0" borderId="0" xfId="0" applyNumberFormat="1" applyFont="1"/>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CB665-F7A0-8E40-8E45-6BF7D3A3310A}">
  <sheetPr codeName="Sheet1"/>
  <dimension ref="A1:G7"/>
  <sheetViews>
    <sheetView showGridLines="0" view="pageBreakPreview" zoomScale="257" zoomScaleNormal="100" workbookViewId="0">
      <selection activeCell="A6" sqref="A6:G6"/>
    </sheetView>
  </sheetViews>
  <sheetFormatPr defaultColWidth="11" defaultRowHeight="15.75" x14ac:dyDescent="0.25"/>
  <cols>
    <col min="1" max="1" width="2.5" customWidth="1"/>
    <col min="2" max="2" width="2" customWidth="1"/>
    <col min="3" max="3" width="25.875" customWidth="1"/>
  </cols>
  <sheetData>
    <row r="1" spans="1:7" x14ac:dyDescent="0.25">
      <c r="A1" s="14" t="s">
        <v>222</v>
      </c>
    </row>
    <row r="2" spans="1:7" x14ac:dyDescent="0.25">
      <c r="A2" s="14"/>
    </row>
    <row r="3" spans="1:7" x14ac:dyDescent="0.25">
      <c r="A3" s="14" t="s">
        <v>225</v>
      </c>
    </row>
    <row r="4" spans="1:7" ht="81.95" customHeight="1" x14ac:dyDescent="0.25">
      <c r="A4" s="52" t="s">
        <v>226</v>
      </c>
      <c r="B4" s="52"/>
      <c r="C4" s="52"/>
      <c r="D4" s="52"/>
      <c r="E4" s="52"/>
      <c r="F4" s="52"/>
      <c r="G4" s="52"/>
    </row>
    <row r="5" spans="1:7" x14ac:dyDescent="0.25">
      <c r="A5" s="14" t="s">
        <v>223</v>
      </c>
    </row>
    <row r="6" spans="1:7" ht="87" customHeight="1" x14ac:dyDescent="0.25">
      <c r="A6" s="52" t="s">
        <v>224</v>
      </c>
      <c r="B6" s="52"/>
      <c r="C6" s="52"/>
      <c r="D6" s="52"/>
      <c r="E6" s="52"/>
      <c r="F6" s="52"/>
      <c r="G6" s="52"/>
    </row>
    <row r="7" spans="1:7" ht="48" customHeight="1" x14ac:dyDescent="0.25">
      <c r="A7" s="33"/>
      <c r="B7" s="33"/>
      <c r="C7" s="33"/>
      <c r="D7" s="33"/>
      <c r="E7" s="33"/>
      <c r="F7" s="33"/>
      <c r="G7" s="33"/>
    </row>
  </sheetData>
  <mergeCells count="2">
    <mergeCell ref="A4:G4"/>
    <mergeCell ref="A6:G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31E0-C70A-C84B-B5B4-7AB6AB04BE51}">
  <sheetPr codeName="Sheet9">
    <tabColor theme="7"/>
  </sheetPr>
  <dimension ref="A1:K26"/>
  <sheetViews>
    <sheetView showGridLines="0" view="pageBreakPreview" topLeftCell="A5" zoomScale="144" zoomScaleNormal="125" workbookViewId="0">
      <selection activeCell="G26" sqref="G26"/>
    </sheetView>
  </sheetViews>
  <sheetFormatPr defaultColWidth="11" defaultRowHeight="15.75" x14ac:dyDescent="0.25"/>
  <cols>
    <col min="2" max="2" width="27.375" bestFit="1" customWidth="1"/>
    <col min="3" max="3" width="11.5" bestFit="1" customWidth="1"/>
    <col min="4" max="5" width="14.125" bestFit="1" customWidth="1"/>
    <col min="6" max="6" width="13" bestFit="1" customWidth="1"/>
    <col min="8" max="8" width="10.375" bestFit="1" customWidth="1"/>
    <col min="9" max="9" width="14.75" bestFit="1" customWidth="1"/>
    <col min="11" max="11" width="16.125" bestFit="1" customWidth="1"/>
  </cols>
  <sheetData>
    <row r="1" spans="1:11" x14ac:dyDescent="0.25">
      <c r="C1" s="15">
        <f>SUM(C4:C25)</f>
        <v>0</v>
      </c>
      <c r="D1" s="15">
        <f>SUM(D4:D25)</f>
        <v>13465000</v>
      </c>
      <c r="E1" s="15">
        <f>SUM(E4:E25)</f>
        <v>13465000</v>
      </c>
      <c r="F1" s="15">
        <f>SUM(F4:F25)</f>
        <v>0</v>
      </c>
      <c r="G1" s="15">
        <f>SUM(G4:G26)</f>
        <v>1856400</v>
      </c>
      <c r="H1" s="15">
        <f>SUM(H4:H26)</f>
        <v>1856400</v>
      </c>
      <c r="I1" s="15">
        <f>SUM(I4:I26)</f>
        <v>0</v>
      </c>
    </row>
    <row r="2" spans="1:11" x14ac:dyDescent="0.25">
      <c r="A2" s="54" t="s">
        <v>91</v>
      </c>
      <c r="B2" s="54" t="s">
        <v>92</v>
      </c>
      <c r="C2" s="54" t="s">
        <v>112</v>
      </c>
      <c r="D2" s="57" t="s">
        <v>71</v>
      </c>
      <c r="E2" s="58"/>
      <c r="F2" s="59"/>
      <c r="G2" s="56" t="s">
        <v>146</v>
      </c>
      <c r="H2" s="56"/>
      <c r="I2" s="56"/>
    </row>
    <row r="3" spans="1:11" x14ac:dyDescent="0.25">
      <c r="A3" s="55"/>
      <c r="B3" s="55"/>
      <c r="C3" s="55"/>
      <c r="D3" s="47" t="s">
        <v>95</v>
      </c>
      <c r="E3" s="47" t="s">
        <v>96</v>
      </c>
      <c r="F3" s="47" t="s">
        <v>113</v>
      </c>
      <c r="G3" s="47" t="s">
        <v>95</v>
      </c>
      <c r="H3" s="47" t="s">
        <v>96</v>
      </c>
      <c r="I3" s="47" t="s">
        <v>113</v>
      </c>
    </row>
    <row r="4" spans="1:11" x14ac:dyDescent="0.25">
      <c r="A4" s="41">
        <v>1101</v>
      </c>
      <c r="B4" s="41" t="s">
        <v>23</v>
      </c>
      <c r="C4" s="43">
        <f>_xlfn.IFNA(VLOOKUP(B4,'Prior BS&amp;IS'!$A$4:$C$26,3,FALSE),0)</f>
        <v>1255250</v>
      </c>
      <c r="D4" s="43">
        <f>SUMIF('Jurnal Transaksi'!$C:$C,TB!$A:$A,'Jurnal Transaksi'!F:F)</f>
        <v>5580000</v>
      </c>
      <c r="E4" s="43">
        <f>SUMIF('Jurnal Transaksi'!$C:$C,TB!$A:$A,'Jurnal Transaksi'!G:G)</f>
        <v>5045000</v>
      </c>
      <c r="F4" s="42">
        <f>C4+D4-E4</f>
        <v>1790250</v>
      </c>
      <c r="G4" s="43">
        <f>SUMIF('Jurnal Penyesuaian'!$C:$C,TB!$A4,'Jurnal Penyesuaian'!F:F)</f>
        <v>0</v>
      </c>
      <c r="H4" s="43">
        <f>SUMIF('Jurnal Penyesuaian'!$C:$C,TB!$A4,'Jurnal Penyesuaian'!G:G)</f>
        <v>301400</v>
      </c>
      <c r="I4" s="42">
        <f>F4+G4-H4</f>
        <v>1488850</v>
      </c>
      <c r="J4" s="15"/>
    </row>
    <row r="5" spans="1:11" x14ac:dyDescent="0.25">
      <c r="A5" s="41">
        <v>1102</v>
      </c>
      <c r="B5" s="41" t="s">
        <v>93</v>
      </c>
      <c r="C5" s="43">
        <f>_xlfn.IFNA(VLOOKUP(B5,'Prior BS&amp;IS'!$A$4:$C$26,3,FALSE),0)</f>
        <v>360000</v>
      </c>
      <c r="D5" s="43">
        <f>SUMIF('Jurnal Transaksi'!$C:$C,TB!$A:$A,'Jurnal Transaksi'!F:F)</f>
        <v>2400000</v>
      </c>
      <c r="E5" s="43">
        <f>SUMIF('Jurnal Transaksi'!$C:$C,TB!$A:$A,'Jurnal Transaksi'!G:G)</f>
        <v>1980000</v>
      </c>
      <c r="F5" s="42">
        <f t="shared" ref="F5:F25" si="0">C5+D5-E5</f>
        <v>780000</v>
      </c>
      <c r="G5" s="43">
        <f>SUMIF('Jurnal Penyesuaian'!$C:$C,TB!$A5,'Jurnal Penyesuaian'!F:F)</f>
        <v>0</v>
      </c>
      <c r="H5" s="43">
        <f>SUMIF('Jurnal Penyesuaian'!$C:$C,TB!$A5,'Jurnal Penyesuaian'!G:G)</f>
        <v>0</v>
      </c>
      <c r="I5" s="42">
        <f t="shared" ref="I5:I25" si="1">F5+G5-H5</f>
        <v>780000</v>
      </c>
      <c r="J5" s="15"/>
    </row>
    <row r="6" spans="1:11" x14ac:dyDescent="0.25">
      <c r="A6" s="41">
        <v>1103</v>
      </c>
      <c r="B6" s="41" t="s">
        <v>25</v>
      </c>
      <c r="C6" s="43">
        <f>_xlfn.IFNA(VLOOKUP(B6,'Prior BS&amp;IS'!$A$4:$C$26,3,FALSE),0)</f>
        <v>480000</v>
      </c>
      <c r="D6" s="43">
        <f>SUMIF('Jurnal Transaksi'!$C:$C,TB!$A:$A,'Jurnal Transaksi'!F:F)</f>
        <v>350000</v>
      </c>
      <c r="E6" s="43">
        <f>SUMIF('Jurnal Transaksi'!$C:$C,TB!$A:$A,'Jurnal Transaksi'!G:G)</f>
        <v>0</v>
      </c>
      <c r="F6" s="42">
        <f t="shared" si="0"/>
        <v>830000</v>
      </c>
      <c r="G6" s="43">
        <f>SUMIF('Jurnal Penyesuaian'!$C:$C,TB!$A6,'Jurnal Penyesuaian'!F:F)</f>
        <v>0</v>
      </c>
      <c r="H6" s="43">
        <f>SUMIF('Jurnal Penyesuaian'!$C:$C,TB!$A6,'Jurnal Penyesuaian'!G:G)</f>
        <v>730000</v>
      </c>
      <c r="I6" s="42">
        <f t="shared" si="1"/>
        <v>100000</v>
      </c>
      <c r="J6" s="15"/>
    </row>
    <row r="7" spans="1:11" x14ac:dyDescent="0.25">
      <c r="A7" s="41">
        <v>1104</v>
      </c>
      <c r="B7" s="41" t="s">
        <v>108</v>
      </c>
      <c r="C7" s="43">
        <f>_xlfn.IFNA(VLOOKUP(B7,'Prior BS&amp;IS'!$A$4:$C$26,3,FALSE),0)</f>
        <v>0</v>
      </c>
      <c r="D7" s="43">
        <f>SUMIF('Jurnal Transaksi'!$C:$C,TB!$A:$A,'Jurnal Transaksi'!F:F)</f>
        <v>600000</v>
      </c>
      <c r="E7" s="43">
        <f>SUMIF('Jurnal Transaksi'!$C:$C,TB!$A:$A,'Jurnal Transaksi'!G:G)</f>
        <v>0</v>
      </c>
      <c r="F7" s="42">
        <f t="shared" si="0"/>
        <v>600000</v>
      </c>
      <c r="G7" s="43">
        <f>SUMIF('Jurnal Penyesuaian'!$C:$C,TB!$A7,'Jurnal Penyesuaian'!F:F)</f>
        <v>0</v>
      </c>
      <c r="H7" s="43">
        <f>SUMIF('Jurnal Penyesuaian'!$C:$C,TB!$A7,'Jurnal Penyesuaian'!G:G)</f>
        <v>450000</v>
      </c>
      <c r="I7" s="42">
        <f t="shared" si="1"/>
        <v>150000</v>
      </c>
      <c r="J7" s="15"/>
    </row>
    <row r="8" spans="1:11" x14ac:dyDescent="0.25">
      <c r="A8" s="41">
        <v>1201</v>
      </c>
      <c r="B8" s="41" t="s">
        <v>109</v>
      </c>
      <c r="C8" s="43">
        <f>_xlfn.IFNA(VLOOKUP(B8,'Prior BS&amp;IS'!$A$4:$C$26,3,FALSE),0)</f>
        <v>1610000</v>
      </c>
      <c r="D8" s="43">
        <f>SUMIF('Jurnal Transaksi'!$C:$C,TB!$A:$A,'Jurnal Transaksi'!F:F)</f>
        <v>450000</v>
      </c>
      <c r="E8" s="43">
        <f>SUMIF('Jurnal Transaksi'!$C:$C,TB!$A:$A,'Jurnal Transaksi'!G:G)</f>
        <v>0</v>
      </c>
      <c r="F8" s="42">
        <f t="shared" si="0"/>
        <v>2060000</v>
      </c>
      <c r="G8" s="43">
        <f>SUMIF('Jurnal Penyesuaian'!$C:$C,TB!$A8,'Jurnal Penyesuaian'!F:F)</f>
        <v>0</v>
      </c>
      <c r="H8" s="43">
        <f>SUMIF('Jurnal Penyesuaian'!$C:$C,TB!$A8,'Jurnal Penyesuaian'!G:G)</f>
        <v>0</v>
      </c>
      <c r="I8" s="42">
        <f t="shared" si="1"/>
        <v>2060000</v>
      </c>
      <c r="J8" s="15"/>
    </row>
    <row r="9" spans="1:11" x14ac:dyDescent="0.25">
      <c r="A9" s="41">
        <v>1202</v>
      </c>
      <c r="B9" s="41" t="s">
        <v>110</v>
      </c>
      <c r="C9" s="43">
        <f>_xlfn.IFNA(VLOOKUP(B9,'Prior BS&amp;IS'!$A$4:$C$26,3,FALSE),0)</f>
        <v>-525000</v>
      </c>
      <c r="D9" s="43">
        <f>SUMIF('Jurnal Transaksi'!$C:$C,TB!$A:$A,'Jurnal Transaksi'!F:F)</f>
        <v>0</v>
      </c>
      <c r="E9" s="43">
        <f>SUMIF('Jurnal Transaksi'!$C:$C,TB!$A:$A,'Jurnal Transaksi'!G:G)</f>
        <v>0</v>
      </c>
      <c r="F9" s="42">
        <f t="shared" si="0"/>
        <v>-525000</v>
      </c>
      <c r="G9" s="43">
        <f>SUMIF('Jurnal Penyesuaian'!$C:$C,TB!$A9,'Jurnal Penyesuaian'!F:F)</f>
        <v>0</v>
      </c>
      <c r="H9" s="43">
        <f>SUMIF('Jurnal Penyesuaian'!$C:$C,TB!$A9,'Jurnal Penyesuaian'!G:G)</f>
        <v>375000</v>
      </c>
      <c r="I9" s="42">
        <f t="shared" si="1"/>
        <v>-900000</v>
      </c>
      <c r="J9" s="15"/>
    </row>
    <row r="10" spans="1:11" x14ac:dyDescent="0.25">
      <c r="A10" s="41">
        <v>2101</v>
      </c>
      <c r="B10" s="41" t="s">
        <v>98</v>
      </c>
      <c r="C10" s="43">
        <f>-_xlfn.IFNA(VLOOKUP(B10,'Prior BS&amp;IS'!$A$4:$C$26,3,FALSE),0)</f>
        <v>-250000</v>
      </c>
      <c r="D10" s="43">
        <f>SUMIF('Jurnal Transaksi'!$C:$C,TB!$A:$A,'Jurnal Transaksi'!F:F)</f>
        <v>690000</v>
      </c>
      <c r="E10" s="43">
        <f>SUMIF('Jurnal Transaksi'!$C:$C,TB!$A:$A,'Jurnal Transaksi'!G:G)</f>
        <v>440000</v>
      </c>
      <c r="F10" s="42">
        <f t="shared" si="0"/>
        <v>0</v>
      </c>
      <c r="G10" s="43">
        <f>SUMIF('Jurnal Penyesuaian'!$C:$C,TB!$A10,'Jurnal Penyesuaian'!F:F)</f>
        <v>0</v>
      </c>
      <c r="H10" s="43">
        <f>SUMIF('Jurnal Penyesuaian'!$C:$C,TB!$A10,'Jurnal Penyesuaian'!G:G)</f>
        <v>0</v>
      </c>
      <c r="I10" s="42">
        <f t="shared" si="1"/>
        <v>0</v>
      </c>
      <c r="J10" s="15"/>
    </row>
    <row r="11" spans="1:11" x14ac:dyDescent="0.25">
      <c r="A11" s="41">
        <v>2102</v>
      </c>
      <c r="B11" s="41" t="s">
        <v>37</v>
      </c>
      <c r="C11" s="43">
        <f>-_xlfn.IFNA(VLOOKUP(B11,'Prior BS&amp;IS'!$A$4:$C$26,3,FALSE),0)</f>
        <v>-70000</v>
      </c>
      <c r="D11" s="43">
        <f>SUMIF('Jurnal Transaksi'!$C:$C,TB!$A:$A,'Jurnal Transaksi'!F:F)</f>
        <v>70000</v>
      </c>
      <c r="E11" s="43">
        <f>SUMIF('Jurnal Transaksi'!$C:$C,TB!$A:$A,'Jurnal Transaksi'!G:G)</f>
        <v>0</v>
      </c>
      <c r="F11" s="42">
        <f t="shared" si="0"/>
        <v>0</v>
      </c>
      <c r="G11" s="43">
        <f>SUMIF('Jurnal Penyesuaian'!$C:$C,TB!$A11,'Jurnal Penyesuaian'!F:F)</f>
        <v>0</v>
      </c>
      <c r="H11" s="43">
        <f>SUMIF('Jurnal Penyesuaian'!$C:$C,TB!$A11,'Jurnal Penyesuaian'!G:G)</f>
        <v>0</v>
      </c>
      <c r="I11" s="42">
        <f t="shared" si="1"/>
        <v>0</v>
      </c>
      <c r="J11" s="15"/>
    </row>
    <row r="12" spans="1:11" x14ac:dyDescent="0.25">
      <c r="A12" s="41">
        <v>2201</v>
      </c>
      <c r="B12" s="41" t="s">
        <v>106</v>
      </c>
      <c r="C12" s="43">
        <f>-_xlfn.IFNA(VLOOKUP(B12,'Prior BS&amp;IS'!$A$4:$C$26,3,FALSE),0)</f>
        <v>-500000</v>
      </c>
      <c r="D12" s="43">
        <f>SUMIF('Jurnal Transaksi'!$C:$C,TB!$A:$A,'Jurnal Transaksi'!F:F)</f>
        <v>250000</v>
      </c>
      <c r="E12" s="43">
        <f>SUMIF('Jurnal Transaksi'!$C:$C,TB!$A:$A,'Jurnal Transaksi'!G:G)</f>
        <v>0</v>
      </c>
      <c r="F12" s="42">
        <f t="shared" si="0"/>
        <v>-250000</v>
      </c>
      <c r="G12" s="43">
        <f>SUMIF('Jurnal Penyesuaian'!$C:$C,TB!$A12,'Jurnal Penyesuaian'!F:F)</f>
        <v>0</v>
      </c>
      <c r="H12" s="43">
        <f>SUMIF('Jurnal Penyesuaian'!$C:$C,TB!$A12,'Jurnal Penyesuaian'!G:G)</f>
        <v>0</v>
      </c>
      <c r="I12" s="42">
        <f t="shared" si="1"/>
        <v>-250000</v>
      </c>
      <c r="J12" s="15"/>
    </row>
    <row r="13" spans="1:11" x14ac:dyDescent="0.25">
      <c r="A13" s="41">
        <v>3101</v>
      </c>
      <c r="B13" s="41" t="s">
        <v>111</v>
      </c>
      <c r="C13" s="43">
        <f>-_xlfn.IFNA(VLOOKUP(B13,'Prior BS&amp;IS'!$A$4:$C$26,3,FALSE),0)</f>
        <v>-1216000</v>
      </c>
      <c r="D13" s="43">
        <f>SUMIF('Jurnal Transaksi'!$C:$C,TB!$A:$A,'Jurnal Transaksi'!F:F)</f>
        <v>0</v>
      </c>
      <c r="E13" s="43">
        <f>SUMIF('Jurnal Transaksi'!$C:$C,TB!$A:$A,'Jurnal Transaksi'!G:G)</f>
        <v>0</v>
      </c>
      <c r="F13" s="42">
        <f t="shared" si="0"/>
        <v>-1216000</v>
      </c>
      <c r="G13" s="43">
        <f>SUMIF('Jurnal Penyesuaian'!$C:$C,TB!$A13,'Jurnal Penyesuaian'!F:F)</f>
        <v>0</v>
      </c>
      <c r="H13" s="43">
        <f>SUMIF('Jurnal Penyesuaian'!$C:$C,TB!$A13,'Jurnal Penyesuaian'!G:G)</f>
        <v>0</v>
      </c>
      <c r="I13" s="42">
        <f t="shared" si="1"/>
        <v>-1216000</v>
      </c>
      <c r="J13" s="15"/>
    </row>
    <row r="14" spans="1:11" x14ac:dyDescent="0.25">
      <c r="A14" s="41">
        <v>3201</v>
      </c>
      <c r="B14" s="41" t="s">
        <v>119</v>
      </c>
      <c r="C14" s="43">
        <f>-_xlfn.IFNA(VLOOKUP(B14,'Prior BS&amp;IS'!$A$4:$C$26,3,FALSE),0)</f>
        <v>-1144250</v>
      </c>
      <c r="D14" s="43">
        <f>SUMIF('Jurnal Transaksi'!$C:$C,TB!$A:$A,'Jurnal Transaksi'!F:F)</f>
        <v>0</v>
      </c>
      <c r="E14" s="43">
        <f>SUMIF('Jurnal Transaksi'!$C:$C,TB!$A:$A,'Jurnal Transaksi'!G:G)</f>
        <v>0</v>
      </c>
      <c r="F14" s="42">
        <f t="shared" si="0"/>
        <v>-1144250</v>
      </c>
      <c r="G14" s="43">
        <f>SUMIF('Jurnal Penyesuaian'!$C:$C,TB!$A14,'Jurnal Penyesuaian'!F:F)</f>
        <v>0</v>
      </c>
      <c r="H14" s="43">
        <f>SUMIF('Jurnal Penyesuaian'!$C:$C,TB!$A14,'Jurnal Penyesuaian'!G:G)</f>
        <v>0</v>
      </c>
      <c r="I14" s="42">
        <f t="shared" si="1"/>
        <v>-1144250</v>
      </c>
      <c r="J14" s="15"/>
    </row>
    <row r="15" spans="1:11" x14ac:dyDescent="0.25">
      <c r="A15" s="41">
        <v>4001</v>
      </c>
      <c r="B15" s="41" t="s">
        <v>97</v>
      </c>
      <c r="C15" s="41"/>
      <c r="D15" s="43">
        <f>SUMIF('Jurnal Transaksi'!$C:$C,TB!$A:$A,'Jurnal Transaksi'!F:F)</f>
        <v>0</v>
      </c>
      <c r="E15" s="43">
        <f>SUMIF('Jurnal Transaksi'!$C:$C,TB!$A:$A,'Jurnal Transaksi'!G:G)</f>
        <v>6000000</v>
      </c>
      <c r="F15" s="42">
        <f t="shared" si="0"/>
        <v>-6000000</v>
      </c>
      <c r="G15" s="43">
        <f>SUMIF('Jurnal Penyesuaian'!$C:$C,TB!$A15,'Jurnal Penyesuaian'!F:F)</f>
        <v>0</v>
      </c>
      <c r="H15" s="43">
        <f>SUMIF('Jurnal Penyesuaian'!$C:$C,TB!$A15,'Jurnal Penyesuaian'!G:G)</f>
        <v>0</v>
      </c>
      <c r="I15" s="42">
        <f t="shared" si="1"/>
        <v>-6000000</v>
      </c>
      <c r="J15" s="15"/>
      <c r="K15" s="15"/>
    </row>
    <row r="16" spans="1:11" x14ac:dyDescent="0.25">
      <c r="A16" s="41">
        <v>5001</v>
      </c>
      <c r="B16" s="41" t="s">
        <v>15</v>
      </c>
      <c r="C16" s="41"/>
      <c r="D16" s="43">
        <f>SUMIF('Jurnal Transaksi'!$C:$C,TB!$A:$A,'Jurnal Transaksi'!F:F)</f>
        <v>1080000</v>
      </c>
      <c r="E16" s="43">
        <f>SUMIF('Jurnal Transaksi'!$C:$C,TB!$A:$A,'Jurnal Transaksi'!G:G)</f>
        <v>0</v>
      </c>
      <c r="F16" s="42">
        <f t="shared" si="0"/>
        <v>1080000</v>
      </c>
      <c r="G16" s="43">
        <f>SUMIF('Jurnal Penyesuaian'!$C:$C,TB!$A16,'Jurnal Penyesuaian'!F:F)</f>
        <v>0</v>
      </c>
      <c r="H16" s="43">
        <f>SUMIF('Jurnal Penyesuaian'!$C:$C,TB!$A16,'Jurnal Penyesuaian'!G:G)</f>
        <v>0</v>
      </c>
      <c r="I16" s="42">
        <f t="shared" si="1"/>
        <v>1080000</v>
      </c>
      <c r="J16" s="15"/>
      <c r="K16" s="15"/>
    </row>
    <row r="17" spans="1:10" x14ac:dyDescent="0.25">
      <c r="A17" s="41">
        <v>5002</v>
      </c>
      <c r="B17" s="41" t="s">
        <v>130</v>
      </c>
      <c r="C17" s="41"/>
      <c r="D17" s="43">
        <f>SUMIF('Jurnal Transaksi'!$C:$C,TB!$A:$A,'Jurnal Transaksi'!F:F)</f>
        <v>450000</v>
      </c>
      <c r="E17" s="43">
        <f>SUMIF('Jurnal Transaksi'!$C:$C,TB!$A:$A,'Jurnal Transaksi'!G:G)</f>
        <v>0</v>
      </c>
      <c r="F17" s="42">
        <f t="shared" si="0"/>
        <v>450000</v>
      </c>
      <c r="G17" s="43">
        <f>SUMIF('Jurnal Penyesuaian'!$C:$C,TB!$A17,'Jurnal Penyesuaian'!F:F)</f>
        <v>0</v>
      </c>
      <c r="H17" s="43">
        <f>SUMIF('Jurnal Penyesuaian'!$C:$C,TB!$A17,'Jurnal Penyesuaian'!G:G)</f>
        <v>0</v>
      </c>
      <c r="I17" s="42">
        <f t="shared" si="1"/>
        <v>450000</v>
      </c>
      <c r="J17" s="15"/>
    </row>
    <row r="18" spans="1:10" x14ac:dyDescent="0.25">
      <c r="A18" s="41">
        <v>5003</v>
      </c>
      <c r="B18" s="41" t="s">
        <v>129</v>
      </c>
      <c r="C18" s="41"/>
      <c r="D18" s="43">
        <f>SUMIF('Jurnal Transaksi'!$C:$C,TB!$A:$A,'Jurnal Transaksi'!F:F)</f>
        <v>0</v>
      </c>
      <c r="E18" s="43">
        <f>SUMIF('Jurnal Transaksi'!$C:$C,TB!$A:$A,'Jurnal Transaksi'!G:G)</f>
        <v>0</v>
      </c>
      <c r="F18" s="42">
        <f t="shared" si="0"/>
        <v>0</v>
      </c>
      <c r="G18" s="43">
        <f>SUMIF('Jurnal Penyesuaian'!$C:$C,TB!$A18,'Jurnal Penyesuaian'!F:F)</f>
        <v>730000</v>
      </c>
      <c r="H18" s="43">
        <f>SUMIF('Jurnal Penyesuaian'!$C:$C,TB!$A18,'Jurnal Penyesuaian'!G:G)</f>
        <v>0</v>
      </c>
      <c r="I18" s="42">
        <f t="shared" si="1"/>
        <v>730000</v>
      </c>
      <c r="J18" s="15"/>
    </row>
    <row r="19" spans="1:10" x14ac:dyDescent="0.25">
      <c r="A19" s="41">
        <v>6001</v>
      </c>
      <c r="B19" s="41" t="s">
        <v>105</v>
      </c>
      <c r="C19" s="41"/>
      <c r="D19" s="43">
        <f>SUMIF('Jurnal Transaksi'!$C:$C,TB!$A:$A,'Jurnal Transaksi'!F:F)</f>
        <v>460000</v>
      </c>
      <c r="E19" s="43">
        <f>SUMIF('Jurnal Transaksi'!$C:$C,TB!$A:$A,'Jurnal Transaksi'!G:G)</f>
        <v>0</v>
      </c>
      <c r="F19" s="42">
        <f t="shared" si="0"/>
        <v>460000</v>
      </c>
      <c r="G19" s="43">
        <f>SUMIF('Jurnal Penyesuaian'!$C:$C,TB!$A19,'Jurnal Penyesuaian'!F:F)</f>
        <v>0</v>
      </c>
      <c r="H19" s="43">
        <f>SUMIF('Jurnal Penyesuaian'!$C:$C,TB!$A19,'Jurnal Penyesuaian'!G:G)</f>
        <v>0</v>
      </c>
      <c r="I19" s="42">
        <f t="shared" si="1"/>
        <v>460000</v>
      </c>
    </row>
    <row r="20" spans="1:10" x14ac:dyDescent="0.25">
      <c r="A20" s="41">
        <v>6002</v>
      </c>
      <c r="B20" s="41" t="s">
        <v>99</v>
      </c>
      <c r="C20" s="41"/>
      <c r="D20" s="43">
        <f>SUMIF('Jurnal Transaksi'!$C:$C,TB!$A:$A,'Jurnal Transaksi'!F:F)</f>
        <v>720000</v>
      </c>
      <c r="E20" s="43">
        <f>SUMIF('Jurnal Transaksi'!$C:$C,TB!$A:$A,'Jurnal Transaksi'!G:G)</f>
        <v>0</v>
      </c>
      <c r="F20" s="42">
        <f t="shared" si="0"/>
        <v>720000</v>
      </c>
      <c r="G20" s="43">
        <f>SUMIF('Jurnal Penyesuaian'!$C:$C,TB!$A20,'Jurnal Penyesuaian'!F:F)</f>
        <v>0</v>
      </c>
      <c r="H20" s="43">
        <f>SUMIF('Jurnal Penyesuaian'!$C:$C,TB!$A20,'Jurnal Penyesuaian'!G:G)</f>
        <v>0</v>
      </c>
      <c r="I20" s="42">
        <f t="shared" si="1"/>
        <v>720000</v>
      </c>
    </row>
    <row r="21" spans="1:10" x14ac:dyDescent="0.25">
      <c r="A21" s="41">
        <v>6003</v>
      </c>
      <c r="B21" s="41" t="s">
        <v>158</v>
      </c>
      <c r="C21" s="41"/>
      <c r="D21" s="43">
        <f>SUMIF('Jurnal Transaksi'!$C:$C,TB!$A:$A,'Jurnal Transaksi'!F:F)</f>
        <v>175000</v>
      </c>
      <c r="E21" s="43">
        <f>SUMIF('Jurnal Transaksi'!$C:$C,TB!$A:$A,'Jurnal Transaksi'!G:G)</f>
        <v>0</v>
      </c>
      <c r="F21" s="42">
        <f t="shared" si="0"/>
        <v>175000</v>
      </c>
      <c r="G21" s="43">
        <f>SUMIF('Jurnal Penyesuaian'!$C:$C,TB!$A21,'Jurnal Penyesuaian'!F:F)</f>
        <v>0</v>
      </c>
      <c r="H21" s="43">
        <f>SUMIF('Jurnal Penyesuaian'!$C:$C,TB!$A21,'Jurnal Penyesuaian'!G:G)</f>
        <v>0</v>
      </c>
      <c r="I21" s="42">
        <f t="shared" si="1"/>
        <v>175000</v>
      </c>
    </row>
    <row r="22" spans="1:10" x14ac:dyDescent="0.25">
      <c r="A22" s="41">
        <v>6004</v>
      </c>
      <c r="B22" s="41" t="s">
        <v>157</v>
      </c>
      <c r="C22" s="41"/>
      <c r="D22" s="43">
        <f>SUMIF('Jurnal Transaksi'!$C:$C,TB!$A:$A,'Jurnal Transaksi'!F:F)</f>
        <v>0</v>
      </c>
      <c r="E22" s="43">
        <f>SUMIF('Jurnal Transaksi'!$C:$C,TB!$A:$A,'Jurnal Transaksi'!G:G)</f>
        <v>0</v>
      </c>
      <c r="F22" s="42">
        <f t="shared" si="0"/>
        <v>0</v>
      </c>
      <c r="G22" s="43">
        <f>SUMIF('Jurnal Penyesuaian'!$C:$C,TB!$A22,'Jurnal Penyesuaian'!F:F)</f>
        <v>375000</v>
      </c>
      <c r="H22" s="43">
        <f>SUMIF('Jurnal Penyesuaian'!$C:$C,TB!$A22,'Jurnal Penyesuaian'!G:G)</f>
        <v>0</v>
      </c>
      <c r="I22" s="42">
        <f t="shared" si="1"/>
        <v>375000</v>
      </c>
    </row>
    <row r="23" spans="1:10" x14ac:dyDescent="0.25">
      <c r="A23" s="41">
        <v>6005</v>
      </c>
      <c r="B23" s="41" t="s">
        <v>159</v>
      </c>
      <c r="C23" s="41"/>
      <c r="D23" s="43">
        <f>SUMIF('Jurnal Transaksi'!$C:$C,TB!$A:$A,'Jurnal Transaksi'!F:F)</f>
        <v>0</v>
      </c>
      <c r="E23" s="43">
        <f>SUMIF('Jurnal Transaksi'!$C:$C,TB!$A:$A,'Jurnal Transaksi'!G:G)</f>
        <v>0</v>
      </c>
      <c r="F23" s="42">
        <f t="shared" si="0"/>
        <v>0</v>
      </c>
      <c r="G23" s="43">
        <f>SUMIF('Jurnal Penyesuaian'!$C:$C,TB!$A23,'Jurnal Penyesuaian'!F:F)</f>
        <v>450000</v>
      </c>
      <c r="H23" s="43">
        <f>SUMIF('Jurnal Penyesuaian'!$C:$C,TB!$A23,'Jurnal Penyesuaian'!G:G)</f>
        <v>0</v>
      </c>
      <c r="I23" s="42">
        <f t="shared" si="1"/>
        <v>450000</v>
      </c>
    </row>
    <row r="24" spans="1:10" x14ac:dyDescent="0.25">
      <c r="A24" s="41">
        <v>6006</v>
      </c>
      <c r="B24" s="41" t="s">
        <v>104</v>
      </c>
      <c r="C24" s="41"/>
      <c r="D24" s="43">
        <f>SUMIF('Jurnal Transaksi'!$C:$C,TB!$A:$A,'Jurnal Transaksi'!F:F)</f>
        <v>145000</v>
      </c>
      <c r="E24" s="43">
        <f>SUMIF('Jurnal Transaksi'!$C:$C,TB!$A:$A,'Jurnal Transaksi'!G:G)</f>
        <v>0</v>
      </c>
      <c r="F24" s="42">
        <f t="shared" si="0"/>
        <v>145000</v>
      </c>
      <c r="G24" s="43">
        <f>SUMIF('Jurnal Penyesuaian'!$C:$C,TB!$A24,'Jurnal Penyesuaian'!F:F)</f>
        <v>0</v>
      </c>
      <c r="H24" s="43">
        <f>SUMIF('Jurnal Penyesuaian'!$C:$C,TB!$A24,'Jurnal Penyesuaian'!G:G)</f>
        <v>0</v>
      </c>
      <c r="I24" s="42">
        <f t="shared" si="1"/>
        <v>145000</v>
      </c>
    </row>
    <row r="25" spans="1:10" x14ac:dyDescent="0.25">
      <c r="A25" s="41">
        <v>6007</v>
      </c>
      <c r="B25" s="41" t="s">
        <v>107</v>
      </c>
      <c r="C25" s="41"/>
      <c r="D25" s="43">
        <f>SUMIF('Jurnal Transaksi'!$C:$C,TB!$A:$A,'Jurnal Transaksi'!F:F)</f>
        <v>45000</v>
      </c>
      <c r="E25" s="43">
        <f>SUMIF('Jurnal Transaksi'!$C:$C,TB!$A:$A,'Jurnal Transaksi'!G:G)</f>
        <v>0</v>
      </c>
      <c r="F25" s="42">
        <f t="shared" si="0"/>
        <v>45000</v>
      </c>
      <c r="G25" s="43">
        <f>SUMIF('Jurnal Penyesuaian'!$C:$C,TB!$A25,'Jurnal Penyesuaian'!F:F)</f>
        <v>0</v>
      </c>
      <c r="H25" s="43">
        <f>SUMIF('Jurnal Penyesuaian'!$C:$C,TB!$A25,'Jurnal Penyesuaian'!G:G)</f>
        <v>0</v>
      </c>
      <c r="I25" s="42">
        <f t="shared" si="1"/>
        <v>45000</v>
      </c>
    </row>
    <row r="26" spans="1:10" x14ac:dyDescent="0.25">
      <c r="A26" s="41">
        <v>7001</v>
      </c>
      <c r="B26" s="41" t="s">
        <v>160</v>
      </c>
      <c r="C26" s="41"/>
      <c r="D26" s="43">
        <f>SUMIF('Jurnal Transaksi'!$C:$C,TB!$A:$A,'Jurnal Transaksi'!F:F)</f>
        <v>0</v>
      </c>
      <c r="E26" s="43">
        <f>SUMIF('Jurnal Transaksi'!$C:$C,TB!$A:$A,'Jurnal Transaksi'!G:G)</f>
        <v>0</v>
      </c>
      <c r="F26" s="42">
        <f t="shared" ref="F26" si="2">C26+D26-E26</f>
        <v>0</v>
      </c>
      <c r="G26" s="43">
        <f>SUMIF('Jurnal Penyesuaian'!$C:$C,TB!$A26,'Jurnal Penyesuaian'!F:F)</f>
        <v>301400</v>
      </c>
      <c r="H26" s="43">
        <f>SUMIF('Jurnal Penyesuaian'!$C:$C,TB!$A26,'Jurnal Penyesuaian'!G:G)</f>
        <v>0</v>
      </c>
      <c r="I26" s="42">
        <f t="shared" ref="I26" si="3">F26+G26-H26</f>
        <v>301400</v>
      </c>
    </row>
  </sheetData>
  <mergeCells count="5">
    <mergeCell ref="A2:A3"/>
    <mergeCell ref="G2:I2"/>
    <mergeCell ref="C2:C3"/>
    <mergeCell ref="D2:F2"/>
    <mergeCell ref="B2:B3"/>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296A-8F3E-A741-9D43-4BB822C80F86}">
  <sheetPr codeName="Sheet11">
    <tabColor theme="7"/>
  </sheetPr>
  <dimension ref="A1:R64"/>
  <sheetViews>
    <sheetView showGridLines="0" view="pageBreakPreview" topLeftCell="A4" zoomScale="156" zoomScaleNormal="156" zoomScaleSheetLayoutView="156" workbookViewId="0">
      <selection activeCell="F14" sqref="F14"/>
    </sheetView>
  </sheetViews>
  <sheetFormatPr defaultColWidth="11" defaultRowHeight="15.75" x14ac:dyDescent="0.25"/>
  <cols>
    <col min="1" max="1" width="36" bestFit="1" customWidth="1"/>
    <col min="2" max="3" width="11.625" style="12" customWidth="1"/>
    <col min="4" max="4" width="2.875" style="28" customWidth="1"/>
    <col min="5" max="5" width="38" bestFit="1" customWidth="1"/>
    <col min="6" max="7" width="11.625" customWidth="1"/>
    <col min="10" max="10" width="11.125" bestFit="1" customWidth="1"/>
    <col min="16" max="16" width="29.125" bestFit="1" customWidth="1"/>
    <col min="17" max="18" width="11.125" bestFit="1" customWidth="1"/>
  </cols>
  <sheetData>
    <row r="1" spans="1:7" x14ac:dyDescent="0.25">
      <c r="A1" s="14" t="s">
        <v>155</v>
      </c>
    </row>
    <row r="2" spans="1:7" x14ac:dyDescent="0.25">
      <c r="A2" s="14" t="s">
        <v>186</v>
      </c>
    </row>
    <row r="3" spans="1:7" x14ac:dyDescent="0.25">
      <c r="F3" s="15"/>
      <c r="G3" s="15"/>
    </row>
    <row r="4" spans="1:7" x14ac:dyDescent="0.25">
      <c r="A4" s="14" t="s">
        <v>187</v>
      </c>
      <c r="E4" s="14" t="s">
        <v>202</v>
      </c>
      <c r="F4" s="15"/>
      <c r="G4" s="15"/>
    </row>
    <row r="5" spans="1:7" x14ac:dyDescent="0.25">
      <c r="B5" s="34" t="s">
        <v>8</v>
      </c>
      <c r="C5" s="34" t="s">
        <v>3</v>
      </c>
      <c r="F5" s="34" t="s">
        <v>8</v>
      </c>
      <c r="G5" s="34" t="s">
        <v>3</v>
      </c>
    </row>
    <row r="6" spans="1:7" x14ac:dyDescent="0.25">
      <c r="A6" s="14" t="s">
        <v>189</v>
      </c>
    </row>
    <row r="7" spans="1:7" x14ac:dyDescent="0.25">
      <c r="A7" s="31" t="s">
        <v>185</v>
      </c>
      <c r="B7" s="12">
        <f>'BS PL'!B44</f>
        <v>1068600</v>
      </c>
      <c r="C7" s="12">
        <f>'BS PL'!C44</f>
        <v>610250</v>
      </c>
      <c r="E7" s="14" t="s">
        <v>189</v>
      </c>
    </row>
    <row r="8" spans="1:7" x14ac:dyDescent="0.25">
      <c r="A8" s="31" t="s">
        <v>188</v>
      </c>
      <c r="E8" s="30" t="s">
        <v>203</v>
      </c>
      <c r="F8" s="15">
        <f>F43</f>
        <v>5580000</v>
      </c>
      <c r="G8" s="15">
        <f>G43</f>
        <v>3740000</v>
      </c>
    </row>
    <row r="9" spans="1:7" x14ac:dyDescent="0.25">
      <c r="A9" s="32" t="s">
        <v>157</v>
      </c>
      <c r="B9" s="12">
        <f>TB!I22</f>
        <v>375000</v>
      </c>
      <c r="C9" s="12">
        <f>'List Aset Tetap'!H18</f>
        <v>325000</v>
      </c>
      <c r="E9" s="31" t="s">
        <v>214</v>
      </c>
      <c r="F9" s="15">
        <f>F47</f>
        <v>-2280000</v>
      </c>
      <c r="G9" s="15">
        <f>G47</f>
        <v>-2310000</v>
      </c>
    </row>
    <row r="10" spans="1:7" x14ac:dyDescent="0.25">
      <c r="A10" s="32" t="s">
        <v>159</v>
      </c>
      <c r="B10" s="12">
        <f>TB!I23</f>
        <v>450000</v>
      </c>
      <c r="C10" s="12">
        <v>0</v>
      </c>
      <c r="E10" s="31" t="s">
        <v>207</v>
      </c>
      <c r="F10" s="15">
        <f>F53</f>
        <v>-720000</v>
      </c>
      <c r="G10" s="12">
        <f>G53</f>
        <v>-150000</v>
      </c>
    </row>
    <row r="11" spans="1:7" x14ac:dyDescent="0.25">
      <c r="A11" s="30"/>
      <c r="E11" s="31" t="s">
        <v>208</v>
      </c>
      <c r="F11" s="15">
        <f>F56</f>
        <v>-1300000</v>
      </c>
      <c r="G11" s="15">
        <f>G56</f>
        <v>-295500</v>
      </c>
    </row>
    <row r="12" spans="1:7" x14ac:dyDescent="0.25">
      <c r="A12" s="30" t="s">
        <v>190</v>
      </c>
      <c r="E12" s="31" t="s">
        <v>206</v>
      </c>
      <c r="F12" s="15">
        <f>F63</f>
        <v>-45000</v>
      </c>
      <c r="G12" s="12">
        <f>G63</f>
        <v>-45000</v>
      </c>
    </row>
    <row r="13" spans="1:7" x14ac:dyDescent="0.25">
      <c r="A13" s="32" t="str">
        <f>'BS PL'!A8</f>
        <v>Piutang usaha</v>
      </c>
      <c r="B13" s="44">
        <f>'BS PL'!C8-'BS PL'!B8</f>
        <v>-420000</v>
      </c>
      <c r="C13" s="12">
        <f>'Prior BS&amp;IS'!B5-'Prior BS&amp;IS'!C5</f>
        <v>-60000</v>
      </c>
      <c r="E13" s="31" t="s">
        <v>166</v>
      </c>
      <c r="F13" s="15">
        <f>F64</f>
        <v>-301400</v>
      </c>
      <c r="G13" s="15">
        <f>-'BS PL'!C43</f>
        <v>-74250</v>
      </c>
    </row>
    <row r="14" spans="1:7" x14ac:dyDescent="0.25">
      <c r="A14" s="32" t="str">
        <f>'BS PL'!A9</f>
        <v>Persediaan</v>
      </c>
      <c r="B14" s="44">
        <f>'BS PL'!C9-'BS PL'!B9</f>
        <v>380000</v>
      </c>
      <c r="C14" s="12">
        <f>'Prior BS&amp;IS'!B6-'Prior BS&amp;IS'!C6</f>
        <v>-80000</v>
      </c>
    </row>
    <row r="15" spans="1:7" x14ac:dyDescent="0.25">
      <c r="A15" s="32" t="str">
        <f>'BS PL'!A10</f>
        <v>Biaya dibayar dimuka</v>
      </c>
      <c r="B15" s="44">
        <f>-TB!D7</f>
        <v>-600000</v>
      </c>
      <c r="C15" s="12">
        <v>0</v>
      </c>
      <c r="E15" s="15"/>
      <c r="F15" s="15"/>
    </row>
    <row r="16" spans="1:7" x14ac:dyDescent="0.25">
      <c r="A16" s="32" t="str">
        <f>'BS PL'!A19</f>
        <v>Utang usaha</v>
      </c>
      <c r="B16" s="44">
        <v>-250000</v>
      </c>
      <c r="C16" s="12">
        <f>'Prior BS&amp;IS'!C15-'Prior BS&amp;IS'!B15</f>
        <v>50000</v>
      </c>
      <c r="F16" s="15"/>
    </row>
    <row r="17" spans="1:18" x14ac:dyDescent="0.25">
      <c r="A17" s="32" t="str">
        <f>'BS PL'!A20</f>
        <v>Biaya Yang Masih Harus Dibayar</v>
      </c>
      <c r="B17" s="45">
        <f>'BS PL'!B20-'BS PL'!C20</f>
        <v>-70000</v>
      </c>
      <c r="C17" s="25">
        <f>'Prior BS&amp;IS'!C16-'Prior BS&amp;IS'!B16</f>
        <v>20000</v>
      </c>
      <c r="F17" s="40"/>
      <c r="G17" s="40"/>
    </row>
    <row r="18" spans="1:18" x14ac:dyDescent="0.25">
      <c r="A18" t="s">
        <v>191</v>
      </c>
      <c r="B18" s="24">
        <f>SUM(B7:B17)</f>
        <v>933600</v>
      </c>
      <c r="C18" s="24">
        <f>SUM(C7:C17)</f>
        <v>865250</v>
      </c>
      <c r="E18" t="s">
        <v>191</v>
      </c>
      <c r="F18" s="24">
        <f>SUM(F8:F13)</f>
        <v>933600</v>
      </c>
      <c r="G18" s="24">
        <f>SUM(G8:G13)</f>
        <v>865250</v>
      </c>
      <c r="H18" s="15"/>
    </row>
    <row r="20" spans="1:18" x14ac:dyDescent="0.25">
      <c r="A20" s="14" t="s">
        <v>192</v>
      </c>
      <c r="E20" s="14" t="s">
        <v>192</v>
      </c>
      <c r="F20" s="12"/>
      <c r="G20" s="12"/>
    </row>
    <row r="21" spans="1:18" x14ac:dyDescent="0.25">
      <c r="A21" s="30" t="s">
        <v>193</v>
      </c>
      <c r="B21" s="25">
        <f>-SUM('List Aset Tetap'!F28:F29)</f>
        <v>-450000</v>
      </c>
      <c r="C21" s="25">
        <f>-SUM('List Aset Tetap'!F15:F17)</f>
        <v>-610000</v>
      </c>
      <c r="E21" s="30" t="s">
        <v>193</v>
      </c>
      <c r="F21" s="25">
        <f>-SUM('List Aset Tetap'!F28:F29)</f>
        <v>-450000</v>
      </c>
      <c r="G21" s="25">
        <f>-SUM('List Aset Tetap'!F15:F17)</f>
        <v>-610000</v>
      </c>
      <c r="Q21" s="12"/>
      <c r="R21" s="12"/>
    </row>
    <row r="22" spans="1:18" x14ac:dyDescent="0.25">
      <c r="A22" t="s">
        <v>204</v>
      </c>
      <c r="B22" s="24">
        <f>B21</f>
        <v>-450000</v>
      </c>
      <c r="C22" s="24">
        <f>C21</f>
        <v>-610000</v>
      </c>
      <c r="E22" t="s">
        <v>195</v>
      </c>
      <c r="F22" s="24">
        <f>F21</f>
        <v>-450000</v>
      </c>
      <c r="G22" s="24">
        <f>G21</f>
        <v>-610000</v>
      </c>
      <c r="Q22" s="12"/>
      <c r="R22" s="12"/>
    </row>
    <row r="23" spans="1:18" x14ac:dyDescent="0.25">
      <c r="F23" s="12"/>
      <c r="G23" s="12"/>
      <c r="Q23" s="12"/>
      <c r="R23" s="12"/>
    </row>
    <row r="24" spans="1:18" x14ac:dyDescent="0.25">
      <c r="A24" s="14" t="s">
        <v>194</v>
      </c>
      <c r="E24" s="14" t="s">
        <v>194</v>
      </c>
      <c r="F24" s="12"/>
      <c r="G24" s="12"/>
      <c r="Q24" s="12"/>
      <c r="R24" s="12"/>
    </row>
    <row r="25" spans="1:18" x14ac:dyDescent="0.25">
      <c r="A25" s="30" t="s">
        <v>196</v>
      </c>
      <c r="C25" s="12">
        <f>'Schedule Loan Payment'!B1</f>
        <v>750000</v>
      </c>
      <c r="E25" s="30" t="s">
        <v>196</v>
      </c>
      <c r="F25" s="12"/>
      <c r="G25" s="12">
        <f>'Schedule Loan Payment'!B1</f>
        <v>750000</v>
      </c>
      <c r="Q25" s="12"/>
      <c r="R25" s="12"/>
    </row>
    <row r="26" spans="1:18" x14ac:dyDescent="0.25">
      <c r="A26" s="30" t="s">
        <v>197</v>
      </c>
      <c r="B26" s="25">
        <f>SUM('Schedule Loan Payment'!C11:C14)</f>
        <v>250000</v>
      </c>
      <c r="C26" s="25">
        <f>-SUM('Schedule Loan Payment'!C7:C10)</f>
        <v>-250000</v>
      </c>
      <c r="E26" s="30" t="s">
        <v>197</v>
      </c>
      <c r="F26" s="25">
        <f>B26</f>
        <v>250000</v>
      </c>
      <c r="G26" s="25">
        <f>-SUM('Schedule Loan Payment'!C7:C10)</f>
        <v>-250000</v>
      </c>
      <c r="Q26" s="12"/>
      <c r="R26" s="12"/>
    </row>
    <row r="27" spans="1:18" ht="31.5" x14ac:dyDescent="0.25">
      <c r="A27" s="33" t="s">
        <v>205</v>
      </c>
      <c r="B27" s="24">
        <f>SUM(B25:B26)</f>
        <v>250000</v>
      </c>
      <c r="C27" s="24">
        <f>SUM(C25:C26)</f>
        <v>500000</v>
      </c>
      <c r="E27" s="33" t="s">
        <v>205</v>
      </c>
      <c r="F27" s="24">
        <f>SUM(F25:F26)</f>
        <v>250000</v>
      </c>
      <c r="G27" s="24">
        <f>SUM(G25:G26)</f>
        <v>500000</v>
      </c>
      <c r="Q27" s="12"/>
      <c r="R27" s="12"/>
    </row>
    <row r="28" spans="1:18" x14ac:dyDescent="0.25">
      <c r="F28" s="12"/>
      <c r="G28" s="12"/>
      <c r="Q28" s="12"/>
      <c r="R28" s="12"/>
    </row>
    <row r="29" spans="1:18" x14ac:dyDescent="0.25">
      <c r="A29" t="s">
        <v>198</v>
      </c>
      <c r="B29" s="12">
        <f>B18+B22-B27</f>
        <v>233600</v>
      </c>
      <c r="C29" s="12">
        <f>C18+C22+C27</f>
        <v>755250</v>
      </c>
      <c r="E29" t="s">
        <v>198</v>
      </c>
      <c r="F29" s="12">
        <f>F18+F22-F27</f>
        <v>233600</v>
      </c>
      <c r="G29" s="12">
        <f>G18+G22+G27</f>
        <v>755250</v>
      </c>
      <c r="Q29" s="12"/>
      <c r="R29" s="12"/>
    </row>
    <row r="30" spans="1:18" x14ac:dyDescent="0.25">
      <c r="F30" s="12"/>
      <c r="G30" s="12"/>
      <c r="Q30" s="12"/>
      <c r="R30" s="12"/>
    </row>
    <row r="31" spans="1:18" x14ac:dyDescent="0.25">
      <c r="A31" t="s">
        <v>199</v>
      </c>
      <c r="B31" s="12">
        <f>C33</f>
        <v>1255250</v>
      </c>
      <c r="C31" s="12">
        <f>'Prior BS&amp;IS'!B4</f>
        <v>500000</v>
      </c>
      <c r="E31" t="s">
        <v>199</v>
      </c>
      <c r="F31" s="12">
        <f>G33</f>
        <v>1255250</v>
      </c>
      <c r="G31" s="12">
        <f>C31</f>
        <v>500000</v>
      </c>
      <c r="Q31" s="12"/>
      <c r="R31" s="12"/>
    </row>
    <row r="32" spans="1:18" x14ac:dyDescent="0.25">
      <c r="F32" s="12"/>
      <c r="G32" s="12"/>
      <c r="Q32" s="12"/>
      <c r="R32" s="12"/>
    </row>
    <row r="33" spans="1:18" x14ac:dyDescent="0.25">
      <c r="A33" t="s">
        <v>200</v>
      </c>
      <c r="B33" s="12">
        <f>B29+B31</f>
        <v>1488850</v>
      </c>
      <c r="C33" s="12">
        <f>C29+C31</f>
        <v>1255250</v>
      </c>
      <c r="E33" t="s">
        <v>200</v>
      </c>
      <c r="F33" s="12">
        <f>F29+F31</f>
        <v>1488850</v>
      </c>
      <c r="G33" s="12">
        <f>G29+G31</f>
        <v>1255250</v>
      </c>
    </row>
    <row r="34" spans="1:18" x14ac:dyDescent="0.25">
      <c r="F34" s="12"/>
      <c r="G34" s="12"/>
      <c r="P34" s="14"/>
    </row>
    <row r="35" spans="1:18" x14ac:dyDescent="0.25">
      <c r="A35" t="s">
        <v>201</v>
      </c>
      <c r="B35" s="12">
        <f>'BS PL'!B7-CF!B33</f>
        <v>0</v>
      </c>
      <c r="C35" s="12">
        <f>'BS PL'!C7-CF!C33</f>
        <v>0</v>
      </c>
      <c r="E35" t="s">
        <v>201</v>
      </c>
      <c r="F35" s="12">
        <f>'BS PL'!B7-CF!F33</f>
        <v>0</v>
      </c>
      <c r="G35" s="12">
        <f>'BS PL'!C7-CF!G33</f>
        <v>0</v>
      </c>
      <c r="Q35" s="12"/>
      <c r="R35" s="12"/>
    </row>
    <row r="36" spans="1:18" x14ac:dyDescent="0.25">
      <c r="Q36" s="12"/>
      <c r="R36" s="12"/>
    </row>
    <row r="37" spans="1:18" x14ac:dyDescent="0.25">
      <c r="Q37" s="12"/>
      <c r="R37" s="12"/>
    </row>
    <row r="38" spans="1:18" x14ac:dyDescent="0.25">
      <c r="Q38" s="12"/>
      <c r="R38" s="12"/>
    </row>
    <row r="39" spans="1:18" x14ac:dyDescent="0.25">
      <c r="Q39" s="12"/>
      <c r="R39" s="12"/>
    </row>
    <row r="40" spans="1:18" x14ac:dyDescent="0.25">
      <c r="Q40" s="12"/>
      <c r="R40" s="12"/>
    </row>
    <row r="41" spans="1:18" x14ac:dyDescent="0.25">
      <c r="Q41" s="12"/>
      <c r="R41" s="12"/>
    </row>
    <row r="42" spans="1:18" x14ac:dyDescent="0.25">
      <c r="E42" s="14" t="s">
        <v>209</v>
      </c>
      <c r="Q42" s="12"/>
      <c r="R42" s="12"/>
    </row>
    <row r="43" spans="1:18" x14ac:dyDescent="0.25">
      <c r="E43" s="14" t="s">
        <v>203</v>
      </c>
      <c r="F43" s="23">
        <f>SUM(F44:F45)</f>
        <v>5580000</v>
      </c>
      <c r="G43" s="23">
        <f>SUM(G44:G45)</f>
        <v>3740000</v>
      </c>
      <c r="Q43" s="12"/>
      <c r="R43" s="12"/>
    </row>
    <row r="44" spans="1:18" x14ac:dyDescent="0.25">
      <c r="E44" s="30" t="s">
        <v>97</v>
      </c>
      <c r="F44" s="15">
        <f>'BS PL'!B33</f>
        <v>6000000</v>
      </c>
      <c r="G44" s="15">
        <f>'BS PL'!C33</f>
        <v>3800000</v>
      </c>
      <c r="I44" s="15"/>
      <c r="J44" s="15"/>
      <c r="Q44" s="12"/>
      <c r="R44" s="12"/>
    </row>
    <row r="45" spans="1:18" x14ac:dyDescent="0.25">
      <c r="E45" s="30" t="s">
        <v>210</v>
      </c>
      <c r="F45" s="15">
        <f>B13</f>
        <v>-420000</v>
      </c>
      <c r="G45" s="15">
        <f>C13</f>
        <v>-60000</v>
      </c>
      <c r="I45" s="15"/>
      <c r="J45" s="15"/>
      <c r="Q45" s="12"/>
      <c r="R45" s="12"/>
    </row>
    <row r="46" spans="1:18" x14ac:dyDescent="0.25">
      <c r="I46" s="15"/>
      <c r="J46" s="15"/>
      <c r="Q46" s="12"/>
    </row>
    <row r="47" spans="1:18" x14ac:dyDescent="0.25">
      <c r="E47" s="14" t="s">
        <v>214</v>
      </c>
      <c r="F47" s="23">
        <f>SUM(F48:F51)</f>
        <v>-2280000</v>
      </c>
      <c r="G47" s="23">
        <f>SUM(G48:G51)</f>
        <v>-2310000</v>
      </c>
      <c r="J47" s="15"/>
      <c r="Q47" s="12"/>
    </row>
    <row r="48" spans="1:18" x14ac:dyDescent="0.25">
      <c r="E48" s="31" t="s">
        <v>15</v>
      </c>
      <c r="F48" s="15">
        <f>-SUM(TB!I16,TB!I18)</f>
        <v>-1810000</v>
      </c>
      <c r="G48" s="15">
        <f>-'BS PL'!C34</f>
        <v>-2280000</v>
      </c>
      <c r="J48" s="15"/>
      <c r="Q48" s="12"/>
    </row>
    <row r="49" spans="5:17" x14ac:dyDescent="0.25">
      <c r="E49" s="30" t="s">
        <v>211</v>
      </c>
      <c r="F49" s="15">
        <f>B14</f>
        <v>380000</v>
      </c>
      <c r="G49" s="15">
        <f>C14</f>
        <v>-80000</v>
      </c>
      <c r="J49" s="15"/>
      <c r="Q49" s="12"/>
    </row>
    <row r="50" spans="5:17" x14ac:dyDescent="0.25">
      <c r="E50" s="30" t="s">
        <v>212</v>
      </c>
      <c r="F50" s="15">
        <f>B16</f>
        <v>-250000</v>
      </c>
      <c r="G50" s="15">
        <f>C16</f>
        <v>50000</v>
      </c>
      <c r="J50" s="15"/>
      <c r="Q50" s="12"/>
    </row>
    <row r="51" spans="5:17" x14ac:dyDescent="0.25">
      <c r="E51" s="30" t="s">
        <v>215</v>
      </c>
      <c r="F51" s="15">
        <f>B15</f>
        <v>-600000</v>
      </c>
      <c r="Q51" s="12"/>
    </row>
    <row r="52" spans="5:17" x14ac:dyDescent="0.25">
      <c r="Q52" s="12"/>
    </row>
    <row r="53" spans="5:17" x14ac:dyDescent="0.25">
      <c r="E53" s="14" t="s">
        <v>207</v>
      </c>
      <c r="F53" s="23">
        <f>F54</f>
        <v>-720000</v>
      </c>
      <c r="G53" s="23">
        <f>G54</f>
        <v>-150000</v>
      </c>
      <c r="Q53" s="12"/>
    </row>
    <row r="54" spans="5:17" x14ac:dyDescent="0.25">
      <c r="E54" s="30" t="str">
        <f>TB!B20</f>
        <v>Beban gaji</v>
      </c>
      <c r="F54" s="15">
        <f>-TB!I20</f>
        <v>-720000</v>
      </c>
      <c r="G54" s="15">
        <f>-150000</f>
        <v>-150000</v>
      </c>
      <c r="Q54" s="12"/>
    </row>
    <row r="55" spans="5:17" x14ac:dyDescent="0.25">
      <c r="Q55" s="12"/>
    </row>
    <row r="56" spans="5:17" x14ac:dyDescent="0.25">
      <c r="E56" s="14" t="s">
        <v>208</v>
      </c>
      <c r="F56" s="44">
        <f>SUM(F57:F61)</f>
        <v>-1300000</v>
      </c>
      <c r="G56" s="12">
        <f>SUM(G58:G61)</f>
        <v>-295500</v>
      </c>
      <c r="Q56" s="12"/>
    </row>
    <row r="57" spans="5:17" x14ac:dyDescent="0.25">
      <c r="E57" s="30" t="s">
        <v>130</v>
      </c>
      <c r="F57" s="15">
        <f>-TB!F17</f>
        <v>-450000</v>
      </c>
      <c r="Q57" s="12"/>
    </row>
    <row r="58" spans="5:17" x14ac:dyDescent="0.25">
      <c r="E58" s="30" t="s">
        <v>105</v>
      </c>
      <c r="F58" s="15">
        <f>-TB!I19</f>
        <v>-460000</v>
      </c>
    </row>
    <row r="59" spans="5:17" x14ac:dyDescent="0.25">
      <c r="E59" s="30" t="s">
        <v>158</v>
      </c>
      <c r="F59" s="15">
        <f>-TB!I21</f>
        <v>-175000</v>
      </c>
    </row>
    <row r="60" spans="5:17" x14ac:dyDescent="0.25">
      <c r="E60" s="30" t="s">
        <v>104</v>
      </c>
      <c r="F60" s="15">
        <f>-TB!I24</f>
        <v>-145000</v>
      </c>
      <c r="G60" s="12">
        <f>-'BS PL'!C38+C9-G54</f>
        <v>-315500</v>
      </c>
    </row>
    <row r="61" spans="5:17" x14ac:dyDescent="0.25">
      <c r="E61" s="30" t="s">
        <v>213</v>
      </c>
      <c r="F61" s="15">
        <f>B17</f>
        <v>-70000</v>
      </c>
      <c r="G61" s="15">
        <f>C17</f>
        <v>20000</v>
      </c>
    </row>
    <row r="63" spans="5:17" x14ac:dyDescent="0.25">
      <c r="E63" s="14" t="s">
        <v>206</v>
      </c>
      <c r="F63" s="15">
        <f>-'BS PL'!B41</f>
        <v>-45000</v>
      </c>
      <c r="G63" s="15">
        <f>-'BS PL'!C41</f>
        <v>-45000</v>
      </c>
    </row>
    <row r="64" spans="5:17" x14ac:dyDescent="0.25">
      <c r="E64" s="14" t="s">
        <v>166</v>
      </c>
      <c r="F64" s="15">
        <f>-'BS PL'!B43</f>
        <v>-301400</v>
      </c>
      <c r="G64" s="15">
        <f>-'BS PL'!C43</f>
        <v>-74250</v>
      </c>
    </row>
  </sheetData>
  <pageMargins left="0.7" right="0.7" top="0.75" bottom="0.75" header="0.3" footer="0.3"/>
  <pageSetup paperSize="9" orientation="portrait" r:id="rId1"/>
  <rowBreaks count="1" manualBreakCount="1">
    <brk id="36" max="6" man="1"/>
  </rowBreaks>
  <ignoredErrors>
    <ignoredError sqref="B21:C21 F21:G21 C26 G26"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486EA-A2AB-F142-B34C-930CF283CDCD}">
  <sheetPr codeName="Sheet12"/>
  <dimension ref="A1:G51"/>
  <sheetViews>
    <sheetView zoomScale="156" workbookViewId="0">
      <selection activeCell="B1" sqref="B1"/>
    </sheetView>
  </sheetViews>
  <sheetFormatPr defaultColWidth="10.875" defaultRowHeight="15.75" x14ac:dyDescent="0.25"/>
  <cols>
    <col min="1" max="1" width="30.375" style="3" bestFit="1" customWidth="1"/>
    <col min="2" max="3" width="11.125" style="4" bestFit="1" customWidth="1"/>
    <col min="4" max="4" width="11.125" style="4" customWidth="1"/>
    <col min="5" max="5" width="11.125" style="3" bestFit="1" customWidth="1"/>
    <col min="6" max="6" width="11.5" style="3" bestFit="1" customWidth="1"/>
    <col min="7" max="16384" width="10.875" style="3"/>
  </cols>
  <sheetData>
    <row r="1" spans="1:5" x14ac:dyDescent="0.25">
      <c r="B1" s="4" t="s">
        <v>216</v>
      </c>
      <c r="C1" s="4" t="s">
        <v>216</v>
      </c>
      <c r="D1" s="4" t="s">
        <v>221</v>
      </c>
      <c r="E1" s="3" t="s">
        <v>216</v>
      </c>
    </row>
    <row r="2" spans="1:5" x14ac:dyDescent="0.25">
      <c r="B2" s="18" t="s">
        <v>13</v>
      </c>
      <c r="C2" s="18" t="s">
        <v>3</v>
      </c>
      <c r="D2" s="18" t="s">
        <v>8</v>
      </c>
      <c r="E2" s="2" t="s">
        <v>8</v>
      </c>
    </row>
    <row r="3" spans="1:5" x14ac:dyDescent="0.25">
      <c r="A3" s="2" t="s">
        <v>115</v>
      </c>
      <c r="B3" s="18"/>
      <c r="C3" s="18"/>
      <c r="D3" s="18"/>
    </row>
    <row r="4" spans="1:5" x14ac:dyDescent="0.25">
      <c r="A4" s="3" t="s">
        <v>23</v>
      </c>
      <c r="B4" s="19">
        <v>500000</v>
      </c>
      <c r="C4" s="19">
        <v>1255250</v>
      </c>
      <c r="D4" s="19"/>
      <c r="E4" s="7">
        <f>'BS PL'!B7</f>
        <v>1488850</v>
      </c>
    </row>
    <row r="5" spans="1:5" x14ac:dyDescent="0.25">
      <c r="A5" s="3" t="s">
        <v>24</v>
      </c>
      <c r="B5" s="19">
        <v>300000</v>
      </c>
      <c r="C5" s="19">
        <v>360000</v>
      </c>
      <c r="D5" s="19"/>
      <c r="E5" s="7">
        <f>'BS PL'!B8</f>
        <v>780000</v>
      </c>
    </row>
    <row r="6" spans="1:5" x14ac:dyDescent="0.25">
      <c r="A6" s="3" t="s">
        <v>25</v>
      </c>
      <c r="B6" s="19">
        <v>400000</v>
      </c>
      <c r="C6" s="19">
        <v>480000</v>
      </c>
      <c r="D6" s="19"/>
      <c r="E6" s="7">
        <f>'BS PL'!B9</f>
        <v>100000</v>
      </c>
    </row>
    <row r="7" spans="1:5" x14ac:dyDescent="0.25">
      <c r="A7" s="3" t="s">
        <v>217</v>
      </c>
      <c r="B7" s="5">
        <v>0</v>
      </c>
      <c r="C7" s="5">
        <v>0</v>
      </c>
      <c r="D7" s="5"/>
      <c r="E7" s="37">
        <f>'BS PL'!B10</f>
        <v>150000</v>
      </c>
    </row>
    <row r="8" spans="1:5" x14ac:dyDescent="0.25">
      <c r="A8" s="2" t="s">
        <v>26</v>
      </c>
      <c r="B8" s="6">
        <v>1200000</v>
      </c>
      <c r="C8" s="6">
        <v>2095250</v>
      </c>
      <c r="D8" s="6"/>
      <c r="E8" s="36">
        <f>SUM(E4:E7)</f>
        <v>2518850</v>
      </c>
    </row>
    <row r="9" spans="1:5" x14ac:dyDescent="0.25">
      <c r="A9" s="2" t="s">
        <v>116</v>
      </c>
      <c r="B9" s="6"/>
      <c r="C9" s="6"/>
      <c r="D9" s="6"/>
    </row>
    <row r="10" spans="1:5" x14ac:dyDescent="0.25">
      <c r="A10" s="3" t="s">
        <v>109</v>
      </c>
      <c r="B10" s="19">
        <v>1000000</v>
      </c>
      <c r="C10" s="19">
        <v>1610000</v>
      </c>
      <c r="D10" s="19"/>
      <c r="E10" s="7">
        <f>TB!I8</f>
        <v>2060000</v>
      </c>
    </row>
    <row r="11" spans="1:5" x14ac:dyDescent="0.25">
      <c r="A11" s="3" t="s">
        <v>114</v>
      </c>
      <c r="B11" s="5">
        <v>-200000</v>
      </c>
      <c r="C11" s="5">
        <v>-525000</v>
      </c>
      <c r="D11" s="19"/>
      <c r="E11" s="7">
        <f>TB!I9</f>
        <v>-900000</v>
      </c>
    </row>
    <row r="12" spans="1:5" x14ac:dyDescent="0.25">
      <c r="A12" s="2" t="s">
        <v>117</v>
      </c>
      <c r="B12" s="21">
        <f>SUM(B10:B11)</f>
        <v>800000</v>
      </c>
      <c r="C12" s="21">
        <f>SUM(C10:C11)</f>
        <v>1085000</v>
      </c>
      <c r="D12" s="21"/>
      <c r="E12" s="21">
        <f>SUM(E10:E11)</f>
        <v>1160000</v>
      </c>
    </row>
    <row r="13" spans="1:5" x14ac:dyDescent="0.25">
      <c r="A13" s="3" t="s">
        <v>27</v>
      </c>
      <c r="B13" s="6">
        <f>B8+B12</f>
        <v>2000000</v>
      </c>
      <c r="C13" s="6">
        <f>C8+C12</f>
        <v>3180250</v>
      </c>
      <c r="D13" s="6"/>
      <c r="E13" s="6">
        <f>E8+E12</f>
        <v>3678850</v>
      </c>
    </row>
    <row r="15" spans="1:5" x14ac:dyDescent="0.25">
      <c r="A15" s="2" t="s">
        <v>28</v>
      </c>
    </row>
    <row r="16" spans="1:5" x14ac:dyDescent="0.25">
      <c r="A16" s="3" t="s">
        <v>29</v>
      </c>
      <c r="B16" s="4">
        <v>200000</v>
      </c>
      <c r="C16" s="4">
        <v>250000</v>
      </c>
      <c r="E16" s="7">
        <f>'BS PL'!B19</f>
        <v>0</v>
      </c>
    </row>
    <row r="17" spans="1:7" x14ac:dyDescent="0.25">
      <c r="A17" s="3" t="s">
        <v>37</v>
      </c>
      <c r="B17" s="19">
        <v>50000</v>
      </c>
      <c r="C17" s="19">
        <v>70000</v>
      </c>
      <c r="D17" s="19"/>
      <c r="E17" s="7">
        <f>'BS PL'!B20</f>
        <v>0</v>
      </c>
    </row>
    <row r="18" spans="1:7" x14ac:dyDescent="0.25">
      <c r="A18" s="3" t="s">
        <v>218</v>
      </c>
      <c r="B18" s="5"/>
      <c r="C18" s="5"/>
      <c r="D18" s="5"/>
      <c r="E18" s="37">
        <f>'BS PL'!B21</f>
        <v>250000</v>
      </c>
    </row>
    <row r="19" spans="1:7" x14ac:dyDescent="0.25">
      <c r="A19" s="2" t="s">
        <v>30</v>
      </c>
      <c r="B19" s="6">
        <f>SUM(B16:B17)</f>
        <v>250000</v>
      </c>
      <c r="C19" s="6">
        <f>SUM(C16:C17)</f>
        <v>320000</v>
      </c>
      <c r="D19" s="6"/>
      <c r="E19" s="36">
        <f>SUM(E16:E18)</f>
        <v>250000</v>
      </c>
    </row>
    <row r="20" spans="1:7" x14ac:dyDescent="0.25">
      <c r="A20" s="2" t="s">
        <v>31</v>
      </c>
    </row>
    <row r="21" spans="1:7" x14ac:dyDescent="0.25">
      <c r="A21" s="3" t="s">
        <v>36</v>
      </c>
      <c r="B21" s="5">
        <v>0</v>
      </c>
      <c r="C21" s="5">
        <v>500000</v>
      </c>
      <c r="D21" s="19"/>
      <c r="E21" s="7">
        <v>0</v>
      </c>
    </row>
    <row r="22" spans="1:7" x14ac:dyDescent="0.25">
      <c r="A22" s="2" t="s">
        <v>32</v>
      </c>
      <c r="B22" s="6">
        <f>B19+B21</f>
        <v>250000</v>
      </c>
      <c r="C22" s="6">
        <f>C19+C21</f>
        <v>820000</v>
      </c>
      <c r="D22" s="6"/>
      <c r="E22" s="6">
        <f>E19+E21</f>
        <v>250000</v>
      </c>
    </row>
    <row r="24" spans="1:7" x14ac:dyDescent="0.25">
      <c r="A24" s="2" t="s">
        <v>33</v>
      </c>
    </row>
    <row r="25" spans="1:7" x14ac:dyDescent="0.25">
      <c r="A25" s="3" t="s">
        <v>118</v>
      </c>
      <c r="B25" s="4">
        <v>1216000</v>
      </c>
      <c r="C25" s="4">
        <v>1216000</v>
      </c>
      <c r="E25" s="7">
        <f>'BS PL'!B24</f>
        <v>1216000</v>
      </c>
    </row>
    <row r="26" spans="1:7" x14ac:dyDescent="0.25">
      <c r="A26" s="3" t="s">
        <v>119</v>
      </c>
      <c r="B26" s="4">
        <v>534000</v>
      </c>
      <c r="C26" s="4">
        <f>B26+C40</f>
        <v>1144250</v>
      </c>
      <c r="E26" s="7">
        <f>'BS PL'!B25</f>
        <v>2212850</v>
      </c>
    </row>
    <row r="27" spans="1:7" x14ac:dyDescent="0.25">
      <c r="A27" s="2" t="s">
        <v>34</v>
      </c>
      <c r="B27" s="20">
        <v>1750000</v>
      </c>
      <c r="C27" s="20">
        <f>SUM(C25:C26)</f>
        <v>2360250</v>
      </c>
      <c r="D27" s="20"/>
      <c r="E27" s="20">
        <f>SUM(E25:E26)</f>
        <v>3428850</v>
      </c>
    </row>
    <row r="28" spans="1:7" x14ac:dyDescent="0.25">
      <c r="A28" s="2" t="s">
        <v>35</v>
      </c>
      <c r="B28" s="6">
        <v>2000000</v>
      </c>
      <c r="C28" s="6">
        <f>C22+C27</f>
        <v>3180250</v>
      </c>
      <c r="D28" s="6"/>
      <c r="E28" s="6">
        <f>E22+E27</f>
        <v>3678850</v>
      </c>
    </row>
    <row r="30" spans="1:7" x14ac:dyDescent="0.25">
      <c r="B30" s="18" t="s">
        <v>13</v>
      </c>
      <c r="C30" s="18" t="s">
        <v>3</v>
      </c>
      <c r="D30" s="18"/>
    </row>
    <row r="31" spans="1:7" x14ac:dyDescent="0.25">
      <c r="A31" s="3" t="s">
        <v>14</v>
      </c>
      <c r="B31" s="4">
        <v>3000000</v>
      </c>
      <c r="C31" s="4">
        <v>3800000</v>
      </c>
      <c r="E31" s="7">
        <f>'BS PL'!B33</f>
        <v>6000000</v>
      </c>
      <c r="F31" s="7"/>
      <c r="G31" s="16"/>
    </row>
    <row r="32" spans="1:7" x14ac:dyDescent="0.25">
      <c r="A32" s="3" t="s">
        <v>15</v>
      </c>
      <c r="B32" s="5">
        <v>-1800000</v>
      </c>
      <c r="C32" s="5">
        <f>C31*-60%</f>
        <v>-2280000</v>
      </c>
      <c r="D32" s="19"/>
      <c r="E32" s="7">
        <f>-'BS PL'!B34</f>
        <v>-2260000</v>
      </c>
      <c r="F32" s="7">
        <f>SUM(E32,E34:E35)</f>
        <v>-4585000</v>
      </c>
    </row>
    <row r="33" spans="1:7" x14ac:dyDescent="0.25">
      <c r="A33" s="2" t="s">
        <v>16</v>
      </c>
      <c r="B33" s="6">
        <f>B31+B32</f>
        <v>1200000</v>
      </c>
      <c r="C33" s="6">
        <f>C31+C32</f>
        <v>1520000</v>
      </c>
      <c r="D33" s="6"/>
      <c r="E33" s="6">
        <f>E31+E32</f>
        <v>3740000</v>
      </c>
    </row>
    <row r="34" spans="1:7" x14ac:dyDescent="0.25">
      <c r="A34" s="3" t="str">
        <f>'BS PL'!A37</f>
        <v>Biaya Marketing</v>
      </c>
      <c r="B34" s="6"/>
      <c r="C34" s="6"/>
      <c r="D34" s="6"/>
      <c r="E34" s="4">
        <f>-'BS PL'!B37</f>
        <v>-460000</v>
      </c>
    </row>
    <row r="35" spans="1:7" x14ac:dyDescent="0.25">
      <c r="A35" s="3" t="s">
        <v>219</v>
      </c>
      <c r="B35" s="5">
        <v>-600000</v>
      </c>
      <c r="C35" s="5">
        <v>-790500</v>
      </c>
      <c r="D35" s="19"/>
      <c r="E35" s="4">
        <f>-'BS PL'!B38</f>
        <v>-1865000</v>
      </c>
      <c r="F35" s="7"/>
      <c r="G35" s="16"/>
    </row>
    <row r="36" spans="1:7" x14ac:dyDescent="0.25">
      <c r="A36" s="2" t="s">
        <v>18</v>
      </c>
      <c r="B36" s="6">
        <f>B33+B35</f>
        <v>600000</v>
      </c>
      <c r="C36" s="6">
        <f>C33+C35</f>
        <v>729500</v>
      </c>
      <c r="D36" s="6"/>
      <c r="E36" s="36">
        <f>E33+SUM(E34:E35)</f>
        <v>1415000</v>
      </c>
      <c r="F36" s="7"/>
      <c r="G36" s="16"/>
    </row>
    <row r="37" spans="1:7" x14ac:dyDescent="0.25">
      <c r="A37" s="3" t="s">
        <v>220</v>
      </c>
      <c r="B37" s="5">
        <v>0</v>
      </c>
      <c r="C37" s="5">
        <v>-45000</v>
      </c>
      <c r="D37" s="5"/>
      <c r="E37" s="5">
        <v>-45000</v>
      </c>
    </row>
    <row r="38" spans="1:7" x14ac:dyDescent="0.25">
      <c r="A38" s="2" t="s">
        <v>20</v>
      </c>
      <c r="B38" s="6">
        <f>B36+B37</f>
        <v>600000</v>
      </c>
      <c r="C38" s="6">
        <f>C36+C37</f>
        <v>684500</v>
      </c>
      <c r="D38" s="6"/>
      <c r="E38" s="6">
        <f>E36+E37</f>
        <v>1370000</v>
      </c>
    </row>
    <row r="39" spans="1:7" x14ac:dyDescent="0.25">
      <c r="A39" s="3" t="s">
        <v>184</v>
      </c>
      <c r="B39" s="5">
        <v>-66000</v>
      </c>
      <c r="C39" s="5">
        <v>-74250</v>
      </c>
      <c r="D39" s="19"/>
      <c r="E39" s="7">
        <f>-'BS PL'!B43</f>
        <v>-301400</v>
      </c>
    </row>
    <row r="40" spans="1:7" x14ac:dyDescent="0.25">
      <c r="A40" s="2" t="s">
        <v>22</v>
      </c>
      <c r="B40" s="6">
        <f>B38+B39</f>
        <v>534000</v>
      </c>
      <c r="C40" s="6">
        <f>C38+C39</f>
        <v>610250</v>
      </c>
      <c r="D40" s="6"/>
      <c r="E40" s="6">
        <f>E38+E39</f>
        <v>1068600</v>
      </c>
      <c r="F40" s="7"/>
      <c r="G40" s="16"/>
    </row>
    <row r="42" spans="1:7" x14ac:dyDescent="0.25">
      <c r="A42" s="2"/>
    </row>
    <row r="43" spans="1:7" x14ac:dyDescent="0.25">
      <c r="B43" s="16"/>
      <c r="C43" s="16"/>
      <c r="D43" s="16"/>
      <c r="E43" s="16"/>
    </row>
    <row r="44" spans="1:7" x14ac:dyDescent="0.25">
      <c r="B44" s="16"/>
      <c r="C44" s="16"/>
      <c r="D44" s="16"/>
      <c r="E44" s="16"/>
    </row>
    <row r="45" spans="1:7" x14ac:dyDescent="0.25">
      <c r="B45" s="16"/>
      <c r="C45" s="16"/>
      <c r="D45" s="16"/>
      <c r="E45" s="16"/>
    </row>
    <row r="46" spans="1:7" x14ac:dyDescent="0.25">
      <c r="B46" s="16"/>
      <c r="C46" s="16"/>
      <c r="D46" s="16"/>
      <c r="E46" s="16"/>
    </row>
    <row r="48" spans="1:7" x14ac:dyDescent="0.25">
      <c r="A48" s="2"/>
    </row>
    <row r="49" spans="3:5" x14ac:dyDescent="0.25">
      <c r="C49" s="16"/>
      <c r="D49" s="16"/>
      <c r="E49" s="16"/>
    </row>
    <row r="50" spans="3:5" x14ac:dyDescent="0.25">
      <c r="C50" s="16"/>
      <c r="D50" s="16"/>
      <c r="E50" s="16"/>
    </row>
    <row r="51" spans="3:5" x14ac:dyDescent="0.25">
      <c r="C51" s="16"/>
      <c r="D51" s="16"/>
      <c r="E51"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498CA-6660-1C41-B345-98E4D603A7A8}">
  <sheetPr codeName="Sheet2">
    <tabColor theme="5" tint="0.59999389629810485"/>
  </sheetPr>
  <dimension ref="A2:V34"/>
  <sheetViews>
    <sheetView view="pageBreakPreview" topLeftCell="A5" zoomScale="125" zoomScaleNormal="108" workbookViewId="0">
      <selection activeCell="H29" sqref="H29"/>
    </sheetView>
  </sheetViews>
  <sheetFormatPr defaultColWidth="11" defaultRowHeight="15.75" x14ac:dyDescent="0.25"/>
  <cols>
    <col min="1" max="1" width="14.5" bestFit="1" customWidth="1"/>
    <col min="2" max="2" width="7.125" bestFit="1" customWidth="1"/>
    <col min="3" max="3" width="10.125" customWidth="1"/>
    <col min="4" max="4" width="10.125" bestFit="1" customWidth="1"/>
    <col min="5" max="5" width="12.75" bestFit="1" customWidth="1"/>
    <col min="6" max="6" width="14.5" bestFit="1" customWidth="1"/>
    <col min="7" max="7" width="16.5" bestFit="1" customWidth="1"/>
    <col min="8" max="8" width="16.5" customWidth="1"/>
    <col min="9" max="9" width="18.5" bestFit="1" customWidth="1"/>
    <col min="10" max="10" width="14" bestFit="1" customWidth="1"/>
  </cols>
  <sheetData>
    <row r="2" spans="1:12" x14ac:dyDescent="0.25">
      <c r="A2" s="14" t="s">
        <v>13</v>
      </c>
      <c r="B2" s="14"/>
    </row>
    <row r="3" spans="1:12" x14ac:dyDescent="0.25">
      <c r="A3" s="14" t="s">
        <v>46</v>
      </c>
      <c r="B3" s="14" t="s">
        <v>1</v>
      </c>
      <c r="C3" s="14" t="s">
        <v>63</v>
      </c>
      <c r="D3" s="14" t="s">
        <v>47</v>
      </c>
      <c r="E3" s="14" t="s">
        <v>53</v>
      </c>
      <c r="F3" s="14" t="s">
        <v>52</v>
      </c>
      <c r="G3" s="14" t="s">
        <v>56</v>
      </c>
      <c r="H3" s="14" t="s">
        <v>156</v>
      </c>
      <c r="I3" s="14" t="s">
        <v>55</v>
      </c>
      <c r="J3" s="14" t="s">
        <v>54</v>
      </c>
    </row>
    <row r="4" spans="1:12" x14ac:dyDescent="0.25">
      <c r="A4" t="s">
        <v>13</v>
      </c>
      <c r="B4" t="s">
        <v>4</v>
      </c>
      <c r="C4" t="s">
        <v>57</v>
      </c>
      <c r="D4" t="s">
        <v>48</v>
      </c>
      <c r="E4" s="12">
        <v>4</v>
      </c>
      <c r="F4" s="12">
        <v>450000</v>
      </c>
      <c r="G4" s="12">
        <f>F4/E4</f>
        <v>112500</v>
      </c>
      <c r="H4" s="12">
        <f>G4</f>
        <v>112500</v>
      </c>
      <c r="I4" s="12">
        <f>H4</f>
        <v>112500</v>
      </c>
      <c r="J4" s="12">
        <f>F4-I4</f>
        <v>337500</v>
      </c>
      <c r="K4" s="11"/>
      <c r="L4" s="12"/>
    </row>
    <row r="5" spans="1:12" x14ac:dyDescent="0.25">
      <c r="A5" t="s">
        <v>13</v>
      </c>
      <c r="B5" t="s">
        <v>4</v>
      </c>
      <c r="C5" t="s">
        <v>58</v>
      </c>
      <c r="D5" t="s">
        <v>49</v>
      </c>
      <c r="E5" s="12">
        <v>8</v>
      </c>
      <c r="F5" s="12">
        <v>300000</v>
      </c>
      <c r="G5" s="12">
        <f t="shared" ref="G5:G6" si="0">F5/E5</f>
        <v>37500</v>
      </c>
      <c r="H5" s="12">
        <f t="shared" ref="H5:I6" si="1">G5</f>
        <v>37500</v>
      </c>
      <c r="I5" s="12">
        <f t="shared" si="1"/>
        <v>37500</v>
      </c>
      <c r="J5" s="12">
        <f t="shared" ref="J5:J6" si="2">F5-I5</f>
        <v>262500</v>
      </c>
      <c r="K5" s="11"/>
      <c r="L5" s="13"/>
    </row>
    <row r="6" spans="1:12" x14ac:dyDescent="0.25">
      <c r="A6" t="s">
        <v>13</v>
      </c>
      <c r="B6" t="s">
        <v>4</v>
      </c>
      <c r="C6" t="s">
        <v>59</v>
      </c>
      <c r="D6" t="s">
        <v>50</v>
      </c>
      <c r="E6" s="12">
        <v>5</v>
      </c>
      <c r="F6" s="12">
        <v>250000</v>
      </c>
      <c r="G6" s="12">
        <f t="shared" si="0"/>
        <v>50000</v>
      </c>
      <c r="H6" s="12">
        <f t="shared" si="1"/>
        <v>50000</v>
      </c>
      <c r="I6" s="12">
        <f t="shared" si="1"/>
        <v>50000</v>
      </c>
      <c r="J6" s="12">
        <f t="shared" si="2"/>
        <v>200000</v>
      </c>
      <c r="K6" s="11"/>
      <c r="L6" s="13"/>
    </row>
    <row r="7" spans="1:12" x14ac:dyDescent="0.25">
      <c r="D7" t="s">
        <v>51</v>
      </c>
      <c r="E7" s="12"/>
      <c r="F7" s="12">
        <v>1000000</v>
      </c>
      <c r="G7" s="12"/>
      <c r="H7" s="12">
        <f>SUM(H4:H6)</f>
        <v>200000</v>
      </c>
      <c r="I7" s="12">
        <f>SUM(I4:I6)</f>
        <v>200000</v>
      </c>
      <c r="J7" s="12">
        <f>SUM(J4:J6)</f>
        <v>800000</v>
      </c>
    </row>
    <row r="10" spans="1:12" x14ac:dyDescent="0.25">
      <c r="A10" s="14" t="s">
        <v>3</v>
      </c>
      <c r="B10" s="14"/>
    </row>
    <row r="11" spans="1:12" x14ac:dyDescent="0.25">
      <c r="A11" s="14" t="s">
        <v>46</v>
      </c>
      <c r="B11" s="14"/>
      <c r="C11" s="14" t="s">
        <v>63</v>
      </c>
      <c r="D11" s="14" t="s">
        <v>47</v>
      </c>
      <c r="E11" s="14" t="s">
        <v>53</v>
      </c>
      <c r="F11" s="14" t="s">
        <v>52</v>
      </c>
      <c r="G11" s="14" t="s">
        <v>56</v>
      </c>
      <c r="H11" s="14" t="s">
        <v>156</v>
      </c>
      <c r="I11" s="14" t="s">
        <v>55</v>
      </c>
      <c r="J11" s="14" t="s">
        <v>54</v>
      </c>
    </row>
    <row r="12" spans="1:12" x14ac:dyDescent="0.25">
      <c r="A12" t="s">
        <v>13</v>
      </c>
      <c r="B12" t="s">
        <v>4</v>
      </c>
      <c r="C12" t="s">
        <v>57</v>
      </c>
      <c r="D12" t="s">
        <v>48</v>
      </c>
      <c r="E12" s="12">
        <v>4</v>
      </c>
      <c r="F12" s="12">
        <v>450000</v>
      </c>
      <c r="G12" s="12">
        <f t="shared" ref="G12:G17" si="3">F12/E12</f>
        <v>112500</v>
      </c>
      <c r="H12" s="12">
        <f>G12</f>
        <v>112500</v>
      </c>
      <c r="I12" s="12">
        <f>I4+H12</f>
        <v>225000</v>
      </c>
      <c r="J12" s="12">
        <f>F12-I12</f>
        <v>225000</v>
      </c>
    </row>
    <row r="13" spans="1:12" x14ac:dyDescent="0.25">
      <c r="A13" t="s">
        <v>13</v>
      </c>
      <c r="B13" t="s">
        <v>4</v>
      </c>
      <c r="C13" t="s">
        <v>58</v>
      </c>
      <c r="D13" t="s">
        <v>49</v>
      </c>
      <c r="E13" s="12">
        <v>8</v>
      </c>
      <c r="F13" s="12">
        <v>300000</v>
      </c>
      <c r="G13" s="12">
        <f t="shared" si="3"/>
        <v>37500</v>
      </c>
      <c r="H13" s="12">
        <f t="shared" ref="H13:H17" si="4">G13</f>
        <v>37500</v>
      </c>
      <c r="I13" s="12">
        <f>I5+H13</f>
        <v>75000</v>
      </c>
      <c r="J13" s="12">
        <f t="shared" ref="J13:J17" si="5">F13-I13</f>
        <v>225000</v>
      </c>
    </row>
    <row r="14" spans="1:12" x14ac:dyDescent="0.25">
      <c r="A14" t="s">
        <v>13</v>
      </c>
      <c r="B14" t="s">
        <v>4</v>
      </c>
      <c r="C14" t="s">
        <v>59</v>
      </c>
      <c r="D14" t="s">
        <v>50</v>
      </c>
      <c r="E14" s="12">
        <v>5</v>
      </c>
      <c r="F14" s="12">
        <v>250000</v>
      </c>
      <c r="G14" s="12">
        <f t="shared" si="3"/>
        <v>50000</v>
      </c>
      <c r="H14" s="12">
        <f t="shared" si="4"/>
        <v>50000</v>
      </c>
      <c r="I14" s="12">
        <f>I6+H14</f>
        <v>100000</v>
      </c>
      <c r="J14" s="12">
        <f t="shared" si="5"/>
        <v>150000</v>
      </c>
    </row>
    <row r="15" spans="1:12" x14ac:dyDescent="0.25">
      <c r="A15" t="s">
        <v>3</v>
      </c>
      <c r="B15" t="s">
        <v>4</v>
      </c>
      <c r="C15" t="s">
        <v>60</v>
      </c>
      <c r="D15" t="s">
        <v>48</v>
      </c>
      <c r="E15" s="12">
        <v>4</v>
      </c>
      <c r="F15" s="12">
        <v>300000</v>
      </c>
      <c r="G15" s="12">
        <f t="shared" si="3"/>
        <v>75000</v>
      </c>
      <c r="H15" s="12">
        <f t="shared" si="4"/>
        <v>75000</v>
      </c>
      <c r="I15" s="12">
        <f>G15</f>
        <v>75000</v>
      </c>
      <c r="J15" s="12">
        <f t="shared" si="5"/>
        <v>225000</v>
      </c>
    </row>
    <row r="16" spans="1:12" x14ac:dyDescent="0.25">
      <c r="A16" t="s">
        <v>3</v>
      </c>
      <c r="B16" t="s">
        <v>4</v>
      </c>
      <c r="C16" t="s">
        <v>61</v>
      </c>
      <c r="D16" t="s">
        <v>49</v>
      </c>
      <c r="E16" s="12">
        <v>8</v>
      </c>
      <c r="F16" s="12">
        <v>160000</v>
      </c>
      <c r="G16" s="12">
        <f t="shared" si="3"/>
        <v>20000</v>
      </c>
      <c r="H16" s="12">
        <f t="shared" si="4"/>
        <v>20000</v>
      </c>
      <c r="I16" s="12">
        <f>G16</f>
        <v>20000</v>
      </c>
      <c r="J16" s="12">
        <f t="shared" si="5"/>
        <v>140000</v>
      </c>
    </row>
    <row r="17" spans="1:22" x14ac:dyDescent="0.25">
      <c r="A17" t="s">
        <v>3</v>
      </c>
      <c r="B17" t="s">
        <v>4</v>
      </c>
      <c r="C17" t="s">
        <v>62</v>
      </c>
      <c r="D17" t="s">
        <v>50</v>
      </c>
      <c r="E17" s="12">
        <v>5</v>
      </c>
      <c r="F17" s="12">
        <v>150000</v>
      </c>
      <c r="G17" s="12">
        <f t="shared" si="3"/>
        <v>30000</v>
      </c>
      <c r="H17" s="12">
        <f t="shared" si="4"/>
        <v>30000</v>
      </c>
      <c r="I17" s="12">
        <f>G17</f>
        <v>30000</v>
      </c>
      <c r="J17" s="12">
        <f t="shared" si="5"/>
        <v>120000</v>
      </c>
    </row>
    <row r="18" spans="1:22" x14ac:dyDescent="0.25">
      <c r="D18" t="s">
        <v>51</v>
      </c>
      <c r="E18" s="12"/>
      <c r="F18" s="24">
        <f>SUM(F12:F17)</f>
        <v>1610000</v>
      </c>
      <c r="G18" s="24"/>
      <c r="H18" s="24">
        <f>SUM(H12:H17)</f>
        <v>325000</v>
      </c>
      <c r="I18" s="24">
        <f>SUM(I12:I17)</f>
        <v>525000</v>
      </c>
      <c r="J18" s="24">
        <f>SUM(J12:J17)</f>
        <v>1085000</v>
      </c>
    </row>
    <row r="19" spans="1:22" x14ac:dyDescent="0.25">
      <c r="I19" s="12"/>
      <c r="J19" s="12"/>
    </row>
    <row r="20" spans="1:22" x14ac:dyDescent="0.25">
      <c r="A20" s="14" t="s">
        <v>8</v>
      </c>
      <c r="B20" s="14"/>
      <c r="G20" s="15"/>
      <c r="H20" s="15"/>
      <c r="I20" s="15"/>
      <c r="J20" s="1"/>
    </row>
    <row r="21" spans="1:22" x14ac:dyDescent="0.25">
      <c r="A21" s="14" t="s">
        <v>46</v>
      </c>
      <c r="B21" s="14"/>
      <c r="C21" s="14" t="s">
        <v>63</v>
      </c>
      <c r="D21" s="14" t="s">
        <v>47</v>
      </c>
      <c r="E21" s="14" t="s">
        <v>53</v>
      </c>
      <c r="F21" s="14" t="s">
        <v>52</v>
      </c>
      <c r="G21" s="14" t="s">
        <v>56</v>
      </c>
      <c r="H21" s="14" t="s">
        <v>156</v>
      </c>
      <c r="I21" s="14" t="s">
        <v>55</v>
      </c>
      <c r="J21" s="14" t="s">
        <v>54</v>
      </c>
    </row>
    <row r="22" spans="1:22" x14ac:dyDescent="0.25">
      <c r="A22" t="s">
        <v>13</v>
      </c>
      <c r="B22" t="s">
        <v>4</v>
      </c>
      <c r="C22" t="s">
        <v>57</v>
      </c>
      <c r="D22" t="s">
        <v>48</v>
      </c>
      <c r="E22">
        <v>4</v>
      </c>
      <c r="F22" s="1">
        <v>450000</v>
      </c>
      <c r="G22" s="1">
        <f t="shared" ref="G22:G29" si="6">F22/E22</f>
        <v>112500</v>
      </c>
      <c r="H22" s="1">
        <f>G22</f>
        <v>112500</v>
      </c>
      <c r="I22" s="12">
        <f>I12+H22</f>
        <v>337500</v>
      </c>
      <c r="J22" s="1">
        <f>F22-I22</f>
        <v>112500</v>
      </c>
      <c r="K22" s="12"/>
      <c r="L22" s="12"/>
      <c r="M22" s="12"/>
      <c r="N22" s="12"/>
      <c r="O22" s="12"/>
      <c r="P22" s="12"/>
      <c r="Q22" s="12"/>
      <c r="R22" s="12"/>
      <c r="S22" s="12"/>
      <c r="T22" s="12"/>
      <c r="U22" s="12"/>
      <c r="V22" s="12"/>
    </row>
    <row r="23" spans="1:22" x14ac:dyDescent="0.25">
      <c r="A23" t="s">
        <v>13</v>
      </c>
      <c r="B23" t="s">
        <v>4</v>
      </c>
      <c r="C23" t="s">
        <v>58</v>
      </c>
      <c r="D23" t="s">
        <v>49</v>
      </c>
      <c r="E23">
        <v>8</v>
      </c>
      <c r="F23" s="1">
        <v>300000</v>
      </c>
      <c r="G23" s="1">
        <f t="shared" si="6"/>
        <v>37500</v>
      </c>
      <c r="H23" s="1">
        <f t="shared" ref="H23:H27" si="7">G23</f>
        <v>37500</v>
      </c>
      <c r="I23" s="12">
        <f t="shared" ref="I23:I27" si="8">I13+H23</f>
        <v>112500</v>
      </c>
      <c r="J23" s="1">
        <f t="shared" ref="J23:J29" si="9">F23-I23</f>
        <v>187500</v>
      </c>
      <c r="K23" s="12"/>
      <c r="L23" s="12"/>
      <c r="M23" s="12"/>
      <c r="N23" s="12"/>
      <c r="O23" s="12"/>
      <c r="P23" s="12"/>
      <c r="Q23" s="12"/>
      <c r="R23" s="12"/>
      <c r="S23" s="12"/>
      <c r="T23" s="12"/>
      <c r="U23" s="12"/>
      <c r="V23" s="12"/>
    </row>
    <row r="24" spans="1:22" x14ac:dyDescent="0.25">
      <c r="A24" t="s">
        <v>13</v>
      </c>
      <c r="B24" t="s">
        <v>4</v>
      </c>
      <c r="C24" t="s">
        <v>59</v>
      </c>
      <c r="D24" t="s">
        <v>50</v>
      </c>
      <c r="E24">
        <v>5</v>
      </c>
      <c r="F24" s="1">
        <v>250000</v>
      </c>
      <c r="G24" s="1">
        <f t="shared" si="6"/>
        <v>50000</v>
      </c>
      <c r="H24" s="1">
        <f t="shared" si="7"/>
        <v>50000</v>
      </c>
      <c r="I24" s="12">
        <f t="shared" si="8"/>
        <v>150000</v>
      </c>
      <c r="J24" s="1">
        <f t="shared" si="9"/>
        <v>100000</v>
      </c>
      <c r="K24" s="12"/>
      <c r="L24" s="12"/>
      <c r="M24" s="12"/>
      <c r="N24" s="12"/>
      <c r="O24" s="12"/>
      <c r="P24" s="12"/>
      <c r="Q24" s="12"/>
      <c r="R24" s="12"/>
      <c r="S24" s="12"/>
      <c r="T24" s="12"/>
      <c r="U24" s="12"/>
      <c r="V24" s="12"/>
    </row>
    <row r="25" spans="1:22" x14ac:dyDescent="0.25">
      <c r="A25" t="s">
        <v>3</v>
      </c>
      <c r="B25" t="s">
        <v>4</v>
      </c>
      <c r="C25" t="s">
        <v>60</v>
      </c>
      <c r="D25" t="s">
        <v>48</v>
      </c>
      <c r="E25">
        <v>4</v>
      </c>
      <c r="F25" s="1">
        <v>300000</v>
      </c>
      <c r="G25" s="1">
        <f t="shared" si="6"/>
        <v>75000</v>
      </c>
      <c r="H25" s="1">
        <f t="shared" si="7"/>
        <v>75000</v>
      </c>
      <c r="I25" s="12">
        <f t="shared" si="8"/>
        <v>150000</v>
      </c>
      <c r="J25" s="1">
        <f t="shared" si="9"/>
        <v>150000</v>
      </c>
      <c r="K25" s="12"/>
      <c r="L25" s="12"/>
      <c r="M25" s="12"/>
      <c r="N25" s="12"/>
      <c r="O25" s="12"/>
      <c r="P25" s="12"/>
      <c r="Q25" s="12"/>
      <c r="R25" s="12"/>
      <c r="S25" s="12"/>
      <c r="T25" s="12"/>
      <c r="U25" s="12"/>
      <c r="V25" s="12"/>
    </row>
    <row r="26" spans="1:22" x14ac:dyDescent="0.25">
      <c r="A26" t="s">
        <v>3</v>
      </c>
      <c r="B26" t="s">
        <v>4</v>
      </c>
      <c r="C26" t="s">
        <v>61</v>
      </c>
      <c r="D26" t="s">
        <v>49</v>
      </c>
      <c r="E26">
        <v>8</v>
      </c>
      <c r="F26" s="1">
        <v>160000</v>
      </c>
      <c r="G26" s="1">
        <f t="shared" si="6"/>
        <v>20000</v>
      </c>
      <c r="H26" s="1">
        <f t="shared" si="7"/>
        <v>20000</v>
      </c>
      <c r="I26" s="12">
        <f t="shared" si="8"/>
        <v>40000</v>
      </c>
      <c r="J26" s="1">
        <f t="shared" si="9"/>
        <v>120000</v>
      </c>
      <c r="K26" s="12"/>
      <c r="L26" s="12"/>
      <c r="M26" s="12"/>
      <c r="N26" s="12"/>
      <c r="O26" s="12"/>
      <c r="P26" s="12"/>
      <c r="Q26" s="12"/>
      <c r="R26" s="12"/>
      <c r="S26" s="12"/>
      <c r="T26" s="12"/>
      <c r="U26" s="12"/>
      <c r="V26" s="12"/>
    </row>
    <row r="27" spans="1:22" x14ac:dyDescent="0.25">
      <c r="A27" t="s">
        <v>3</v>
      </c>
      <c r="B27" t="s">
        <v>4</v>
      </c>
      <c r="C27" t="s">
        <v>62</v>
      </c>
      <c r="D27" t="s">
        <v>50</v>
      </c>
      <c r="E27">
        <v>5</v>
      </c>
      <c r="F27" s="1">
        <v>150000</v>
      </c>
      <c r="G27" s="1">
        <f t="shared" si="6"/>
        <v>30000</v>
      </c>
      <c r="H27" s="1">
        <f t="shared" si="7"/>
        <v>30000</v>
      </c>
      <c r="I27" s="12">
        <f t="shared" si="8"/>
        <v>60000</v>
      </c>
      <c r="J27" s="1">
        <f t="shared" si="9"/>
        <v>90000</v>
      </c>
      <c r="K27" s="12"/>
      <c r="L27" s="12"/>
      <c r="M27" s="12"/>
      <c r="N27" s="12"/>
      <c r="O27" s="12"/>
      <c r="P27" s="12"/>
      <c r="Q27" s="12"/>
      <c r="R27" s="12"/>
      <c r="S27" s="12"/>
      <c r="T27" s="12"/>
      <c r="U27" s="12"/>
      <c r="V27" s="12"/>
    </row>
    <row r="28" spans="1:22" x14ac:dyDescent="0.25">
      <c r="A28" t="s">
        <v>8</v>
      </c>
      <c r="B28" t="s">
        <v>6</v>
      </c>
      <c r="C28" t="s">
        <v>137</v>
      </c>
      <c r="D28" t="s">
        <v>48</v>
      </c>
      <c r="E28">
        <v>4</v>
      </c>
      <c r="F28" s="1">
        <v>250000</v>
      </c>
      <c r="G28" s="1">
        <f t="shared" si="6"/>
        <v>62500</v>
      </c>
      <c r="H28" s="1">
        <f>G28*2/4</f>
        <v>31250</v>
      </c>
      <c r="I28" s="12">
        <f>H28</f>
        <v>31250</v>
      </c>
      <c r="J28" s="1">
        <f t="shared" si="9"/>
        <v>218750</v>
      </c>
    </row>
    <row r="29" spans="1:22" x14ac:dyDescent="0.25">
      <c r="A29" t="s">
        <v>8</v>
      </c>
      <c r="B29" t="s">
        <v>5</v>
      </c>
      <c r="C29" t="s">
        <v>138</v>
      </c>
      <c r="D29" t="s">
        <v>49</v>
      </c>
      <c r="E29">
        <v>8</v>
      </c>
      <c r="F29" s="1">
        <v>200000</v>
      </c>
      <c r="G29" s="1">
        <f t="shared" si="6"/>
        <v>25000</v>
      </c>
      <c r="H29" s="1">
        <f>G29*3/4</f>
        <v>18750</v>
      </c>
      <c r="I29" s="12">
        <f>H29</f>
        <v>18750</v>
      </c>
      <c r="J29" s="1">
        <f t="shared" si="9"/>
        <v>181250</v>
      </c>
    </row>
    <row r="30" spans="1:22" x14ac:dyDescent="0.25">
      <c r="F30" s="22">
        <f>SUM(F22:F29)</f>
        <v>2060000</v>
      </c>
      <c r="G30" s="14"/>
      <c r="H30" s="22">
        <f>SUM(H22:H29)</f>
        <v>375000</v>
      </c>
      <c r="I30" s="22">
        <f>SUM(I22:I29)</f>
        <v>900000</v>
      </c>
      <c r="J30" s="22">
        <f>SUM(J22:J29)</f>
        <v>1160000</v>
      </c>
      <c r="K30" s="22"/>
    </row>
    <row r="33" spans="13:14" x14ac:dyDescent="0.25">
      <c r="M33" s="1"/>
    </row>
    <row r="34" spans="13:14" x14ac:dyDescent="0.25">
      <c r="N34" s="1"/>
    </row>
  </sheetData>
  <pageMargins left="0.7" right="0.7" top="0.75" bottom="0.75" header="0.3" footer="0.3"/>
  <pageSetup paperSize="9" scale="9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29843-58A2-F342-9350-2D38EFA1418F}">
  <sheetPr codeName="Sheet3">
    <tabColor theme="5" tint="0.59999389629810485"/>
  </sheetPr>
  <dimension ref="A1:F18"/>
  <sheetViews>
    <sheetView view="pageBreakPreview" zoomScale="137" zoomScaleNormal="100" workbookViewId="0">
      <selection activeCell="D4" sqref="D4"/>
    </sheetView>
  </sheetViews>
  <sheetFormatPr defaultColWidth="10.875" defaultRowHeight="15.75" x14ac:dyDescent="0.25"/>
  <cols>
    <col min="1" max="1" width="17.125" style="3" bestFit="1" customWidth="1"/>
    <col min="2" max="2" width="18.875" style="3" bestFit="1" customWidth="1"/>
    <col min="3" max="3" width="13.125" style="3" bestFit="1" customWidth="1"/>
    <col min="4" max="4" width="11" style="3" bestFit="1" customWidth="1"/>
    <col min="5" max="5" width="12.125" style="3" bestFit="1" customWidth="1"/>
    <col min="6" max="6" width="11.875" style="3" bestFit="1" customWidth="1"/>
    <col min="7" max="16384" width="10.875" style="3"/>
  </cols>
  <sheetData>
    <row r="1" spans="1:6" x14ac:dyDescent="0.25">
      <c r="A1" s="2" t="s">
        <v>38</v>
      </c>
      <c r="B1" s="7">
        <v>750000</v>
      </c>
    </row>
    <row r="2" spans="1:6" x14ac:dyDescent="0.25">
      <c r="A2" s="2" t="s">
        <v>39</v>
      </c>
      <c r="B2" s="3" t="s">
        <v>42</v>
      </c>
    </row>
    <row r="3" spans="1:6" x14ac:dyDescent="0.25">
      <c r="A3" s="2" t="s">
        <v>40</v>
      </c>
      <c r="B3" s="3" t="s">
        <v>43</v>
      </c>
      <c r="D3" s="49"/>
    </row>
    <row r="4" spans="1:6" x14ac:dyDescent="0.25">
      <c r="A4" s="2" t="s">
        <v>41</v>
      </c>
      <c r="B4" s="3" t="s">
        <v>44</v>
      </c>
      <c r="D4" s="49"/>
    </row>
    <row r="6" spans="1:6" x14ac:dyDescent="0.25">
      <c r="A6" s="8" t="s">
        <v>0</v>
      </c>
      <c r="B6" s="8" t="s">
        <v>1</v>
      </c>
      <c r="C6" s="8" t="s">
        <v>10</v>
      </c>
      <c r="D6" s="8" t="s">
        <v>11</v>
      </c>
      <c r="E6" s="8" t="s">
        <v>2</v>
      </c>
      <c r="F6" s="8" t="s">
        <v>12</v>
      </c>
    </row>
    <row r="7" spans="1:6" x14ac:dyDescent="0.25">
      <c r="A7" s="9" t="s">
        <v>3</v>
      </c>
      <c r="B7" s="9" t="s">
        <v>4</v>
      </c>
      <c r="C7" s="10">
        <v>62500</v>
      </c>
      <c r="D7" s="10">
        <v>11250</v>
      </c>
      <c r="E7" s="10">
        <v>73750</v>
      </c>
      <c r="F7" s="10">
        <v>687500</v>
      </c>
    </row>
    <row r="8" spans="1:6" x14ac:dyDescent="0.25">
      <c r="A8" s="9"/>
      <c r="B8" s="9" t="s">
        <v>5</v>
      </c>
      <c r="C8" s="10">
        <v>62500</v>
      </c>
      <c r="D8" s="10">
        <v>11250</v>
      </c>
      <c r="E8" s="10">
        <v>73750</v>
      </c>
      <c r="F8" s="10">
        <v>625000</v>
      </c>
    </row>
    <row r="9" spans="1:6" x14ac:dyDescent="0.25">
      <c r="A9" s="9"/>
      <c r="B9" s="9" t="s">
        <v>6</v>
      </c>
      <c r="C9" s="10">
        <v>62500</v>
      </c>
      <c r="D9" s="10">
        <v>11250</v>
      </c>
      <c r="E9" s="10">
        <v>73750</v>
      </c>
      <c r="F9" s="10">
        <v>562500</v>
      </c>
    </row>
    <row r="10" spans="1:6" x14ac:dyDescent="0.25">
      <c r="A10" s="9"/>
      <c r="B10" s="9" t="s">
        <v>7</v>
      </c>
      <c r="C10" s="10">
        <v>62500</v>
      </c>
      <c r="D10" s="10">
        <v>11250</v>
      </c>
      <c r="E10" s="10">
        <v>73750</v>
      </c>
      <c r="F10" s="10">
        <v>500000</v>
      </c>
    </row>
    <row r="11" spans="1:6" x14ac:dyDescent="0.25">
      <c r="A11" s="9" t="s">
        <v>8</v>
      </c>
      <c r="B11" s="9" t="s">
        <v>4</v>
      </c>
      <c r="C11" s="10">
        <v>62500</v>
      </c>
      <c r="D11" s="10">
        <v>11250</v>
      </c>
      <c r="E11" s="10">
        <v>73750</v>
      </c>
      <c r="F11" s="10">
        <v>437500</v>
      </c>
    </row>
    <row r="12" spans="1:6" x14ac:dyDescent="0.25">
      <c r="A12" s="9"/>
      <c r="B12" s="9" t="s">
        <v>5</v>
      </c>
      <c r="C12" s="10">
        <v>62500</v>
      </c>
      <c r="D12" s="10">
        <v>11250</v>
      </c>
      <c r="E12" s="10">
        <v>73750</v>
      </c>
      <c r="F12" s="10">
        <v>375000</v>
      </c>
    </row>
    <row r="13" spans="1:6" x14ac:dyDescent="0.25">
      <c r="A13" s="9"/>
      <c r="B13" s="9" t="s">
        <v>6</v>
      </c>
      <c r="C13" s="10">
        <v>62500</v>
      </c>
      <c r="D13" s="10">
        <v>11250</v>
      </c>
      <c r="E13" s="10">
        <v>73750</v>
      </c>
      <c r="F13" s="10">
        <v>312500</v>
      </c>
    </row>
    <row r="14" spans="1:6" x14ac:dyDescent="0.25">
      <c r="A14" s="9"/>
      <c r="B14" s="9" t="s">
        <v>7</v>
      </c>
      <c r="C14" s="10">
        <v>62500</v>
      </c>
      <c r="D14" s="10">
        <v>11250</v>
      </c>
      <c r="E14" s="10">
        <v>73750</v>
      </c>
      <c r="F14" s="10">
        <v>250000</v>
      </c>
    </row>
    <row r="15" spans="1:6" x14ac:dyDescent="0.25">
      <c r="A15" s="9" t="s">
        <v>9</v>
      </c>
      <c r="B15" s="9" t="s">
        <v>4</v>
      </c>
      <c r="C15" s="10">
        <v>62500</v>
      </c>
      <c r="D15" s="10">
        <v>11250</v>
      </c>
      <c r="E15" s="10">
        <v>73750</v>
      </c>
      <c r="F15" s="10">
        <v>187500</v>
      </c>
    </row>
    <row r="16" spans="1:6" x14ac:dyDescent="0.25">
      <c r="A16" s="9"/>
      <c r="B16" s="9" t="s">
        <v>5</v>
      </c>
      <c r="C16" s="10">
        <v>62500</v>
      </c>
      <c r="D16" s="10">
        <v>11250</v>
      </c>
      <c r="E16" s="10">
        <v>73750</v>
      </c>
      <c r="F16" s="10">
        <v>125000</v>
      </c>
    </row>
    <row r="17" spans="1:6" x14ac:dyDescent="0.25">
      <c r="A17" s="9"/>
      <c r="B17" s="9" t="s">
        <v>6</v>
      </c>
      <c r="C17" s="10">
        <v>62500</v>
      </c>
      <c r="D17" s="10">
        <v>11250</v>
      </c>
      <c r="E17" s="10">
        <v>73750</v>
      </c>
      <c r="F17" s="10">
        <v>62500</v>
      </c>
    </row>
    <row r="18" spans="1:6" x14ac:dyDescent="0.25">
      <c r="A18" s="9"/>
      <c r="B18" s="9" t="s">
        <v>7</v>
      </c>
      <c r="C18" s="10">
        <v>62500</v>
      </c>
      <c r="D18" s="10">
        <v>11250</v>
      </c>
      <c r="E18" s="10">
        <v>73750</v>
      </c>
      <c r="F18" s="9">
        <v>0</v>
      </c>
    </row>
  </sheetData>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04C60-DA27-9641-82DB-7839D60FA01A}">
  <sheetPr codeName="Sheet4">
    <tabColor theme="5" tint="0.59999389629810485"/>
  </sheetPr>
  <dimension ref="A1:E49"/>
  <sheetViews>
    <sheetView showGridLines="0" view="pageBreakPreview" topLeftCell="A2" zoomScale="150" zoomScaleNormal="125" workbookViewId="0">
      <selection activeCell="C2" sqref="C2"/>
    </sheetView>
  </sheetViews>
  <sheetFormatPr defaultColWidth="10.875" defaultRowHeight="15.75" x14ac:dyDescent="0.25"/>
  <cols>
    <col min="1" max="1" width="30.375" style="3" bestFit="1" customWidth="1"/>
    <col min="2" max="3" width="11.125" style="4" bestFit="1" customWidth="1"/>
    <col min="4" max="5" width="11.5" style="3" bestFit="1" customWidth="1"/>
    <col min="6" max="16384" width="10.875" style="3"/>
  </cols>
  <sheetData>
    <row r="1" spans="1:5" x14ac:dyDescent="0.25">
      <c r="B1" s="38" t="s">
        <v>216</v>
      </c>
      <c r="C1" s="38" t="s">
        <v>216</v>
      </c>
    </row>
    <row r="2" spans="1:5" x14ac:dyDescent="0.25">
      <c r="B2" s="18" t="s">
        <v>13</v>
      </c>
      <c r="C2" s="18" t="s">
        <v>3</v>
      </c>
    </row>
    <row r="3" spans="1:5" x14ac:dyDescent="0.25">
      <c r="A3" s="2" t="s">
        <v>115</v>
      </c>
      <c r="B3" s="18"/>
      <c r="C3" s="18"/>
    </row>
    <row r="4" spans="1:5" x14ac:dyDescent="0.25">
      <c r="A4" s="3" t="s">
        <v>23</v>
      </c>
      <c r="B4" s="4">
        <v>500000</v>
      </c>
      <c r="C4" s="4">
        <v>1255250</v>
      </c>
    </row>
    <row r="5" spans="1:5" x14ac:dyDescent="0.25">
      <c r="A5" s="3" t="s">
        <v>24</v>
      </c>
      <c r="B5" s="4">
        <v>300000</v>
      </c>
      <c r="C5" s="4">
        <v>360000</v>
      </c>
    </row>
    <row r="6" spans="1:5" x14ac:dyDescent="0.25">
      <c r="A6" s="3" t="s">
        <v>25</v>
      </c>
      <c r="B6" s="5">
        <v>400000</v>
      </c>
      <c r="C6" s="5">
        <v>480000</v>
      </c>
      <c r="D6" s="7"/>
      <c r="E6" s="7"/>
    </row>
    <row r="7" spans="1:5" x14ac:dyDescent="0.25">
      <c r="A7" s="2" t="s">
        <v>26</v>
      </c>
      <c r="B7" s="6">
        <v>1200000</v>
      </c>
      <c r="C7" s="6">
        <v>2095250</v>
      </c>
    </row>
    <row r="8" spans="1:5" x14ac:dyDescent="0.25">
      <c r="A8" s="2" t="s">
        <v>116</v>
      </c>
      <c r="B8" s="6"/>
      <c r="C8" s="6"/>
    </row>
    <row r="9" spans="1:5" x14ac:dyDescent="0.25">
      <c r="A9" s="3" t="s">
        <v>109</v>
      </c>
      <c r="B9" s="19">
        <v>1000000</v>
      </c>
      <c r="C9" s="19">
        <v>1610000</v>
      </c>
    </row>
    <row r="10" spans="1:5" x14ac:dyDescent="0.25">
      <c r="A10" s="3" t="s">
        <v>114</v>
      </c>
      <c r="B10" s="5">
        <v>-200000</v>
      </c>
      <c r="C10" s="5">
        <v>-525000</v>
      </c>
    </row>
    <row r="11" spans="1:5" x14ac:dyDescent="0.25">
      <c r="A11" s="2" t="s">
        <v>117</v>
      </c>
      <c r="B11" s="21">
        <f>SUM(B9:B10)</f>
        <v>800000</v>
      </c>
      <c r="C11" s="21">
        <f>SUM(C9:C10)</f>
        <v>1085000</v>
      </c>
    </row>
    <row r="12" spans="1:5" x14ac:dyDescent="0.25">
      <c r="A12" s="3" t="s">
        <v>27</v>
      </c>
      <c r="B12" s="6">
        <f>B7+B11</f>
        <v>2000000</v>
      </c>
      <c r="C12" s="6">
        <f>C7+C11</f>
        <v>3180250</v>
      </c>
    </row>
    <row r="14" spans="1:5" x14ac:dyDescent="0.25">
      <c r="A14" s="2" t="s">
        <v>28</v>
      </c>
    </row>
    <row r="15" spans="1:5" x14ac:dyDescent="0.25">
      <c r="A15" s="3" t="s">
        <v>29</v>
      </c>
      <c r="B15" s="4">
        <v>200000</v>
      </c>
      <c r="C15" s="4">
        <v>250000</v>
      </c>
    </row>
    <row r="16" spans="1:5" x14ac:dyDescent="0.25">
      <c r="A16" s="3" t="s">
        <v>37</v>
      </c>
      <c r="B16" s="5">
        <v>50000</v>
      </c>
      <c r="C16" s="5">
        <v>70000</v>
      </c>
    </row>
    <row r="17" spans="1:5" x14ac:dyDescent="0.25">
      <c r="A17" s="2" t="s">
        <v>30</v>
      </c>
      <c r="B17" s="6">
        <f>SUM(B15:B16)</f>
        <v>250000</v>
      </c>
      <c r="C17" s="6">
        <f>SUM(C15:C16)</f>
        <v>320000</v>
      </c>
    </row>
    <row r="18" spans="1:5" x14ac:dyDescent="0.25">
      <c r="A18" s="2" t="s">
        <v>31</v>
      </c>
    </row>
    <row r="19" spans="1:5" x14ac:dyDescent="0.25">
      <c r="A19" s="3" t="s">
        <v>36</v>
      </c>
      <c r="B19" s="5">
        <v>0</v>
      </c>
      <c r="C19" s="5">
        <v>500000</v>
      </c>
    </row>
    <row r="20" spans="1:5" x14ac:dyDescent="0.25">
      <c r="A20" s="2" t="s">
        <v>32</v>
      </c>
      <c r="B20" s="6">
        <f>B17+B19</f>
        <v>250000</v>
      </c>
      <c r="C20" s="6">
        <f>C17+C19</f>
        <v>820000</v>
      </c>
    </row>
    <row r="22" spans="1:5" x14ac:dyDescent="0.25">
      <c r="A22" s="2" t="s">
        <v>33</v>
      </c>
    </row>
    <row r="23" spans="1:5" x14ac:dyDescent="0.25">
      <c r="A23" s="3" t="s">
        <v>118</v>
      </c>
      <c r="B23" s="4">
        <v>1216000</v>
      </c>
      <c r="C23" s="4">
        <v>1216000</v>
      </c>
    </row>
    <row r="24" spans="1:5" x14ac:dyDescent="0.25">
      <c r="A24" s="3" t="s">
        <v>119</v>
      </c>
      <c r="B24" s="4">
        <v>534000</v>
      </c>
      <c r="C24" s="4">
        <f>B24+C37</f>
        <v>1144250</v>
      </c>
    </row>
    <row r="25" spans="1:5" x14ac:dyDescent="0.25">
      <c r="A25" s="2" t="s">
        <v>34</v>
      </c>
      <c r="B25" s="20">
        <v>1750000</v>
      </c>
      <c r="C25" s="20">
        <f>SUM(C23:C24)</f>
        <v>2360250</v>
      </c>
    </row>
    <row r="26" spans="1:5" x14ac:dyDescent="0.25">
      <c r="A26" s="2" t="s">
        <v>35</v>
      </c>
      <c r="B26" s="6">
        <v>2000000</v>
      </c>
      <c r="C26" s="6">
        <f>C20+C25</f>
        <v>3180250</v>
      </c>
    </row>
    <row r="28" spans="1:5" x14ac:dyDescent="0.25">
      <c r="B28" s="18" t="s">
        <v>13</v>
      </c>
      <c r="C28" s="18" t="s">
        <v>3</v>
      </c>
    </row>
    <row r="29" spans="1:5" x14ac:dyDescent="0.25">
      <c r="A29" s="3" t="s">
        <v>14</v>
      </c>
      <c r="B29" s="4">
        <v>3000000</v>
      </c>
      <c r="C29" s="4">
        <v>3800000</v>
      </c>
    </row>
    <row r="30" spans="1:5" x14ac:dyDescent="0.25">
      <c r="A30" s="3" t="s">
        <v>15</v>
      </c>
      <c r="B30" s="5">
        <v>-1800000</v>
      </c>
      <c r="C30" s="5">
        <f>C29*-60%</f>
        <v>-2280000</v>
      </c>
      <c r="D30" s="7"/>
      <c r="E30" s="7"/>
    </row>
    <row r="31" spans="1:5" x14ac:dyDescent="0.25">
      <c r="A31" s="2" t="s">
        <v>16</v>
      </c>
      <c r="B31" s="6">
        <f>B29+B30</f>
        <v>1200000</v>
      </c>
      <c r="C31" s="6">
        <f>C29+C30</f>
        <v>1520000</v>
      </c>
    </row>
    <row r="32" spans="1:5" x14ac:dyDescent="0.25">
      <c r="A32" s="3" t="s">
        <v>17</v>
      </c>
      <c r="B32" s="5">
        <v>-600000</v>
      </c>
      <c r="C32" s="5">
        <v>-790500</v>
      </c>
      <c r="D32" s="16"/>
    </row>
    <row r="33" spans="1:4" x14ac:dyDescent="0.25">
      <c r="A33" s="2" t="s">
        <v>18</v>
      </c>
      <c r="B33" s="6">
        <f>B31+B32</f>
        <v>600000</v>
      </c>
      <c r="C33" s="6">
        <f>C31+C32</f>
        <v>729500</v>
      </c>
    </row>
    <row r="34" spans="1:4" x14ac:dyDescent="0.25">
      <c r="A34" s="3" t="s">
        <v>19</v>
      </c>
      <c r="B34" s="5">
        <v>0</v>
      </c>
      <c r="C34" s="5">
        <v>-45000</v>
      </c>
    </row>
    <row r="35" spans="1:4" x14ac:dyDescent="0.25">
      <c r="A35" s="2" t="s">
        <v>20</v>
      </c>
      <c r="B35" s="6">
        <f>B33+B34</f>
        <v>600000</v>
      </c>
      <c r="C35" s="6">
        <f>C33+C34</f>
        <v>684500</v>
      </c>
    </row>
    <row r="36" spans="1:4" x14ac:dyDescent="0.25">
      <c r="A36" s="3" t="s">
        <v>21</v>
      </c>
      <c r="B36" s="5">
        <v>-66000</v>
      </c>
      <c r="C36" s="5">
        <v>-74250</v>
      </c>
    </row>
    <row r="37" spans="1:4" x14ac:dyDescent="0.25">
      <c r="A37" s="2" t="s">
        <v>22</v>
      </c>
      <c r="B37" s="6">
        <f>B35+B36</f>
        <v>534000</v>
      </c>
      <c r="C37" s="6">
        <f>C35+C36</f>
        <v>610250</v>
      </c>
    </row>
    <row r="39" spans="1:4" x14ac:dyDescent="0.25">
      <c r="D39" s="2"/>
    </row>
    <row r="40" spans="1:4" x14ac:dyDescent="0.25">
      <c r="A40" s="2"/>
    </row>
    <row r="42" spans="1:4" x14ac:dyDescent="0.25">
      <c r="B42" s="16"/>
      <c r="C42" s="16"/>
      <c r="D42" s="39"/>
    </row>
    <row r="44" spans="1:4" x14ac:dyDescent="0.25">
      <c r="B44" s="16"/>
      <c r="C44" s="16"/>
      <c r="D44" s="39"/>
    </row>
    <row r="46" spans="1:4" x14ac:dyDescent="0.25">
      <c r="A46" s="2"/>
    </row>
    <row r="47" spans="1:4" x14ac:dyDescent="0.25">
      <c r="B47" s="16"/>
      <c r="C47" s="16"/>
      <c r="D47" s="39"/>
    </row>
    <row r="48" spans="1:4" x14ac:dyDescent="0.25">
      <c r="B48" s="16"/>
      <c r="C48" s="16"/>
      <c r="D48" s="39"/>
    </row>
    <row r="49" spans="2:4" x14ac:dyDescent="0.25">
      <c r="B49" s="16"/>
      <c r="C49" s="16"/>
      <c r="D49" s="3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C8FF6-EF5A-FF4F-B308-4EBC6CA0B5DD}">
  <sheetPr codeName="Sheet5"/>
  <dimension ref="A1:C44"/>
  <sheetViews>
    <sheetView showGridLines="0" view="pageBreakPreview" topLeftCell="A9" zoomScale="125" zoomScaleNormal="90" workbookViewId="0">
      <selection activeCell="C15" sqref="C15"/>
    </sheetView>
  </sheetViews>
  <sheetFormatPr defaultColWidth="11" defaultRowHeight="15.75" x14ac:dyDescent="0.25"/>
  <cols>
    <col min="2" max="2" width="3.375" bestFit="1" customWidth="1"/>
    <col min="3" max="3" width="108.875" bestFit="1" customWidth="1"/>
  </cols>
  <sheetData>
    <row r="1" spans="1:3" x14ac:dyDescent="0.25">
      <c r="A1" s="17"/>
    </row>
    <row r="2" spans="1:3" x14ac:dyDescent="0.25">
      <c r="A2" s="46" t="s">
        <v>72</v>
      </c>
      <c r="B2" s="47" t="s">
        <v>73</v>
      </c>
      <c r="C2" s="48" t="s">
        <v>71</v>
      </c>
    </row>
    <row r="3" spans="1:3" x14ac:dyDescent="0.25">
      <c r="A3" s="53" t="s">
        <v>4</v>
      </c>
      <c r="B3" s="41">
        <v>1</v>
      </c>
      <c r="C3" s="51" t="s">
        <v>64</v>
      </c>
    </row>
    <row r="4" spans="1:3" x14ac:dyDescent="0.25">
      <c r="A4" s="53"/>
      <c r="B4" s="41">
        <v>2</v>
      </c>
      <c r="C4" s="51" t="s">
        <v>65</v>
      </c>
    </row>
    <row r="5" spans="1:3" x14ac:dyDescent="0.25">
      <c r="A5" s="53"/>
      <c r="B5" s="41">
        <v>3</v>
      </c>
      <c r="C5" s="51" t="s">
        <v>66</v>
      </c>
    </row>
    <row r="6" spans="1:3" x14ac:dyDescent="0.25">
      <c r="A6" s="53"/>
      <c r="B6" s="41">
        <v>4</v>
      </c>
      <c r="C6" s="51" t="s">
        <v>67</v>
      </c>
    </row>
    <row r="7" spans="1:3" x14ac:dyDescent="0.25">
      <c r="A7" s="53"/>
      <c r="B7" s="41">
        <v>5</v>
      </c>
      <c r="C7" s="51" t="s">
        <v>68</v>
      </c>
    </row>
    <row r="8" spans="1:3" x14ac:dyDescent="0.25">
      <c r="A8" s="53"/>
      <c r="B8" s="41">
        <v>6</v>
      </c>
      <c r="C8" s="51" t="s">
        <v>69</v>
      </c>
    </row>
    <row r="9" spans="1:3" x14ac:dyDescent="0.25">
      <c r="A9" s="53"/>
      <c r="B9" s="41">
        <v>7</v>
      </c>
      <c r="C9" s="51" t="s">
        <v>100</v>
      </c>
    </row>
    <row r="10" spans="1:3" x14ac:dyDescent="0.25">
      <c r="A10" s="53"/>
      <c r="B10" s="41">
        <v>8</v>
      </c>
      <c r="C10" s="51" t="s">
        <v>70</v>
      </c>
    </row>
    <row r="11" spans="1:3" x14ac:dyDescent="0.25">
      <c r="A11" s="53"/>
      <c r="B11" s="41">
        <v>9</v>
      </c>
      <c r="C11" s="51" t="s">
        <v>77</v>
      </c>
    </row>
    <row r="12" spans="1:3" x14ac:dyDescent="0.25">
      <c r="A12" s="53"/>
      <c r="B12" s="41">
        <v>10</v>
      </c>
      <c r="C12" s="51" t="s">
        <v>103</v>
      </c>
    </row>
    <row r="13" spans="1:3" x14ac:dyDescent="0.25">
      <c r="A13" s="53" t="s">
        <v>5</v>
      </c>
      <c r="B13" s="41">
        <v>1</v>
      </c>
      <c r="C13" s="51" t="s">
        <v>74</v>
      </c>
    </row>
    <row r="14" spans="1:3" x14ac:dyDescent="0.25">
      <c r="A14" s="53"/>
      <c r="B14" s="41">
        <v>2</v>
      </c>
      <c r="C14" s="51" t="s">
        <v>75</v>
      </c>
    </row>
    <row r="15" spans="1:3" x14ac:dyDescent="0.25">
      <c r="A15" s="53"/>
      <c r="B15" s="41">
        <v>3</v>
      </c>
      <c r="C15" s="51" t="s">
        <v>120</v>
      </c>
    </row>
    <row r="16" spans="1:3" x14ac:dyDescent="0.25">
      <c r="A16" s="53"/>
      <c r="B16" s="41">
        <v>4</v>
      </c>
      <c r="C16" s="51" t="s">
        <v>78</v>
      </c>
    </row>
    <row r="17" spans="1:3" x14ac:dyDescent="0.25">
      <c r="A17" s="53"/>
      <c r="B17" s="41">
        <v>5</v>
      </c>
      <c r="C17" s="51" t="s">
        <v>125</v>
      </c>
    </row>
    <row r="18" spans="1:3" x14ac:dyDescent="0.25">
      <c r="A18" s="53"/>
      <c r="B18" s="41">
        <v>6</v>
      </c>
      <c r="C18" s="51" t="s">
        <v>121</v>
      </c>
    </row>
    <row r="19" spans="1:3" x14ac:dyDescent="0.25">
      <c r="A19" s="53"/>
      <c r="B19" s="41">
        <v>7</v>
      </c>
      <c r="C19" s="51" t="s">
        <v>122</v>
      </c>
    </row>
    <row r="20" spans="1:3" x14ac:dyDescent="0.25">
      <c r="A20" s="53"/>
      <c r="B20" s="41">
        <v>8</v>
      </c>
      <c r="C20" s="51" t="s">
        <v>123</v>
      </c>
    </row>
    <row r="21" spans="1:3" x14ac:dyDescent="0.25">
      <c r="A21" s="53"/>
      <c r="B21" s="41">
        <v>9</v>
      </c>
      <c r="C21" s="51" t="s">
        <v>124</v>
      </c>
    </row>
    <row r="22" spans="1:3" x14ac:dyDescent="0.25">
      <c r="A22" s="53"/>
      <c r="B22" s="41">
        <v>10</v>
      </c>
      <c r="C22" s="51" t="s">
        <v>76</v>
      </c>
    </row>
    <row r="23" spans="1:3" x14ac:dyDescent="0.25">
      <c r="A23" s="53"/>
      <c r="B23" s="41">
        <v>11</v>
      </c>
      <c r="C23" s="51" t="s">
        <v>126</v>
      </c>
    </row>
    <row r="24" spans="1:3" x14ac:dyDescent="0.25">
      <c r="A24" s="53" t="s">
        <v>6</v>
      </c>
      <c r="B24" s="41">
        <v>1</v>
      </c>
      <c r="C24" s="51" t="s">
        <v>79</v>
      </c>
    </row>
    <row r="25" spans="1:3" x14ac:dyDescent="0.25">
      <c r="A25" s="53"/>
      <c r="B25" s="41">
        <v>2</v>
      </c>
      <c r="C25" s="51" t="s">
        <v>80</v>
      </c>
    </row>
    <row r="26" spans="1:3" x14ac:dyDescent="0.25">
      <c r="A26" s="53"/>
      <c r="B26" s="41">
        <v>3</v>
      </c>
      <c r="C26" s="51" t="s">
        <v>127</v>
      </c>
    </row>
    <row r="27" spans="1:3" x14ac:dyDescent="0.25">
      <c r="A27" s="53"/>
      <c r="B27" s="41">
        <v>4</v>
      </c>
      <c r="C27" s="51" t="s">
        <v>128</v>
      </c>
    </row>
    <row r="28" spans="1:3" x14ac:dyDescent="0.25">
      <c r="A28" s="53"/>
      <c r="B28" s="41">
        <v>5</v>
      </c>
      <c r="C28" s="51" t="s">
        <v>86</v>
      </c>
    </row>
    <row r="29" spans="1:3" x14ac:dyDescent="0.25">
      <c r="A29" s="53"/>
      <c r="B29" s="41">
        <v>6</v>
      </c>
      <c r="C29" s="51" t="s">
        <v>87</v>
      </c>
    </row>
    <row r="30" spans="1:3" x14ac:dyDescent="0.25">
      <c r="A30" s="53"/>
      <c r="B30" s="41">
        <v>7</v>
      </c>
      <c r="C30" s="51" t="s">
        <v>101</v>
      </c>
    </row>
    <row r="31" spans="1:3" x14ac:dyDescent="0.25">
      <c r="A31" s="53"/>
      <c r="B31" s="41">
        <v>8</v>
      </c>
      <c r="C31" s="51" t="s">
        <v>70</v>
      </c>
    </row>
    <row r="32" spans="1:3" x14ac:dyDescent="0.25">
      <c r="A32" s="53"/>
      <c r="B32" s="41">
        <v>9</v>
      </c>
      <c r="C32" s="51" t="s">
        <v>81</v>
      </c>
    </row>
    <row r="33" spans="1:3" x14ac:dyDescent="0.25">
      <c r="A33" s="53"/>
      <c r="B33" s="41">
        <v>10</v>
      </c>
      <c r="C33" s="51" t="s">
        <v>76</v>
      </c>
    </row>
    <row r="34" spans="1:3" x14ac:dyDescent="0.25">
      <c r="A34" s="53"/>
      <c r="B34" s="41">
        <v>11</v>
      </c>
      <c r="C34" s="51" t="s">
        <v>82</v>
      </c>
    </row>
    <row r="35" spans="1:3" x14ac:dyDescent="0.25">
      <c r="A35" s="53" t="s">
        <v>7</v>
      </c>
      <c r="B35" s="41">
        <v>1</v>
      </c>
      <c r="C35" s="51" t="s">
        <v>83</v>
      </c>
    </row>
    <row r="36" spans="1:3" x14ac:dyDescent="0.25">
      <c r="A36" s="53"/>
      <c r="B36" s="41">
        <v>2</v>
      </c>
      <c r="C36" s="51" t="s">
        <v>84</v>
      </c>
    </row>
    <row r="37" spans="1:3" x14ac:dyDescent="0.25">
      <c r="A37" s="53"/>
      <c r="B37" s="41">
        <v>3</v>
      </c>
      <c r="C37" s="51" t="s">
        <v>131</v>
      </c>
    </row>
    <row r="38" spans="1:3" x14ac:dyDescent="0.25">
      <c r="A38" s="53"/>
      <c r="B38" s="41">
        <v>4</v>
      </c>
      <c r="C38" s="51" t="s">
        <v>132</v>
      </c>
    </row>
    <row r="39" spans="1:3" x14ac:dyDescent="0.25">
      <c r="A39" s="53"/>
      <c r="B39" s="41">
        <v>5</v>
      </c>
      <c r="C39" s="51" t="s">
        <v>88</v>
      </c>
    </row>
    <row r="40" spans="1:3" x14ac:dyDescent="0.25">
      <c r="A40" s="53"/>
      <c r="B40" s="41">
        <v>6</v>
      </c>
      <c r="C40" s="51" t="s">
        <v>89</v>
      </c>
    </row>
    <row r="41" spans="1:3" x14ac:dyDescent="0.25">
      <c r="A41" s="53"/>
      <c r="B41" s="41">
        <v>7</v>
      </c>
      <c r="C41" s="51" t="s">
        <v>102</v>
      </c>
    </row>
    <row r="42" spans="1:3" x14ac:dyDescent="0.25">
      <c r="A42" s="53"/>
      <c r="B42" s="41">
        <v>8</v>
      </c>
      <c r="C42" s="51" t="s">
        <v>90</v>
      </c>
    </row>
    <row r="43" spans="1:3" x14ac:dyDescent="0.25">
      <c r="A43" s="53"/>
      <c r="B43" s="41">
        <v>9</v>
      </c>
      <c r="C43" s="51" t="s">
        <v>85</v>
      </c>
    </row>
    <row r="44" spans="1:3" x14ac:dyDescent="0.25">
      <c r="A44" s="53"/>
      <c r="B44" s="41">
        <v>10</v>
      </c>
      <c r="C44" s="51" t="s">
        <v>76</v>
      </c>
    </row>
  </sheetData>
  <autoFilter ref="B2:C44" xr:uid="{67FC8FF6-EF5A-FF4F-B308-4EBC6CA0B5DD}"/>
  <mergeCells count="4">
    <mergeCell ref="A3:A12"/>
    <mergeCell ref="A13:A23"/>
    <mergeCell ref="A24:A34"/>
    <mergeCell ref="A35:A44"/>
  </mergeCells>
  <pageMargins left="0.7" right="0.7" top="0.75" bottom="0.75" header="0.3" footer="0.3"/>
  <pageSetup paperSize="9" scale="6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D2BF1-1C25-604C-810B-8D8216D3C264}">
  <sheetPr codeName="Sheet6">
    <tabColor theme="6" tint="0.59999389629810485"/>
  </sheetPr>
  <dimension ref="A1:G97"/>
  <sheetViews>
    <sheetView view="pageBreakPreview" topLeftCell="A26" zoomScale="141" zoomScaleNormal="75" workbookViewId="0">
      <selection activeCell="D33" sqref="D33"/>
    </sheetView>
  </sheetViews>
  <sheetFormatPr defaultColWidth="11" defaultRowHeight="15.75" x14ac:dyDescent="0.25"/>
  <cols>
    <col min="4" max="4" width="26.375" bestFit="1" customWidth="1"/>
    <col min="5" max="5" width="66.125" bestFit="1" customWidth="1"/>
    <col min="6" max="6" width="12.5" style="12" bestFit="1" customWidth="1"/>
    <col min="7" max="7" width="12.125" style="12" bestFit="1" customWidth="1"/>
  </cols>
  <sheetData>
    <row r="1" spans="1:7" x14ac:dyDescent="0.25">
      <c r="A1" s="14" t="s">
        <v>167</v>
      </c>
    </row>
    <row r="2" spans="1:7" x14ac:dyDescent="0.25">
      <c r="A2" s="14" t="s">
        <v>155</v>
      </c>
    </row>
    <row r="3" spans="1:7" x14ac:dyDescent="0.25">
      <c r="A3" s="14" t="s">
        <v>8</v>
      </c>
      <c r="E3" s="1"/>
    </row>
    <row r="4" spans="1:7" x14ac:dyDescent="0.25">
      <c r="A4" s="14" t="s">
        <v>227</v>
      </c>
    </row>
    <row r="5" spans="1:7" x14ac:dyDescent="0.25">
      <c r="A5" t="s">
        <v>72</v>
      </c>
      <c r="B5" t="s">
        <v>73</v>
      </c>
      <c r="C5" t="s">
        <v>91</v>
      </c>
      <c r="D5" t="s">
        <v>92</v>
      </c>
      <c r="E5" t="s">
        <v>94</v>
      </c>
      <c r="F5" s="12" t="s">
        <v>95</v>
      </c>
      <c r="G5" s="12" t="s">
        <v>96</v>
      </c>
    </row>
    <row r="6" spans="1:7" x14ac:dyDescent="0.25">
      <c r="A6" s="14" t="s">
        <v>4</v>
      </c>
      <c r="B6">
        <v>1</v>
      </c>
      <c r="C6">
        <f>IF(D6="","",_xlfn.XLOOKUP(D6,TB!B:B,TB!A:A,""))</f>
        <v>1101</v>
      </c>
      <c r="D6" t="s">
        <v>23</v>
      </c>
      <c r="F6" s="12">
        <v>300000</v>
      </c>
    </row>
    <row r="7" spans="1:7" x14ac:dyDescent="0.25">
      <c r="C7">
        <f>IF(D7="","",_xlfn.XLOOKUP(D7,TB!B:B,TB!A:A,""))</f>
        <v>1102</v>
      </c>
      <c r="D7" t="s">
        <v>93</v>
      </c>
      <c r="G7" s="12">
        <v>300000</v>
      </c>
    </row>
    <row r="8" spans="1:7" x14ac:dyDescent="0.25">
      <c r="B8">
        <v>2</v>
      </c>
      <c r="C8">
        <f>IF(D8="","",_xlfn.XLOOKUP(D8,TB!B:B,TB!A:A,""))</f>
        <v>1101</v>
      </c>
      <c r="D8" t="s">
        <v>23</v>
      </c>
      <c r="F8" s="12">
        <v>720000</v>
      </c>
    </row>
    <row r="9" spans="1:7" x14ac:dyDescent="0.25">
      <c r="C9">
        <f>IF(D9="","",_xlfn.XLOOKUP(D9,TB!B:B,TB!A:A,""))</f>
        <v>1102</v>
      </c>
      <c r="D9" t="s">
        <v>93</v>
      </c>
      <c r="F9" s="12">
        <v>480000</v>
      </c>
    </row>
    <row r="10" spans="1:7" x14ac:dyDescent="0.25">
      <c r="C10">
        <f>IF(D10="","",_xlfn.XLOOKUP(D10,TB!B:B,TB!A:A,""))</f>
        <v>4001</v>
      </c>
      <c r="D10" t="s">
        <v>97</v>
      </c>
      <c r="G10" s="12">
        <f>SUM(F8:F9)</f>
        <v>1200000</v>
      </c>
    </row>
    <row r="11" spans="1:7" x14ac:dyDescent="0.25">
      <c r="B11">
        <v>3</v>
      </c>
      <c r="C11">
        <f>IF(D11="","",_xlfn.XLOOKUP(D11,TB!B:B,TB!A:A,""))</f>
        <v>2101</v>
      </c>
      <c r="D11" t="s">
        <v>98</v>
      </c>
      <c r="F11" s="12">
        <v>250000</v>
      </c>
    </row>
    <row r="12" spans="1:7" x14ac:dyDescent="0.25">
      <c r="C12">
        <f>IF(D12="","",_xlfn.XLOOKUP(D12,TB!B:B,TB!A:A,""))</f>
        <v>1101</v>
      </c>
      <c r="D12" t="s">
        <v>23</v>
      </c>
      <c r="G12" s="12">
        <v>250000</v>
      </c>
    </row>
    <row r="13" spans="1:7" x14ac:dyDescent="0.25">
      <c r="B13">
        <v>4</v>
      </c>
      <c r="C13">
        <f>IF(D13="","",_xlfn.XLOOKUP(D13,TB!B:B,TB!A:A,""))</f>
        <v>2102</v>
      </c>
      <c r="D13" t="s">
        <v>37</v>
      </c>
      <c r="F13" s="12">
        <v>70000</v>
      </c>
    </row>
    <row r="14" spans="1:7" x14ac:dyDescent="0.25">
      <c r="C14">
        <f>IF(D14="","",_xlfn.XLOOKUP(D14,TB!B:B,TB!A:A,""))</f>
        <v>1101</v>
      </c>
      <c r="D14" t="s">
        <v>23</v>
      </c>
      <c r="G14" s="12">
        <v>70000</v>
      </c>
    </row>
    <row r="15" spans="1:7" x14ac:dyDescent="0.25">
      <c r="B15">
        <v>5</v>
      </c>
      <c r="C15">
        <f>IF(D15="","",_xlfn.XLOOKUP(D15,TB!B:B,TB!A:A,""))</f>
        <v>6002</v>
      </c>
      <c r="D15" t="s">
        <v>99</v>
      </c>
      <c r="F15" s="12">
        <v>150000</v>
      </c>
    </row>
    <row r="16" spans="1:7" x14ac:dyDescent="0.25">
      <c r="C16">
        <f>IF(D16="","",_xlfn.XLOOKUP(D16,TB!B:B,TB!A:A,""))</f>
        <v>1101</v>
      </c>
      <c r="D16" t="s">
        <v>23</v>
      </c>
      <c r="G16" s="12">
        <v>150000</v>
      </c>
    </row>
    <row r="17" spans="1:7" x14ac:dyDescent="0.25">
      <c r="B17">
        <v>6</v>
      </c>
      <c r="C17">
        <f>IF(D17="","",_xlfn.XLOOKUP(D17,TB!B:B,TB!A:A,""))</f>
        <v>6001</v>
      </c>
      <c r="D17" t="s">
        <v>105</v>
      </c>
      <c r="F17" s="12">
        <v>80000</v>
      </c>
    </row>
    <row r="18" spans="1:7" x14ac:dyDescent="0.25">
      <c r="C18">
        <f>IF(D18="","",_xlfn.XLOOKUP(D18,TB!B:B,TB!A:A,""))</f>
        <v>1101</v>
      </c>
      <c r="D18" t="s">
        <v>23</v>
      </c>
      <c r="G18" s="12">
        <v>80000</v>
      </c>
    </row>
    <row r="19" spans="1:7" x14ac:dyDescent="0.25">
      <c r="B19">
        <v>7</v>
      </c>
      <c r="C19">
        <f>IF(D19="","",_xlfn.XLOOKUP(D19,TB!B:B,TB!A:A,""))</f>
        <v>6003</v>
      </c>
      <c r="D19" t="s">
        <v>158</v>
      </c>
      <c r="F19" s="12">
        <v>30000</v>
      </c>
    </row>
    <row r="20" spans="1:7" x14ac:dyDescent="0.25">
      <c r="C20">
        <f>IF(D20="","",_xlfn.XLOOKUP(D20,TB!B:B,TB!A:A,""))</f>
        <v>1101</v>
      </c>
      <c r="D20" t="s">
        <v>23</v>
      </c>
      <c r="G20" s="12">
        <v>30000</v>
      </c>
    </row>
    <row r="21" spans="1:7" x14ac:dyDescent="0.25">
      <c r="B21">
        <v>8</v>
      </c>
      <c r="C21">
        <f>IF(D21="","",_xlfn.XLOOKUP(D21,TB!B:B,TB!A:A,""))</f>
        <v>6006</v>
      </c>
      <c r="D21" t="s">
        <v>104</v>
      </c>
      <c r="F21" s="12">
        <v>40000</v>
      </c>
    </row>
    <row r="22" spans="1:7" x14ac:dyDescent="0.25">
      <c r="C22">
        <f>IF(D22="","",_xlfn.XLOOKUP(D22,TB!B:B,TB!A:A,""))</f>
        <v>1101</v>
      </c>
      <c r="D22" t="s">
        <v>23</v>
      </c>
      <c r="G22" s="12">
        <v>40000</v>
      </c>
    </row>
    <row r="23" spans="1:7" x14ac:dyDescent="0.25">
      <c r="B23">
        <v>9</v>
      </c>
      <c r="C23">
        <f>IF(D23="","",_xlfn.XLOOKUP(D23,TB!B:B,TB!A:A,""))</f>
        <v>2201</v>
      </c>
      <c r="D23" t="s">
        <v>106</v>
      </c>
      <c r="F23" s="12">
        <v>62500</v>
      </c>
    </row>
    <row r="24" spans="1:7" x14ac:dyDescent="0.25">
      <c r="C24">
        <f>IF(D24="","",_xlfn.XLOOKUP(D24,TB!B:B,TB!A:A,""))</f>
        <v>6007</v>
      </c>
      <c r="D24" t="s">
        <v>107</v>
      </c>
      <c r="F24" s="12">
        <v>11250</v>
      </c>
    </row>
    <row r="25" spans="1:7" x14ac:dyDescent="0.25">
      <c r="A25" s="14"/>
      <c r="C25">
        <f>IF(D25="","",_xlfn.XLOOKUP(D25,TB!B:B,TB!A:A,""))</f>
        <v>1101</v>
      </c>
      <c r="D25" t="s">
        <v>23</v>
      </c>
      <c r="G25" s="12">
        <f>SUM(F23:F24)</f>
        <v>73750</v>
      </c>
    </row>
    <row r="26" spans="1:7" x14ac:dyDescent="0.25">
      <c r="B26">
        <v>10</v>
      </c>
      <c r="C26">
        <f>IF(D26="","",_xlfn.XLOOKUP(D26,TB!B:B,TB!A:A,""))</f>
        <v>5001</v>
      </c>
      <c r="D26" t="s">
        <v>15</v>
      </c>
      <c r="F26" s="12">
        <v>780000</v>
      </c>
    </row>
    <row r="27" spans="1:7" x14ac:dyDescent="0.25">
      <c r="C27">
        <f>IF(D27="","",_xlfn.XLOOKUP(D27,TB!B:B,TB!A:A,""))</f>
        <v>1101</v>
      </c>
      <c r="D27" t="s">
        <v>23</v>
      </c>
      <c r="G27" s="12">
        <v>780000</v>
      </c>
    </row>
    <row r="28" spans="1:7" x14ac:dyDescent="0.25">
      <c r="A28" s="14" t="s">
        <v>5</v>
      </c>
      <c r="B28">
        <v>1</v>
      </c>
      <c r="C28">
        <f>IF(D28="","",_xlfn.XLOOKUP(D28,TB!B:B,TB!A:A,""))</f>
        <v>1101</v>
      </c>
      <c r="D28" t="s">
        <v>23</v>
      </c>
      <c r="F28" s="12">
        <v>480000</v>
      </c>
    </row>
    <row r="29" spans="1:7" x14ac:dyDescent="0.25">
      <c r="C29">
        <f>IF(D29="","",_xlfn.XLOOKUP(D29,TB!B:B,TB!A:A,""))</f>
        <v>1102</v>
      </c>
      <c r="D29" t="s">
        <v>93</v>
      </c>
      <c r="G29" s="12">
        <v>480000</v>
      </c>
    </row>
    <row r="30" spans="1:7" x14ac:dyDescent="0.25">
      <c r="B30">
        <v>2</v>
      </c>
      <c r="C30">
        <f>IF(D30="","",_xlfn.XLOOKUP(D30,TB!B:B,TB!A:A,""))</f>
        <v>1101</v>
      </c>
      <c r="D30" t="s">
        <v>23</v>
      </c>
      <c r="F30" s="12">
        <v>840000</v>
      </c>
    </row>
    <row r="31" spans="1:7" x14ac:dyDescent="0.25">
      <c r="C31">
        <f>IF(D31="","",_xlfn.XLOOKUP(D31,TB!B:B,TB!A:A,""))</f>
        <v>1102</v>
      </c>
      <c r="D31" t="s">
        <v>93</v>
      </c>
      <c r="F31" s="12">
        <v>560000</v>
      </c>
    </row>
    <row r="32" spans="1:7" x14ac:dyDescent="0.25">
      <c r="C32">
        <f>IF(D32="","",_xlfn.XLOOKUP(D32,TB!B:B,TB!A:A,""))</f>
        <v>4001</v>
      </c>
      <c r="D32" t="s">
        <v>97</v>
      </c>
      <c r="G32" s="12">
        <f>SUM(F30:F31)</f>
        <v>1400000</v>
      </c>
    </row>
    <row r="33" spans="2:7" x14ac:dyDescent="0.25">
      <c r="B33">
        <v>3</v>
      </c>
      <c r="C33">
        <f>IF(D33="","",_xlfn.XLOOKUP(D33,TB!B:B,TB!A:A,""))</f>
        <v>5001</v>
      </c>
      <c r="D33" t="s">
        <v>15</v>
      </c>
      <c r="F33" s="12">
        <v>300000</v>
      </c>
    </row>
    <row r="34" spans="2:7" x14ac:dyDescent="0.25">
      <c r="C34">
        <f>IF(D34="","",_xlfn.XLOOKUP(D34,TB!B:B,TB!A:A,""))</f>
        <v>1101</v>
      </c>
      <c r="D34" t="s">
        <v>23</v>
      </c>
      <c r="G34" s="12">
        <v>300000</v>
      </c>
    </row>
    <row r="35" spans="2:7" x14ac:dyDescent="0.25">
      <c r="B35">
        <v>4</v>
      </c>
      <c r="C35">
        <f>IF(D35="","",_xlfn.XLOOKUP(D35,TB!B:B,TB!A:A,""))</f>
        <v>1104</v>
      </c>
      <c r="D35" t="s">
        <v>108</v>
      </c>
      <c r="F35" s="12">
        <v>600000</v>
      </c>
    </row>
    <row r="36" spans="2:7" x14ac:dyDescent="0.25">
      <c r="C36">
        <f>IF(D36="","",_xlfn.XLOOKUP(D36,TB!B:B,TB!A:A,""))</f>
        <v>1101</v>
      </c>
      <c r="D36" t="s">
        <v>23</v>
      </c>
      <c r="G36" s="12">
        <v>600000</v>
      </c>
    </row>
    <row r="37" spans="2:7" x14ac:dyDescent="0.25">
      <c r="B37">
        <v>5</v>
      </c>
      <c r="C37">
        <f>IF(D37="","",_xlfn.XLOOKUP(D37,TB!B:B,TB!A:A,""))</f>
        <v>1103</v>
      </c>
      <c r="D37" t="s">
        <v>25</v>
      </c>
      <c r="F37" s="12">
        <v>90000</v>
      </c>
    </row>
    <row r="38" spans="2:7" x14ac:dyDescent="0.25">
      <c r="C38">
        <f>IF(D38="","",_xlfn.XLOOKUP(D38,TB!B:B,TB!A:A,""))</f>
        <v>2101</v>
      </c>
      <c r="D38" t="s">
        <v>98</v>
      </c>
      <c r="G38" s="12">
        <v>90000</v>
      </c>
    </row>
    <row r="39" spans="2:7" x14ac:dyDescent="0.25">
      <c r="B39">
        <v>6</v>
      </c>
      <c r="C39">
        <f>IF(D39="","",_xlfn.XLOOKUP(D39,TB!B:B,TB!A:A,""))</f>
        <v>6002</v>
      </c>
      <c r="D39" t="s">
        <v>99</v>
      </c>
      <c r="F39" s="12">
        <v>170000</v>
      </c>
    </row>
    <row r="40" spans="2:7" x14ac:dyDescent="0.25">
      <c r="C40">
        <f>IF(D40="","",_xlfn.XLOOKUP(D40,TB!B:B,TB!A:A,""))</f>
        <v>1101</v>
      </c>
      <c r="D40" t="s">
        <v>23</v>
      </c>
      <c r="G40" s="12">
        <v>170000</v>
      </c>
    </row>
    <row r="41" spans="2:7" x14ac:dyDescent="0.25">
      <c r="B41">
        <v>7</v>
      </c>
      <c r="C41">
        <f>IF(D41="","",_xlfn.XLOOKUP(D41,TB!B:B,TB!A:A,""))</f>
        <v>6001</v>
      </c>
      <c r="D41" t="s">
        <v>105</v>
      </c>
      <c r="F41" s="12">
        <v>110000</v>
      </c>
    </row>
    <row r="42" spans="2:7" x14ac:dyDescent="0.25">
      <c r="C42">
        <f>IF(D42="","",_xlfn.XLOOKUP(D42,TB!B:B,TB!A:A,""))</f>
        <v>1101</v>
      </c>
      <c r="D42" t="s">
        <v>23</v>
      </c>
      <c r="G42" s="12">
        <v>110000</v>
      </c>
    </row>
    <row r="43" spans="2:7" x14ac:dyDescent="0.25">
      <c r="B43">
        <v>8</v>
      </c>
      <c r="C43">
        <f>IF(D43="","",_xlfn.XLOOKUP(D43,TB!B:B,TB!A:A,""))</f>
        <v>6003</v>
      </c>
      <c r="D43" t="s">
        <v>158</v>
      </c>
      <c r="F43" s="12">
        <v>40000</v>
      </c>
    </row>
    <row r="44" spans="2:7" x14ac:dyDescent="0.25">
      <c r="C44">
        <f>IF(D44="","",_xlfn.XLOOKUP(D44,TB!B:B,TB!A:A,""))</f>
        <v>1101</v>
      </c>
      <c r="D44" t="s">
        <v>23</v>
      </c>
      <c r="G44" s="12">
        <v>40000</v>
      </c>
    </row>
    <row r="45" spans="2:7" x14ac:dyDescent="0.25">
      <c r="B45">
        <v>9</v>
      </c>
      <c r="C45">
        <f>IF(D45="","",_xlfn.XLOOKUP(D45,TB!B:B,TB!A:A,""))</f>
        <v>6006</v>
      </c>
      <c r="D45" t="s">
        <v>104</v>
      </c>
      <c r="F45" s="12">
        <v>30000</v>
      </c>
    </row>
    <row r="46" spans="2:7" x14ac:dyDescent="0.25">
      <c r="C46">
        <f>IF(D46="","",_xlfn.XLOOKUP(D46,TB!B:B,TB!A:A,""))</f>
        <v>1101</v>
      </c>
      <c r="D46" t="s">
        <v>23</v>
      </c>
      <c r="G46" s="12">
        <v>30000</v>
      </c>
    </row>
    <row r="47" spans="2:7" x14ac:dyDescent="0.25">
      <c r="B47">
        <v>10</v>
      </c>
      <c r="C47">
        <f>IF(D47="","",_xlfn.XLOOKUP(D47,TB!B:B,TB!A:A,""))</f>
        <v>2201</v>
      </c>
      <c r="D47" t="s">
        <v>106</v>
      </c>
      <c r="F47" s="12">
        <v>62500</v>
      </c>
    </row>
    <row r="48" spans="2:7" x14ac:dyDescent="0.25">
      <c r="C48">
        <f>IF(D48="","",_xlfn.XLOOKUP(D48,TB!B:B,TB!A:A,""))</f>
        <v>6007</v>
      </c>
      <c r="D48" t="s">
        <v>107</v>
      </c>
      <c r="F48" s="12">
        <v>11250</v>
      </c>
    </row>
    <row r="49" spans="1:7" x14ac:dyDescent="0.25">
      <c r="C49">
        <f>IF(D49="","",_xlfn.XLOOKUP(D49,TB!B:B,TB!A:A,""))</f>
        <v>1101</v>
      </c>
      <c r="D49" t="s">
        <v>23</v>
      </c>
      <c r="G49" s="12">
        <f>SUM(F47:F48)</f>
        <v>73750</v>
      </c>
    </row>
    <row r="50" spans="1:7" x14ac:dyDescent="0.25">
      <c r="B50">
        <v>11</v>
      </c>
      <c r="C50">
        <f>IF(D50="","",_xlfn.XLOOKUP(D50,TB!B:B,TB!A:A,""))</f>
        <v>1201</v>
      </c>
      <c r="D50" t="s">
        <v>109</v>
      </c>
      <c r="F50" s="12">
        <v>200000</v>
      </c>
    </row>
    <row r="51" spans="1:7" x14ac:dyDescent="0.25">
      <c r="C51">
        <f>IF(D51="","",_xlfn.XLOOKUP(D51,TB!B:B,TB!A:A,""))</f>
        <v>2101</v>
      </c>
      <c r="D51" t="s">
        <v>98</v>
      </c>
      <c r="G51" s="12">
        <v>200000</v>
      </c>
    </row>
    <row r="52" spans="1:7" x14ac:dyDescent="0.25">
      <c r="A52" s="14" t="s">
        <v>6</v>
      </c>
      <c r="B52">
        <v>1</v>
      </c>
      <c r="C52">
        <f>IF(D52="","",_xlfn.XLOOKUP(D52,TB!B:B,TB!A:A,""))</f>
        <v>1101</v>
      </c>
      <c r="D52" t="s">
        <v>23</v>
      </c>
      <c r="F52" s="12">
        <v>560000</v>
      </c>
    </row>
    <row r="53" spans="1:7" x14ac:dyDescent="0.25">
      <c r="C53">
        <f>IF(D53="","",_xlfn.XLOOKUP(D53,TB!B:B,TB!A:A,""))</f>
        <v>1102</v>
      </c>
      <c r="D53" t="s">
        <v>93</v>
      </c>
      <c r="G53" s="12">
        <v>560000</v>
      </c>
    </row>
    <row r="54" spans="1:7" x14ac:dyDescent="0.25">
      <c r="B54">
        <v>2</v>
      </c>
      <c r="C54">
        <f>IF(D54="","",_xlfn.XLOOKUP(D54,TB!B:B,TB!A:A,""))</f>
        <v>1101</v>
      </c>
      <c r="D54" t="s">
        <v>23</v>
      </c>
      <c r="F54" s="12">
        <v>960000</v>
      </c>
    </row>
    <row r="55" spans="1:7" x14ac:dyDescent="0.25">
      <c r="C55">
        <f>IF(D55="","",_xlfn.XLOOKUP(D55,TB!B:B,TB!A:A,""))</f>
        <v>1102</v>
      </c>
      <c r="D55" t="s">
        <v>93</v>
      </c>
      <c r="F55" s="12">
        <v>640000</v>
      </c>
    </row>
    <row r="56" spans="1:7" x14ac:dyDescent="0.25">
      <c r="C56">
        <f>IF(D56="","",_xlfn.XLOOKUP(D56,TB!B:B,TB!A:A,""))</f>
        <v>4001</v>
      </c>
      <c r="D56" t="s">
        <v>97</v>
      </c>
      <c r="G56" s="12">
        <f>SUM(F54:F55)</f>
        <v>1600000</v>
      </c>
    </row>
    <row r="57" spans="1:7" x14ac:dyDescent="0.25">
      <c r="B57">
        <v>3</v>
      </c>
      <c r="C57">
        <f>IF(D57="","",_xlfn.XLOOKUP(D57,TB!B:B,TB!A:A,""))</f>
        <v>1103</v>
      </c>
      <c r="D57" t="s">
        <v>25</v>
      </c>
      <c r="F57" s="12">
        <v>150000</v>
      </c>
    </row>
    <row r="58" spans="1:7" x14ac:dyDescent="0.25">
      <c r="C58">
        <f>IF(D58="","",_xlfn.XLOOKUP(D58,TB!B:B,TB!A:A,""))</f>
        <v>2101</v>
      </c>
      <c r="D58" t="s">
        <v>98</v>
      </c>
      <c r="G58" s="12">
        <v>150000</v>
      </c>
    </row>
    <row r="59" spans="1:7" x14ac:dyDescent="0.25">
      <c r="B59">
        <v>4</v>
      </c>
      <c r="C59">
        <f>IF(D59="","",_xlfn.XLOOKUP(D59,TB!B:B,TB!A:A,""))</f>
        <v>2101</v>
      </c>
      <c r="D59" t="s">
        <v>98</v>
      </c>
      <c r="F59" s="12">
        <v>350000</v>
      </c>
    </row>
    <row r="60" spans="1:7" x14ac:dyDescent="0.25">
      <c r="C60">
        <f>IF(D60="","",_xlfn.XLOOKUP(D60,TB!B:B,TB!A:A,""))</f>
        <v>1101</v>
      </c>
      <c r="D60" t="s">
        <v>23</v>
      </c>
      <c r="G60" s="12">
        <v>350000</v>
      </c>
    </row>
    <row r="61" spans="1:7" x14ac:dyDescent="0.25">
      <c r="B61">
        <v>5</v>
      </c>
      <c r="C61">
        <f>IF(D61="","",_xlfn.XLOOKUP(D61,TB!B:B,TB!A:A,""))</f>
        <v>6002</v>
      </c>
      <c r="D61" t="s">
        <v>99</v>
      </c>
      <c r="F61" s="12">
        <v>190000</v>
      </c>
    </row>
    <row r="62" spans="1:7" x14ac:dyDescent="0.25">
      <c r="C62">
        <f>IF(D62="","",_xlfn.XLOOKUP(D62,TB!B:B,TB!A:A,""))</f>
        <v>1101</v>
      </c>
      <c r="D62" t="s">
        <v>23</v>
      </c>
      <c r="G62" s="12">
        <v>190000</v>
      </c>
    </row>
    <row r="63" spans="1:7" x14ac:dyDescent="0.25">
      <c r="B63">
        <v>6</v>
      </c>
      <c r="C63">
        <f>IF(D63="","",_xlfn.XLOOKUP(D63,TB!B:B,TB!A:A,""))</f>
        <v>6001</v>
      </c>
      <c r="D63" t="s">
        <v>105</v>
      </c>
      <c r="F63" s="12">
        <v>120000</v>
      </c>
    </row>
    <row r="64" spans="1:7" x14ac:dyDescent="0.25">
      <c r="C64">
        <f>IF(D64="","",_xlfn.XLOOKUP(D64,TB!B:B,TB!A:A,""))</f>
        <v>1101</v>
      </c>
      <c r="D64" t="s">
        <v>23</v>
      </c>
      <c r="G64" s="12">
        <v>120000</v>
      </c>
    </row>
    <row r="65" spans="1:7" x14ac:dyDescent="0.25">
      <c r="B65">
        <v>7</v>
      </c>
      <c r="C65">
        <f>IF(D65="","",_xlfn.XLOOKUP(D65,TB!B:B,TB!A:A,""))</f>
        <v>6003</v>
      </c>
      <c r="D65" t="s">
        <v>158</v>
      </c>
      <c r="F65" s="12">
        <v>50000</v>
      </c>
    </row>
    <row r="66" spans="1:7" x14ac:dyDescent="0.25">
      <c r="C66">
        <f>IF(D66="","",_xlfn.XLOOKUP(D66,TB!B:B,TB!A:A,""))</f>
        <v>1101</v>
      </c>
      <c r="D66" t="s">
        <v>23</v>
      </c>
      <c r="G66" s="12">
        <v>50000</v>
      </c>
    </row>
    <row r="67" spans="1:7" x14ac:dyDescent="0.25">
      <c r="B67">
        <v>8</v>
      </c>
      <c r="C67">
        <f>IF(D67="","",_xlfn.XLOOKUP(D67,TB!B:B,TB!A:A,""))</f>
        <v>6006</v>
      </c>
      <c r="D67" t="s">
        <v>104</v>
      </c>
      <c r="F67" s="12">
        <v>40000</v>
      </c>
    </row>
    <row r="68" spans="1:7" x14ac:dyDescent="0.25">
      <c r="C68">
        <f>IF(D68="","",_xlfn.XLOOKUP(D68,TB!B:B,TB!A:A,""))</f>
        <v>1101</v>
      </c>
      <c r="D68" t="s">
        <v>23</v>
      </c>
      <c r="G68" s="12">
        <v>40000</v>
      </c>
    </row>
    <row r="69" spans="1:7" x14ac:dyDescent="0.25">
      <c r="B69">
        <v>9</v>
      </c>
      <c r="C69">
        <f>IF(D69="","",_xlfn.XLOOKUP(D69,TB!B:B,TB!A:A,""))</f>
        <v>5002</v>
      </c>
      <c r="D69" t="s">
        <v>130</v>
      </c>
      <c r="F69" s="12">
        <v>200000</v>
      </c>
    </row>
    <row r="70" spans="1:7" x14ac:dyDescent="0.25">
      <c r="C70">
        <f>IF(D70="","",_xlfn.XLOOKUP(D70,TB!B:B,TB!A:A,""))</f>
        <v>1101</v>
      </c>
      <c r="D70" t="s">
        <v>23</v>
      </c>
      <c r="G70" s="12">
        <v>200000</v>
      </c>
    </row>
    <row r="71" spans="1:7" x14ac:dyDescent="0.25">
      <c r="B71">
        <v>10</v>
      </c>
      <c r="C71">
        <f>IF(D71="","",_xlfn.XLOOKUP(D71,TB!B:B,TB!A:A,""))</f>
        <v>2201</v>
      </c>
      <c r="D71" t="s">
        <v>106</v>
      </c>
      <c r="F71" s="12">
        <v>62500</v>
      </c>
    </row>
    <row r="72" spans="1:7" x14ac:dyDescent="0.25">
      <c r="C72">
        <f>IF(D72="","",_xlfn.XLOOKUP(D72,TB!B:B,TB!A:A,""))</f>
        <v>6007</v>
      </c>
      <c r="D72" t="s">
        <v>107</v>
      </c>
      <c r="F72" s="12">
        <v>11250</v>
      </c>
    </row>
    <row r="73" spans="1:7" x14ac:dyDescent="0.25">
      <c r="C73">
        <f>IF(D73="","",_xlfn.XLOOKUP(D73,TB!B:B,TB!A:A,""))</f>
        <v>1101</v>
      </c>
      <c r="D73" t="s">
        <v>23</v>
      </c>
      <c r="G73" s="12">
        <f>SUM(F71:F72)</f>
        <v>73750</v>
      </c>
    </row>
    <row r="74" spans="1:7" x14ac:dyDescent="0.25">
      <c r="B74">
        <v>11</v>
      </c>
      <c r="C74">
        <f>IF(D74="","",_xlfn.XLOOKUP(D74,TB!B:B,TB!A:A,""))</f>
        <v>1201</v>
      </c>
      <c r="D74" t="s">
        <v>109</v>
      </c>
      <c r="F74" s="12">
        <v>250000</v>
      </c>
    </row>
    <row r="75" spans="1:7" x14ac:dyDescent="0.25">
      <c r="C75">
        <f>IF(D75="","",_xlfn.XLOOKUP(D75,TB!B:B,TB!A:A,""))</f>
        <v>1101</v>
      </c>
      <c r="D75" t="s">
        <v>23</v>
      </c>
      <c r="G75" s="12">
        <v>250000</v>
      </c>
    </row>
    <row r="76" spans="1:7" x14ac:dyDescent="0.25">
      <c r="A76" t="s">
        <v>7</v>
      </c>
      <c r="B76">
        <v>1</v>
      </c>
      <c r="C76">
        <f>IF(D76="","",_xlfn.XLOOKUP(D76,TB!B:B,TB!A:A,""))</f>
        <v>1101</v>
      </c>
      <c r="D76" t="s">
        <v>23</v>
      </c>
      <c r="F76" s="12">
        <v>640000</v>
      </c>
    </row>
    <row r="77" spans="1:7" x14ac:dyDescent="0.25">
      <c r="C77">
        <f>IF(D77="","",_xlfn.XLOOKUP(D77,TB!B:B,TB!A:A,""))</f>
        <v>1102</v>
      </c>
      <c r="D77" t="s">
        <v>93</v>
      </c>
      <c r="G77" s="12">
        <v>640000</v>
      </c>
    </row>
    <row r="78" spans="1:7" x14ac:dyDescent="0.25">
      <c r="B78">
        <v>2</v>
      </c>
      <c r="C78">
        <f>IF(D78="","",_xlfn.XLOOKUP(D78,TB!B:B,TB!A:A,""))</f>
        <v>1101</v>
      </c>
      <c r="D78" t="s">
        <v>23</v>
      </c>
      <c r="F78" s="12">
        <v>1080000</v>
      </c>
    </row>
    <row r="79" spans="1:7" x14ac:dyDescent="0.25">
      <c r="C79">
        <f>IF(D79="","",_xlfn.XLOOKUP(D79,TB!B:B,TB!A:A,""))</f>
        <v>1102</v>
      </c>
      <c r="D79" t="s">
        <v>93</v>
      </c>
      <c r="F79" s="12">
        <v>720000</v>
      </c>
    </row>
    <row r="80" spans="1:7" x14ac:dyDescent="0.25">
      <c r="C80">
        <f>IF(D80="","",_xlfn.XLOOKUP(D80,TB!B:B,TB!A:A,""))</f>
        <v>4001</v>
      </c>
      <c r="D80" t="s">
        <v>97</v>
      </c>
      <c r="G80" s="12">
        <f>SUM(F78:F79)</f>
        <v>1800000</v>
      </c>
    </row>
    <row r="81" spans="2:7" x14ac:dyDescent="0.25">
      <c r="B81">
        <v>3</v>
      </c>
      <c r="C81">
        <f>IF(D81="","",_xlfn.XLOOKUP(D81,TB!B:B,TB!A:A,""))</f>
        <v>2101</v>
      </c>
      <c r="D81" t="s">
        <v>98</v>
      </c>
      <c r="F81" s="12">
        <v>90000</v>
      </c>
    </row>
    <row r="82" spans="2:7" x14ac:dyDescent="0.25">
      <c r="C82">
        <f>IF(D82="","",_xlfn.XLOOKUP(D82,TB!B:B,TB!A:A,""))</f>
        <v>1101</v>
      </c>
      <c r="D82" t="s">
        <v>23</v>
      </c>
      <c r="G82" s="12">
        <v>90000</v>
      </c>
    </row>
    <row r="83" spans="2:7" x14ac:dyDescent="0.25">
      <c r="B83">
        <v>4</v>
      </c>
      <c r="C83">
        <f>IF(D83="","",_xlfn.XLOOKUP(D83,TB!B:B,TB!A:A,""))</f>
        <v>1103</v>
      </c>
      <c r="D83" t="s">
        <v>25</v>
      </c>
      <c r="F83" s="12">
        <v>110000</v>
      </c>
    </row>
    <row r="84" spans="2:7" x14ac:dyDescent="0.25">
      <c r="C84">
        <f>IF(D84="","",_xlfn.XLOOKUP(D84,TB!B:B,TB!A:A,""))</f>
        <v>1101</v>
      </c>
      <c r="D84" t="s">
        <v>23</v>
      </c>
      <c r="G84" s="12">
        <v>110000</v>
      </c>
    </row>
    <row r="85" spans="2:7" x14ac:dyDescent="0.25">
      <c r="B85">
        <v>5</v>
      </c>
      <c r="C85">
        <f>IF(D85="","",_xlfn.XLOOKUP(D85,TB!B:B,TB!A:A,""))</f>
        <v>6002</v>
      </c>
      <c r="D85" t="s">
        <v>99</v>
      </c>
      <c r="F85" s="12">
        <v>210000</v>
      </c>
    </row>
    <row r="86" spans="2:7" x14ac:dyDescent="0.25">
      <c r="C86">
        <f>IF(D86="","",_xlfn.XLOOKUP(D86,TB!B:B,TB!A:A,""))</f>
        <v>1101</v>
      </c>
      <c r="D86" t="s">
        <v>23</v>
      </c>
      <c r="G86" s="12">
        <v>210000</v>
      </c>
    </row>
    <row r="87" spans="2:7" x14ac:dyDescent="0.25">
      <c r="B87">
        <v>6</v>
      </c>
      <c r="C87">
        <f>IF(D87="","",_xlfn.XLOOKUP(D87,TB!B:B,TB!A:A,""))</f>
        <v>6001</v>
      </c>
      <c r="D87" t="s">
        <v>105</v>
      </c>
      <c r="F87" s="12">
        <v>150000</v>
      </c>
    </row>
    <row r="88" spans="2:7" x14ac:dyDescent="0.25">
      <c r="C88">
        <f>IF(D88="","",_xlfn.XLOOKUP(D88,TB!B:B,TB!A:A,""))</f>
        <v>1101</v>
      </c>
      <c r="D88" t="s">
        <v>23</v>
      </c>
      <c r="G88" s="12">
        <v>150000</v>
      </c>
    </row>
    <row r="89" spans="2:7" x14ac:dyDescent="0.25">
      <c r="B89">
        <v>7</v>
      </c>
      <c r="C89">
        <f>IF(D89="","",_xlfn.XLOOKUP(D89,TB!B:B,TB!A:A,""))</f>
        <v>6003</v>
      </c>
      <c r="D89" t="s">
        <v>158</v>
      </c>
      <c r="F89" s="12">
        <v>55000</v>
      </c>
    </row>
    <row r="90" spans="2:7" x14ac:dyDescent="0.25">
      <c r="C90">
        <f>IF(D90="","",_xlfn.XLOOKUP(D90,TB!B:B,TB!A:A,""))</f>
        <v>1101</v>
      </c>
      <c r="D90" t="s">
        <v>23</v>
      </c>
      <c r="G90" s="12">
        <v>55000</v>
      </c>
    </row>
    <row r="91" spans="2:7" x14ac:dyDescent="0.25">
      <c r="B91">
        <v>8</v>
      </c>
      <c r="C91">
        <f>IF(D91="","",_xlfn.XLOOKUP(D91,TB!B:B,TB!A:A,""))</f>
        <v>6006</v>
      </c>
      <c r="D91" t="s">
        <v>104</v>
      </c>
      <c r="F91" s="12">
        <v>35000</v>
      </c>
    </row>
    <row r="92" spans="2:7" x14ac:dyDescent="0.25">
      <c r="C92">
        <f>IF(D92="","",_xlfn.XLOOKUP(D92,TB!B:B,TB!A:A,""))</f>
        <v>1101</v>
      </c>
      <c r="D92" t="s">
        <v>23</v>
      </c>
      <c r="G92" s="12">
        <v>35000</v>
      </c>
    </row>
    <row r="93" spans="2:7" x14ac:dyDescent="0.25">
      <c r="B93">
        <v>9</v>
      </c>
      <c r="C93">
        <f>IF(D93="","",_xlfn.XLOOKUP(D93,TB!B:B,TB!A:A,""))</f>
        <v>5002</v>
      </c>
      <c r="D93" t="s">
        <v>130</v>
      </c>
      <c r="F93" s="12">
        <v>250000</v>
      </c>
    </row>
    <row r="94" spans="2:7" x14ac:dyDescent="0.25">
      <c r="C94">
        <f>IF(D94="","",_xlfn.XLOOKUP(D94,TB!B:B,TB!A:A,""))</f>
        <v>1101</v>
      </c>
      <c r="D94" t="s">
        <v>23</v>
      </c>
      <c r="G94" s="12">
        <v>250000</v>
      </c>
    </row>
    <row r="95" spans="2:7" x14ac:dyDescent="0.25">
      <c r="B95">
        <v>10</v>
      </c>
      <c r="C95">
        <f>IF(D95="","",_xlfn.XLOOKUP(D95,TB!B:B,TB!A:A,""))</f>
        <v>2201</v>
      </c>
      <c r="D95" t="s">
        <v>106</v>
      </c>
      <c r="F95" s="12">
        <v>62500</v>
      </c>
    </row>
    <row r="96" spans="2:7" x14ac:dyDescent="0.25">
      <c r="C96">
        <f>IF(D96="","",_xlfn.XLOOKUP(D96,TB!B:B,TB!A:A,""))</f>
        <v>6007</v>
      </c>
      <c r="D96" t="s">
        <v>107</v>
      </c>
      <c r="F96" s="12">
        <v>11250</v>
      </c>
    </row>
    <row r="97" spans="3:7" x14ac:dyDescent="0.25">
      <c r="C97">
        <f>IF(D97="","",_xlfn.XLOOKUP(D97,TB!B:B,TB!A:A,""))</f>
        <v>1101</v>
      </c>
      <c r="D97" t="s">
        <v>23</v>
      </c>
      <c r="G97" s="12">
        <f>SUM(F95:F96)</f>
        <v>73750</v>
      </c>
    </row>
  </sheetData>
  <autoFilter ref="A5:G100" xr:uid="{096D2BF1-1C25-604C-810B-8D8216D3C264}"/>
  <pageMargins left="0.7" right="0.7" top="0.75" bottom="0.75" header="0.3" footer="0.3"/>
  <pageSetup paperSize="9" scale="4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49FF64-BABD-3144-B1B4-8FF2216D3F76}">
          <x14:formula1>
            <xm:f>TB!$B$4:$B$26</xm:f>
          </x14:formula1>
          <xm:sqref>D6:D97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C646-B2B2-F642-908C-024CAF690331}">
  <sheetPr codeName="Sheet7"/>
  <dimension ref="A1:F26"/>
  <sheetViews>
    <sheetView showGridLines="0" view="pageBreakPreview" topLeftCell="A7" zoomScale="150" zoomScaleNormal="125" workbookViewId="0">
      <selection activeCell="E27" sqref="E27"/>
    </sheetView>
  </sheetViews>
  <sheetFormatPr defaultColWidth="11" defaultRowHeight="15.75" x14ac:dyDescent="0.25"/>
  <cols>
    <col min="1" max="1" width="3.125" customWidth="1"/>
    <col min="2" max="2" width="11" customWidth="1"/>
    <col min="3" max="3" width="11.5" bestFit="1" customWidth="1"/>
    <col min="5" max="5" width="13" bestFit="1" customWidth="1"/>
    <col min="6" max="6" width="14.875" bestFit="1" customWidth="1"/>
  </cols>
  <sheetData>
    <row r="1" spans="1:6" x14ac:dyDescent="0.25">
      <c r="A1" s="14" t="s">
        <v>133</v>
      </c>
    </row>
    <row r="2" spans="1:6" x14ac:dyDescent="0.25">
      <c r="E2" s="15"/>
    </row>
    <row r="3" spans="1:6" x14ac:dyDescent="0.25">
      <c r="A3">
        <v>1</v>
      </c>
      <c r="B3" t="s">
        <v>136</v>
      </c>
    </row>
    <row r="4" spans="1:6" x14ac:dyDescent="0.25">
      <c r="C4" t="s">
        <v>134</v>
      </c>
      <c r="D4" t="s">
        <v>135</v>
      </c>
      <c r="E4" t="s">
        <v>45</v>
      </c>
      <c r="F4" t="s">
        <v>151</v>
      </c>
    </row>
    <row r="5" spans="1:6" x14ac:dyDescent="0.25">
      <c r="B5" t="s">
        <v>3</v>
      </c>
      <c r="C5" s="15">
        <f>E5/D5</f>
        <v>960</v>
      </c>
      <c r="D5" s="12">
        <v>500000</v>
      </c>
      <c r="E5" s="15">
        <f>'Prior BS&amp;IS'!C6*1000</f>
        <v>480000000</v>
      </c>
      <c r="F5" t="s">
        <v>152</v>
      </c>
    </row>
    <row r="6" spans="1:6" x14ac:dyDescent="0.25">
      <c r="B6" t="s">
        <v>8</v>
      </c>
      <c r="C6" s="15">
        <f>E6/D6</f>
        <v>200</v>
      </c>
      <c r="D6" s="12">
        <v>500000</v>
      </c>
      <c r="E6" s="12">
        <v>100000000</v>
      </c>
      <c r="F6" t="s">
        <v>153</v>
      </c>
    </row>
    <row r="7" spans="1:6" x14ac:dyDescent="0.25">
      <c r="C7" s="15"/>
      <c r="D7" s="12"/>
      <c r="E7" s="12"/>
    </row>
    <row r="8" spans="1:6" x14ac:dyDescent="0.25">
      <c r="B8" t="s">
        <v>148</v>
      </c>
      <c r="C8" s="15"/>
      <c r="D8" s="12"/>
      <c r="E8" s="12"/>
    </row>
    <row r="9" spans="1:6" x14ac:dyDescent="0.25">
      <c r="B9" s="14" t="s">
        <v>149</v>
      </c>
      <c r="C9" s="23" t="s">
        <v>150</v>
      </c>
      <c r="D9" s="12"/>
      <c r="E9" s="12"/>
    </row>
    <row r="10" spans="1:6" x14ac:dyDescent="0.25">
      <c r="C10" s="15"/>
      <c r="D10" s="12"/>
      <c r="E10" s="12"/>
    </row>
    <row r="12" spans="1:6" x14ac:dyDescent="0.25">
      <c r="A12">
        <v>2</v>
      </c>
      <c r="B12" t="s">
        <v>139</v>
      </c>
    </row>
    <row r="13" spans="1:6" x14ac:dyDescent="0.25">
      <c r="C13" t="s">
        <v>140</v>
      </c>
    </row>
    <row r="14" spans="1:6" x14ac:dyDescent="0.25">
      <c r="B14" t="s">
        <v>13</v>
      </c>
      <c r="C14" t="s">
        <v>141</v>
      </c>
    </row>
    <row r="15" spans="1:6" x14ac:dyDescent="0.25">
      <c r="B15" t="s">
        <v>3</v>
      </c>
      <c r="C15" t="s">
        <v>141</v>
      </c>
    </row>
    <row r="16" spans="1:6" x14ac:dyDescent="0.25">
      <c r="B16" t="s">
        <v>8</v>
      </c>
      <c r="C16" t="s">
        <v>142</v>
      </c>
    </row>
    <row r="18" spans="1:3" x14ac:dyDescent="0.25">
      <c r="B18" t="s">
        <v>143</v>
      </c>
    </row>
    <row r="19" spans="1:3" x14ac:dyDescent="0.25">
      <c r="B19" t="s">
        <v>144</v>
      </c>
    </row>
    <row r="20" spans="1:3" x14ac:dyDescent="0.25">
      <c r="B20" t="s">
        <v>145</v>
      </c>
    </row>
    <row r="22" spans="1:3" x14ac:dyDescent="0.25">
      <c r="A22">
        <v>3</v>
      </c>
      <c r="B22" t="s">
        <v>154</v>
      </c>
    </row>
    <row r="24" spans="1:3" x14ac:dyDescent="0.25">
      <c r="A24">
        <v>4</v>
      </c>
      <c r="B24" t="s">
        <v>161</v>
      </c>
    </row>
    <row r="25" spans="1:3" x14ac:dyDescent="0.25">
      <c r="B25" t="s">
        <v>162</v>
      </c>
      <c r="C25" t="s">
        <v>165</v>
      </c>
    </row>
    <row r="26" spans="1:3" x14ac:dyDescent="0.25">
      <c r="B26" t="s">
        <v>163</v>
      </c>
      <c r="C26" t="s">
        <v>164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DFDC-E26D-5E4E-BF38-7E0AC135CC23}">
  <sheetPr codeName="Sheet8">
    <tabColor theme="6" tint="0.59999389629810485"/>
  </sheetPr>
  <dimension ref="A1:H13"/>
  <sheetViews>
    <sheetView tabSelected="1" view="pageBreakPreview" zoomScale="150" zoomScaleNormal="133" workbookViewId="0">
      <selection activeCell="G13" sqref="G13"/>
    </sheetView>
  </sheetViews>
  <sheetFormatPr defaultColWidth="11" defaultRowHeight="15.75" x14ac:dyDescent="0.25"/>
  <cols>
    <col min="1" max="1" width="9" customWidth="1"/>
    <col min="2" max="2" width="3.5" bestFit="1" customWidth="1"/>
    <col min="4" max="4" width="19.125" bestFit="1" customWidth="1"/>
    <col min="5" max="5" width="30.125" bestFit="1" customWidth="1"/>
    <col min="6" max="6" width="11.125" style="12" bestFit="1" customWidth="1"/>
    <col min="7" max="7" width="10.875" style="12"/>
  </cols>
  <sheetData>
    <row r="1" spans="1:8" x14ac:dyDescent="0.25">
      <c r="A1" s="14" t="s">
        <v>147</v>
      </c>
      <c r="D1" s="60"/>
      <c r="E1" s="61"/>
    </row>
    <row r="2" spans="1:8" x14ac:dyDescent="0.25">
      <c r="A2" s="14" t="s">
        <v>155</v>
      </c>
      <c r="D2" s="60"/>
      <c r="E2" s="61"/>
    </row>
    <row r="3" spans="1:8" x14ac:dyDescent="0.25">
      <c r="A3" s="14" t="s">
        <v>8</v>
      </c>
      <c r="D3" s="60"/>
      <c r="E3" s="61"/>
    </row>
    <row r="4" spans="1:8" x14ac:dyDescent="0.25">
      <c r="A4" s="14"/>
      <c r="D4" s="60"/>
      <c r="E4" s="61"/>
    </row>
    <row r="5" spans="1:8" x14ac:dyDescent="0.25">
      <c r="A5" t="s">
        <v>72</v>
      </c>
      <c r="B5" t="s">
        <v>73</v>
      </c>
      <c r="C5" t="s">
        <v>91</v>
      </c>
      <c r="D5" t="s">
        <v>92</v>
      </c>
      <c r="E5" s="1"/>
      <c r="F5" s="12" t="s">
        <v>95</v>
      </c>
      <c r="G5" s="12" t="s">
        <v>96</v>
      </c>
    </row>
    <row r="6" spans="1:8" x14ac:dyDescent="0.25">
      <c r="A6" t="s">
        <v>7</v>
      </c>
      <c r="C6">
        <f>IF(D6="","",_xlfn.XLOOKUP(D6,TB!B:B,TB!A:A,""))</f>
        <v>5003</v>
      </c>
      <c r="D6" t="s">
        <v>129</v>
      </c>
      <c r="F6" s="12">
        <v>730000</v>
      </c>
    </row>
    <row r="7" spans="1:8" x14ac:dyDescent="0.25">
      <c r="C7">
        <f>IF(D7="","",_xlfn.XLOOKUP(D7,TB!B:B,TB!A:A,""))</f>
        <v>1103</v>
      </c>
      <c r="D7" t="s">
        <v>25</v>
      </c>
      <c r="G7" s="12">
        <f>F6</f>
        <v>730000</v>
      </c>
      <c r="H7" s="15"/>
    </row>
    <row r="8" spans="1:8" x14ac:dyDescent="0.25">
      <c r="C8">
        <f>IF(D8="","",_xlfn.XLOOKUP(D8,TB!B:B,TB!A:A,""))</f>
        <v>6004</v>
      </c>
      <c r="D8" t="s">
        <v>157</v>
      </c>
      <c r="F8" s="12">
        <f>'List Aset Tetap'!H30</f>
        <v>375000</v>
      </c>
    </row>
    <row r="9" spans="1:8" x14ac:dyDescent="0.25">
      <c r="C9">
        <f>IF(D9="","",_xlfn.XLOOKUP(D9,TB!B:B,TB!A:A,""))</f>
        <v>1202</v>
      </c>
      <c r="D9" t="s">
        <v>110</v>
      </c>
      <c r="G9" s="12">
        <f>F8</f>
        <v>375000</v>
      </c>
    </row>
    <row r="10" spans="1:8" x14ac:dyDescent="0.25">
      <c r="C10">
        <f>IF(D10="","",_xlfn.XLOOKUP(D10,TB!B:B,TB!A:A,""))</f>
        <v>6005</v>
      </c>
      <c r="D10" t="s">
        <v>159</v>
      </c>
      <c r="F10" s="12">
        <f>(600000/12)*9</f>
        <v>450000</v>
      </c>
    </row>
    <row r="11" spans="1:8" x14ac:dyDescent="0.25">
      <c r="C11">
        <f>IF(D11="","",_xlfn.XLOOKUP(D11,TB!B:B,TB!A:A,""))</f>
        <v>1104</v>
      </c>
      <c r="D11" t="s">
        <v>108</v>
      </c>
      <c r="G11" s="12">
        <f>F10</f>
        <v>450000</v>
      </c>
    </row>
    <row r="12" spans="1:8" x14ac:dyDescent="0.25">
      <c r="C12">
        <f>IF(D12="","",_xlfn.XLOOKUP(D12,TB!B:B,TB!A:A,""))</f>
        <v>7001</v>
      </c>
      <c r="D12" t="s">
        <v>160</v>
      </c>
      <c r="F12" s="12">
        <f>1370000*22%</f>
        <v>301400</v>
      </c>
    </row>
    <row r="13" spans="1:8" x14ac:dyDescent="0.25">
      <c r="C13">
        <f>IF(D13="","",_xlfn.XLOOKUP(D13,TB!B:B,TB!A:A,""))</f>
        <v>1101</v>
      </c>
      <c r="D13" t="s">
        <v>23</v>
      </c>
      <c r="G13" s="12">
        <f>F12</f>
        <v>301400</v>
      </c>
    </row>
  </sheetData>
  <pageMargins left="0.7" right="0.7" top="0.75" bottom="0.75" header="0.3" footer="0.3"/>
  <pageSetup paperSize="9" scale="87"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C5BEA55-F9A8-4246-9248-7E47CF9F493C}">
          <x14:formula1>
            <xm:f>TB!$B$4:$B$26</xm:f>
          </x14:formula1>
          <xm:sqref>D6:D13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C866B-0708-C74F-9B3F-C955EDF37A20}">
  <sheetPr codeName="Sheet10">
    <tabColor theme="7"/>
  </sheetPr>
  <dimension ref="A1:D45"/>
  <sheetViews>
    <sheetView showGridLines="0" view="pageBreakPreview" topLeftCell="A24" zoomScale="142" zoomScaleNormal="150" workbookViewId="0">
      <selection activeCell="B43" sqref="B43"/>
    </sheetView>
  </sheetViews>
  <sheetFormatPr defaultColWidth="11" defaultRowHeight="15.75" x14ac:dyDescent="0.25"/>
  <cols>
    <col min="1" max="1" width="27.375" bestFit="1" customWidth="1"/>
    <col min="2" max="3" width="11.375" style="12" bestFit="1" customWidth="1"/>
    <col min="4" max="4" width="12.125" customWidth="1"/>
  </cols>
  <sheetData>
    <row r="1" spans="1:4" x14ac:dyDescent="0.25">
      <c r="A1" s="14" t="s">
        <v>155</v>
      </c>
    </row>
    <row r="2" spans="1:4" x14ac:dyDescent="0.25">
      <c r="A2" s="14" t="s">
        <v>168</v>
      </c>
    </row>
    <row r="4" spans="1:4" x14ac:dyDescent="0.25">
      <c r="B4" s="34" t="s">
        <v>8</v>
      </c>
      <c r="C4" s="34" t="s">
        <v>3</v>
      </c>
    </row>
    <row r="5" spans="1:4" x14ac:dyDescent="0.25">
      <c r="A5" s="14" t="s">
        <v>169</v>
      </c>
    </row>
    <row r="6" spans="1:4" x14ac:dyDescent="0.25">
      <c r="A6" s="14" t="s">
        <v>170</v>
      </c>
    </row>
    <row r="7" spans="1:4" x14ac:dyDescent="0.25">
      <c r="A7" t="s">
        <v>23</v>
      </c>
      <c r="B7" s="12">
        <f>TB!I4</f>
        <v>1488850</v>
      </c>
      <c r="C7" s="12">
        <f>TB!C4</f>
        <v>1255250</v>
      </c>
    </row>
    <row r="8" spans="1:4" x14ac:dyDescent="0.25">
      <c r="A8" t="s">
        <v>93</v>
      </c>
      <c r="B8" s="12">
        <f>TB!I5</f>
        <v>780000</v>
      </c>
      <c r="C8" s="12">
        <f>TB!C5</f>
        <v>360000</v>
      </c>
      <c r="D8" s="11"/>
    </row>
    <row r="9" spans="1:4" x14ac:dyDescent="0.25">
      <c r="A9" t="s">
        <v>25</v>
      </c>
      <c r="B9" s="12">
        <f>TB!I6</f>
        <v>100000</v>
      </c>
      <c r="C9" s="12">
        <f>TB!C6</f>
        <v>480000</v>
      </c>
    </row>
    <row r="10" spans="1:4" x14ac:dyDescent="0.25">
      <c r="A10" t="s">
        <v>108</v>
      </c>
      <c r="B10" s="25">
        <f>TB!I7</f>
        <v>150000</v>
      </c>
      <c r="C10" s="25">
        <f>TB!C7</f>
        <v>0</v>
      </c>
    </row>
    <row r="11" spans="1:4" x14ac:dyDescent="0.25">
      <c r="B11" s="24">
        <f>SUM(B7:B10)</f>
        <v>2518850</v>
      </c>
      <c r="C11" s="24">
        <f>SUM(C7:C10)</f>
        <v>2095250</v>
      </c>
    </row>
    <row r="12" spans="1:4" x14ac:dyDescent="0.25">
      <c r="A12" s="14" t="s">
        <v>171</v>
      </c>
    </row>
    <row r="13" spans="1:4" x14ac:dyDescent="0.25">
      <c r="A13" t="s">
        <v>175</v>
      </c>
      <c r="B13" s="12">
        <f>SUM(TB!I8:I9)</f>
        <v>1160000</v>
      </c>
      <c r="C13" s="12">
        <f>SUM(TB!C8:C9)</f>
        <v>1085000</v>
      </c>
    </row>
    <row r="14" spans="1:4" x14ac:dyDescent="0.25">
      <c r="B14" s="26">
        <f>SUM(B13:B13)</f>
        <v>1160000</v>
      </c>
      <c r="C14" s="26">
        <f>SUM(C13:C13)</f>
        <v>1085000</v>
      </c>
    </row>
    <row r="15" spans="1:4" ht="16.5" thickBot="1" x14ac:dyDescent="0.3">
      <c r="A15" s="14" t="s">
        <v>27</v>
      </c>
      <c r="B15" s="29">
        <f>B11+B14</f>
        <v>3678850</v>
      </c>
      <c r="C15" s="29">
        <f>C11+C14</f>
        <v>3180250</v>
      </c>
    </row>
    <row r="16" spans="1:4" ht="16.5" thickTop="1" x14ac:dyDescent="0.25"/>
    <row r="17" spans="1:3" x14ac:dyDescent="0.25">
      <c r="A17" s="14" t="s">
        <v>172</v>
      </c>
    </row>
    <row r="18" spans="1:3" x14ac:dyDescent="0.25">
      <c r="A18" s="14" t="s">
        <v>173</v>
      </c>
    </row>
    <row r="19" spans="1:3" x14ac:dyDescent="0.25">
      <c r="A19" t="s">
        <v>98</v>
      </c>
      <c r="B19" s="12">
        <f>-TB!I10</f>
        <v>0</v>
      </c>
      <c r="C19" s="12">
        <f>-TB!C10</f>
        <v>250000</v>
      </c>
    </row>
    <row r="20" spans="1:3" x14ac:dyDescent="0.25">
      <c r="A20" s="27" t="s">
        <v>37</v>
      </c>
      <c r="B20" s="12">
        <f>-TB!I11</f>
        <v>0</v>
      </c>
      <c r="C20" s="12">
        <f>-TB!C11</f>
        <v>70000</v>
      </c>
    </row>
    <row r="21" spans="1:3" x14ac:dyDescent="0.25">
      <c r="A21" t="s">
        <v>106</v>
      </c>
      <c r="B21" s="25">
        <f>-TB!I12</f>
        <v>250000</v>
      </c>
      <c r="C21" s="25">
        <f>-TB!C12</f>
        <v>500000</v>
      </c>
    </row>
    <row r="22" spans="1:3" x14ac:dyDescent="0.25">
      <c r="B22" s="24">
        <f>SUM(B19:B21)</f>
        <v>250000</v>
      </c>
      <c r="C22" s="24">
        <f>SUM(C19:C21)</f>
        <v>820000</v>
      </c>
    </row>
    <row r="23" spans="1:3" x14ac:dyDescent="0.25">
      <c r="A23" s="14" t="s">
        <v>33</v>
      </c>
    </row>
    <row r="24" spans="1:3" x14ac:dyDescent="0.25">
      <c r="A24" t="s">
        <v>111</v>
      </c>
      <c r="B24" s="12">
        <f>-TB!I13</f>
        <v>1216000</v>
      </c>
      <c r="C24" s="12">
        <f>-TB!C13</f>
        <v>1216000</v>
      </c>
    </row>
    <row r="25" spans="1:3" x14ac:dyDescent="0.25">
      <c r="A25" s="27" t="s">
        <v>119</v>
      </c>
      <c r="B25" s="12">
        <f>C25+B44</f>
        <v>2212850</v>
      </c>
      <c r="C25" s="12">
        <f>-TB!C14</f>
        <v>1144250</v>
      </c>
    </row>
    <row r="26" spans="1:3" x14ac:dyDescent="0.25">
      <c r="B26" s="26">
        <f>SUM(B24:B25)</f>
        <v>3428850</v>
      </c>
      <c r="C26" s="26">
        <f>SUM(C24:C25)</f>
        <v>2360250</v>
      </c>
    </row>
    <row r="27" spans="1:3" ht="16.5" thickBot="1" x14ac:dyDescent="0.3">
      <c r="A27" s="14" t="s">
        <v>174</v>
      </c>
      <c r="B27" s="29">
        <f>B22+B26</f>
        <v>3678850</v>
      </c>
      <c r="C27" s="29">
        <f>C22+C26</f>
        <v>3180250</v>
      </c>
    </row>
    <row r="28" spans="1:3" ht="16.5" thickTop="1" x14ac:dyDescent="0.25"/>
    <row r="29" spans="1:3" x14ac:dyDescent="0.25">
      <c r="A29" s="14" t="s">
        <v>155</v>
      </c>
    </row>
    <row r="30" spans="1:3" x14ac:dyDescent="0.25">
      <c r="A30" s="14" t="s">
        <v>183</v>
      </c>
      <c r="C30" s="50"/>
    </row>
    <row r="31" spans="1:3" x14ac:dyDescent="0.25">
      <c r="B31" s="34" t="s">
        <v>8</v>
      </c>
      <c r="C31" s="34" t="s">
        <v>3</v>
      </c>
    </row>
    <row r="32" spans="1:3" x14ac:dyDescent="0.25">
      <c r="B32" s="35"/>
      <c r="C32" s="35"/>
    </row>
    <row r="33" spans="1:3" x14ac:dyDescent="0.25">
      <c r="A33" s="27" t="s">
        <v>97</v>
      </c>
      <c r="B33" s="12">
        <f>-TB!I15</f>
        <v>6000000</v>
      </c>
      <c r="C33" s="12">
        <f>'Prior BS&amp;IS'!C29</f>
        <v>3800000</v>
      </c>
    </row>
    <row r="34" spans="1:3" x14ac:dyDescent="0.25">
      <c r="A34" s="27" t="s">
        <v>15</v>
      </c>
      <c r="B34" s="12">
        <f>SUM(TB!I16:I18)</f>
        <v>2260000</v>
      </c>
      <c r="C34" s="25">
        <f>-'Prior BS&amp;IS'!C30</f>
        <v>2280000</v>
      </c>
    </row>
    <row r="35" spans="1:3" x14ac:dyDescent="0.25">
      <c r="A35" s="14" t="s">
        <v>176</v>
      </c>
      <c r="B35" s="24">
        <f>B33-B34</f>
        <v>3740000</v>
      </c>
      <c r="C35" s="24">
        <f>C33-C34</f>
        <v>1520000</v>
      </c>
    </row>
    <row r="36" spans="1:3" x14ac:dyDescent="0.25">
      <c r="A36" s="14" t="s">
        <v>177</v>
      </c>
    </row>
    <row r="37" spans="1:3" x14ac:dyDescent="0.25">
      <c r="A37" s="27" t="s">
        <v>178</v>
      </c>
      <c r="B37" s="12">
        <f>TB!I19</f>
        <v>460000</v>
      </c>
      <c r="C37" s="12">
        <v>0</v>
      </c>
    </row>
    <row r="38" spans="1:3" x14ac:dyDescent="0.25">
      <c r="A38" s="27" t="s">
        <v>179</v>
      </c>
      <c r="B38" s="25">
        <f>SUM(TB!I20:I24)</f>
        <v>1865000</v>
      </c>
      <c r="C38" s="25">
        <f>-'Prior BS&amp;IS'!C32</f>
        <v>790500</v>
      </c>
    </row>
    <row r="39" spans="1:3" x14ac:dyDescent="0.25">
      <c r="B39" s="26">
        <f>SUM(B37:B38)</f>
        <v>2325000</v>
      </c>
      <c r="C39" s="26">
        <f>SUM(C37:C38)</f>
        <v>790500</v>
      </c>
    </row>
    <row r="40" spans="1:3" x14ac:dyDescent="0.25">
      <c r="A40" s="14" t="s">
        <v>180</v>
      </c>
      <c r="B40" s="24">
        <f>B35-B39</f>
        <v>1415000</v>
      </c>
      <c r="C40" s="24">
        <f>C35-C39</f>
        <v>729500</v>
      </c>
    </row>
    <row r="41" spans="1:3" x14ac:dyDescent="0.25">
      <c r="A41" t="s">
        <v>181</v>
      </c>
      <c r="B41" s="25">
        <f>TB!I25</f>
        <v>45000</v>
      </c>
      <c r="C41" s="25">
        <f>-'Prior BS&amp;IS'!C34</f>
        <v>45000</v>
      </c>
    </row>
    <row r="42" spans="1:3" x14ac:dyDescent="0.25">
      <c r="A42" s="14" t="s">
        <v>182</v>
      </c>
      <c r="B42" s="24">
        <f>B40-B41</f>
        <v>1370000</v>
      </c>
      <c r="C42" s="24">
        <f>C40-C41</f>
        <v>684500</v>
      </c>
    </row>
    <row r="43" spans="1:3" x14ac:dyDescent="0.25">
      <c r="A43" t="s">
        <v>184</v>
      </c>
      <c r="B43" s="12">
        <f>TB!I26</f>
        <v>301400</v>
      </c>
      <c r="C43" s="12">
        <f>-'Prior BS&amp;IS'!C36</f>
        <v>74250</v>
      </c>
    </row>
    <row r="44" spans="1:3" ht="16.5" thickBot="1" x14ac:dyDescent="0.3">
      <c r="A44" s="14" t="s">
        <v>185</v>
      </c>
      <c r="B44" s="29">
        <f>B42-B43</f>
        <v>1068600</v>
      </c>
      <c r="C44" s="29">
        <f>C42-C43</f>
        <v>610250</v>
      </c>
    </row>
    <row r="45" spans="1:3" ht="16.5" thickTop="1" x14ac:dyDescent="0.25"/>
  </sheetData>
  <pageMargins left="0.7" right="0.7" top="0.75" bottom="0.75" header="0.3" footer="0.3"/>
  <pageSetup paperSize="9" orientation="portrait" r:id="rId1"/>
  <ignoredErrors>
    <ignoredError sqref="B43:C4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Profil &amp; Target PT TLV</vt:lpstr>
      <vt:lpstr>List Aset Tetap</vt:lpstr>
      <vt:lpstr>Schedule Loan Payment</vt:lpstr>
      <vt:lpstr>Prior BS&amp;IS</vt:lpstr>
      <vt:lpstr>Transaksi 20X5</vt:lpstr>
      <vt:lpstr>Jurnal Transaksi</vt:lpstr>
      <vt:lpstr>Informasi Tambahan</vt:lpstr>
      <vt:lpstr>Jurnal Penyesuaian</vt:lpstr>
      <vt:lpstr>BS PL</vt:lpstr>
      <vt:lpstr>TB</vt:lpstr>
      <vt:lpstr>CF</vt:lpstr>
      <vt:lpstr>Realisasi</vt:lpstr>
      <vt:lpstr>CF!Print_Area</vt:lpstr>
      <vt:lpstr>'Profil &amp; Target PT TLV'!Print_Area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 Widyanto</dc:creator>
  <cp:lastModifiedBy>pakuy kuya</cp:lastModifiedBy>
  <dcterms:created xsi:type="dcterms:W3CDTF">2025-09-19T14:50:18Z</dcterms:created>
  <dcterms:modified xsi:type="dcterms:W3CDTF">2025-10-14T08:02:05Z</dcterms:modified>
</cp:coreProperties>
</file>