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453\Downloads\Borghetti\"/>
    </mc:Choice>
  </mc:AlternateContent>
  <xr:revisionPtr revIDLastSave="0" documentId="13_ncr:1_{76C25E82-2B5B-4734-93D0-23CF03B7DAC3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Cover" sheetId="7" r:id="rId1"/>
    <sheet name="Input_Output" sheetId="5" r:id="rId2"/>
    <sheet name="Support data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bga2">#REF!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Input_Output!$A$3:$J$59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 localSheetId="1">Input_Output!$L$16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0" i="5" l="1"/>
  <c r="H30" i="5"/>
  <c r="H19" i="5"/>
  <c r="AQ23" i="6"/>
  <c r="AP23" i="6"/>
  <c r="B5" i="6"/>
  <c r="AB93" i="6"/>
  <c r="AD87" i="6"/>
  <c r="Z68" i="6"/>
  <c r="AF115" i="6"/>
  <c r="Z101" i="6"/>
  <c r="Z102" i="6"/>
  <c r="Z103" i="6"/>
  <c r="Z104" i="6"/>
  <c r="Z105" i="6"/>
  <c r="Z106" i="6"/>
  <c r="Z107" i="6"/>
  <c r="Z100" i="6"/>
  <c r="X72" i="6"/>
  <c r="X3" i="6" l="1"/>
  <c r="AC87" i="6"/>
  <c r="AB87" i="6"/>
  <c r="AA87" i="6"/>
  <c r="AD79" i="6"/>
  <c r="AD78" i="6"/>
  <c r="AD77" i="6"/>
  <c r="AD76" i="6"/>
  <c r="AD75" i="6"/>
  <c r="AD74" i="6"/>
  <c r="AD73" i="6"/>
  <c r="AD72" i="6"/>
  <c r="AA68" i="6"/>
  <c r="AB68" i="6"/>
  <c r="AC68" i="6"/>
  <c r="AD68" i="6"/>
  <c r="AE68" i="6"/>
  <c r="AF68" i="6"/>
  <c r="AG68" i="6"/>
  <c r="Z72" i="6"/>
  <c r="AC79" i="6"/>
  <c r="AC78" i="6"/>
  <c r="AC77" i="6"/>
  <c r="AC76" i="6"/>
  <c r="AC75" i="6"/>
  <c r="AC74" i="6"/>
  <c r="AC73" i="6"/>
  <c r="AC72" i="6"/>
  <c r="AB79" i="6"/>
  <c r="AB78" i="6"/>
  <c r="AB77" i="6"/>
  <c r="AB76" i="6"/>
  <c r="AB75" i="6"/>
  <c r="AA79" i="6"/>
  <c r="AA78" i="6"/>
  <c r="AA77" i="6"/>
  <c r="AA76" i="6"/>
  <c r="AA75" i="6"/>
  <c r="Z79" i="6"/>
  <c r="Z78" i="6"/>
  <c r="Z77" i="6"/>
  <c r="Z76" i="6"/>
  <c r="Z75" i="6"/>
  <c r="AA72" i="6"/>
  <c r="AB72" i="6"/>
  <c r="AG67" i="6"/>
  <c r="AG66" i="6"/>
  <c r="AG65" i="6"/>
  <c r="AG64" i="6"/>
  <c r="AG63" i="6"/>
  <c r="AG54" i="6"/>
  <c r="AF67" i="6"/>
  <c r="AF66" i="6"/>
  <c r="AF65" i="6"/>
  <c r="AF64" i="6"/>
  <c r="AF63" i="6"/>
  <c r="AF54" i="6"/>
  <c r="AE67" i="6"/>
  <c r="AE66" i="6"/>
  <c r="AE65" i="6"/>
  <c r="AE64" i="6"/>
  <c r="AE63" i="6"/>
  <c r="AE54" i="6"/>
  <c r="AD54" i="6"/>
  <c r="AD63" i="6"/>
  <c r="AD64" i="6"/>
  <c r="AD65" i="6"/>
  <c r="AD66" i="6"/>
  <c r="AD67" i="6"/>
  <c r="AC54" i="6"/>
  <c r="AA54" i="6"/>
  <c r="AB54" i="6"/>
  <c r="Z54" i="6"/>
  <c r="AB74" i="6"/>
  <c r="AB73" i="6"/>
  <c r="AA74" i="6"/>
  <c r="AA73" i="6"/>
  <c r="Z74" i="6"/>
  <c r="Z73" i="6"/>
  <c r="AC115" i="6"/>
  <c r="AC114" i="6"/>
  <c r="AC113" i="6"/>
  <c r="AB115" i="6"/>
  <c r="AB114" i="6"/>
  <c r="AC63" i="6"/>
  <c r="AC64" i="6"/>
  <c r="AC65" i="6"/>
  <c r="AC66" i="6"/>
  <c r="AC67" i="6"/>
  <c r="AB64" i="6"/>
  <c r="AB65" i="6"/>
  <c r="AB66" i="6"/>
  <c r="AB67" i="6"/>
  <c r="AB63" i="6"/>
  <c r="AA66" i="6"/>
  <c r="AA67" i="6"/>
  <c r="AA63" i="6"/>
  <c r="AA64" i="6"/>
  <c r="AA65" i="6"/>
  <c r="Y64" i="6"/>
  <c r="Y65" i="6"/>
  <c r="Y66" i="6"/>
  <c r="Y67" i="6"/>
  <c r="Y63" i="6"/>
  <c r="Z67" i="6"/>
  <c r="Z63" i="6"/>
  <c r="Z64" i="6"/>
  <c r="Z65" i="6"/>
  <c r="Z66" i="6"/>
  <c r="G49" i="5"/>
  <c r="AG95" i="6" s="1"/>
  <c r="G48" i="5"/>
  <c r="AG94" i="6" s="1"/>
  <c r="K25" i="6" l="1"/>
  <c r="L25" i="6" s="1"/>
  <c r="C54" i="5" s="1"/>
  <c r="L4" i="6" l="1"/>
  <c r="K4" i="6"/>
  <c r="G21" i="5"/>
  <c r="AD17" i="6"/>
  <c r="AD18" i="6"/>
  <c r="AD19" i="6"/>
  <c r="AD16" i="6"/>
  <c r="K52" i="6"/>
  <c r="N52" i="6" s="1"/>
  <c r="C52" i="5" s="1"/>
  <c r="M56" i="6"/>
  <c r="M94" i="6"/>
  <c r="M57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58" i="6"/>
  <c r="E5" i="6" l="1"/>
  <c r="D4" i="6"/>
  <c r="L16" i="6" l="1"/>
  <c r="L17" i="6"/>
  <c r="L18" i="6"/>
  <c r="L19" i="6"/>
  <c r="L20" i="6"/>
  <c r="L15" i="6"/>
  <c r="I4" i="6" l="1"/>
  <c r="R4" i="6" s="1"/>
  <c r="C46" i="5" s="1"/>
  <c r="H4" i="6"/>
  <c r="Q4" i="6" s="1"/>
  <c r="C45" i="5" s="1"/>
  <c r="G5" i="6"/>
  <c r="J4" i="6"/>
  <c r="H22" i="5"/>
  <c r="F4" i="6"/>
  <c r="M4" i="6"/>
  <c r="N4" i="6"/>
  <c r="B4" i="6"/>
  <c r="C4" i="6"/>
  <c r="C5" i="6"/>
  <c r="H46" i="5"/>
  <c r="D44" i="5"/>
  <c r="D48" i="5"/>
  <c r="D49" i="5"/>
  <c r="D50" i="5"/>
  <c r="F14" i="5"/>
  <c r="G46" i="5"/>
  <c r="F20" i="5"/>
  <c r="F21" i="5"/>
  <c r="F22" i="5"/>
  <c r="F25" i="5"/>
  <c r="F26" i="5"/>
  <c r="D45" i="5"/>
  <c r="F13" i="5"/>
  <c r="F12" i="5"/>
  <c r="D46" i="5"/>
  <c r="D47" i="5"/>
  <c r="F15" i="5"/>
  <c r="P5" i="6" l="1"/>
  <c r="C44" i="5" s="1"/>
  <c r="T6" i="6"/>
  <c r="C48" i="5" s="1"/>
  <c r="U6" i="6"/>
  <c r="C49" i="5" s="1"/>
  <c r="S4" i="6"/>
  <c r="C47" i="5" s="1"/>
  <c r="B6" i="6" l="1"/>
  <c r="AB27" i="6"/>
  <c r="AC27" i="6" s="1"/>
  <c r="C51" i="5" s="1"/>
  <c r="H47" i="5" s="1"/>
  <c r="C50" i="5" l="1"/>
  <c r="G47" i="5" s="1"/>
  <c r="AG78" i="6"/>
  <c r="AF85" i="6" l="1"/>
  <c r="AF76" i="6"/>
  <c r="AF77" i="6"/>
  <c r="AF86" i="6"/>
  <c r="AF89" i="6"/>
  <c r="AF80" i="6"/>
  <c r="AH118" i="6" s="1"/>
  <c r="AF78" i="6"/>
  <c r="AF88" i="6"/>
  <c r="AF79" i="6"/>
  <c r="AF87" i="6"/>
  <c r="AF75" i="6"/>
  <c r="AF84" i="6"/>
  <c r="AG87" i="6"/>
  <c r="AG84" i="6" s="1"/>
  <c r="AG76" i="6"/>
  <c r="AG80" i="6"/>
  <c r="AH78" i="6"/>
  <c r="AI78" i="6" s="1"/>
  <c r="AH79" i="6"/>
  <c r="AG77" i="6"/>
  <c r="AH76" i="6"/>
  <c r="AG79" i="6"/>
  <c r="AH75" i="6"/>
  <c r="AH77" i="6"/>
  <c r="AG75" i="6"/>
  <c r="AH80" i="6"/>
  <c r="AH117" i="6" l="1"/>
  <c r="AH116" i="6"/>
  <c r="AI79" i="6"/>
  <c r="AH114" i="6"/>
  <c r="AH115" i="6"/>
  <c r="AH113" i="6"/>
  <c r="AG86" i="6"/>
  <c r="AH85" i="6"/>
  <c r="AH88" i="6"/>
  <c r="AH89" i="6"/>
  <c r="AH84" i="6"/>
  <c r="AI84" i="6" s="1"/>
  <c r="AH87" i="6"/>
  <c r="AI87" i="6" s="1"/>
  <c r="AI116" i="6" s="1"/>
  <c r="AG88" i="6"/>
  <c r="AG85" i="6"/>
  <c r="AG89" i="6"/>
  <c r="AH86" i="6"/>
  <c r="AI75" i="6"/>
  <c r="AI80" i="6"/>
  <c r="AI77" i="6"/>
  <c r="AI76" i="6"/>
  <c r="AI88" i="6" l="1"/>
  <c r="AI117" i="6" s="1"/>
  <c r="AI89" i="6"/>
  <c r="AI85" i="6"/>
  <c r="AI118" i="6"/>
  <c r="AI86" i="6"/>
  <c r="AI115" i="6" s="1"/>
  <c r="AI113" i="6"/>
  <c r="AI114" i="6"/>
  <c r="AH95" i="6"/>
  <c r="AH94" i="6"/>
  <c r="AI95" i="6" l="1"/>
  <c r="H49" i="5" s="1"/>
  <c r="AI94" i="6"/>
  <c r="H48" i="5" s="1"/>
</calcChain>
</file>

<file path=xl/sharedStrings.xml><?xml version="1.0" encoding="utf-8"?>
<sst xmlns="http://schemas.openxmlformats.org/spreadsheetml/2006/main" count="204" uniqueCount="138">
  <si>
    <t>First issue</t>
  </si>
  <si>
    <t>R&amp;D - L.DeFranco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</si>
  <si>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</si>
  <si>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</si>
  <si>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</si>
  <si>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</si>
  <si>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</si>
  <si>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</si>
  <si>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</si>
  <si>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</si>
  <si>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Mod.xxx-0</t>
  </si>
  <si>
    <t>Evaluation of NPSHr minimum for 40000hr impeller life using Vlaming method</t>
  </si>
  <si>
    <t>PUMP MODEL</t>
  </si>
  <si>
    <t>PUMP SIZE</t>
  </si>
  <si>
    <t>DRAWING NUMBER</t>
  </si>
  <si>
    <t>INPUT DATA</t>
  </si>
  <si>
    <t>double suction pump</t>
  </si>
  <si>
    <t>unit system</t>
  </si>
  <si>
    <t>SI</t>
  </si>
  <si>
    <t>Pump speed</t>
  </si>
  <si>
    <t>RPM</t>
  </si>
  <si>
    <t>Qrtd</t>
  </si>
  <si>
    <t>Hrtd</t>
  </si>
  <si>
    <t>Pump BEP head/stage @ max diameter</t>
  </si>
  <si>
    <t>Pump BEP flow @max diameter:</t>
  </si>
  <si>
    <t>volumentric efficiency</t>
  </si>
  <si>
    <t>%</t>
  </si>
  <si>
    <t>Suggested values of R</t>
  </si>
  <si>
    <t>NPSHav</t>
  </si>
  <si>
    <t>for special fluid</t>
  </si>
  <si>
    <t>fluid</t>
  </si>
  <si>
    <t>R</t>
  </si>
  <si>
    <t>gas to liquid ratio of pumped fluid R</t>
  </si>
  <si>
    <t>crude oil</t>
  </si>
  <si>
    <t>D1 tip - LE</t>
  </si>
  <si>
    <t>for water</t>
  </si>
  <si>
    <t>Dhub - LE</t>
  </si>
  <si>
    <t>b1</t>
  </si>
  <si>
    <t>beta1-tip</t>
  </si>
  <si>
    <t>°</t>
  </si>
  <si>
    <t>beta1-hub</t>
  </si>
  <si>
    <t>leading edge thickness s</t>
  </si>
  <si>
    <t>length of chamfer of the leading edge L</t>
  </si>
  <si>
    <t>Q</t>
  </si>
  <si>
    <t>NPSH3%</t>
  </si>
  <si>
    <t>OUTPUT DATA</t>
  </si>
  <si>
    <t xml:space="preserve">pump specific speed </t>
  </si>
  <si>
    <t>peripheral velocity at D1.tip</t>
  </si>
  <si>
    <t xml:space="preserve"> pump flowrate</t>
  </si>
  <si>
    <t>NPSHr 40000 hr</t>
  </si>
  <si>
    <t>peripheral velocity at D1.hub</t>
  </si>
  <si>
    <t>impeller inlet area A1</t>
  </si>
  <si>
    <t>SHOCKLESS</t>
  </si>
  <si>
    <t>cm shockless at blade tip</t>
  </si>
  <si>
    <t>BEP</t>
  </si>
  <si>
    <t>cm.shockless at blade hub</t>
  </si>
  <si>
    <t>RATED</t>
  </si>
  <si>
    <t>impeller flowrate at shockless</t>
  </si>
  <si>
    <t>Correction factor for specific speed</t>
  </si>
  <si>
    <t>Ca</t>
  </si>
  <si>
    <t>Correction factor for gas to liquid ratio</t>
  </si>
  <si>
    <t>Cb</t>
  </si>
  <si>
    <t>friction coefficient for  pump case</t>
  </si>
  <si>
    <t>K1</t>
  </si>
  <si>
    <t>friction coefficient for impeller</t>
  </si>
  <si>
    <t>K2</t>
  </si>
  <si>
    <t>Limitations:</t>
  </si>
  <si>
    <t>the formulation is valid for no swirl angle at inlet. NPSHr for 40000 curve is based on the average between Vlaming and Shiavello formulation</t>
  </si>
  <si>
    <t>VALUES IN US SYSTEM</t>
  </si>
  <si>
    <t>selection</t>
  </si>
  <si>
    <t>unit conversion</t>
  </si>
  <si>
    <t>QRTD</t>
  </si>
  <si>
    <t>HRTD</t>
  </si>
  <si>
    <t>n</t>
  </si>
  <si>
    <t>eta</t>
  </si>
  <si>
    <t>Density</t>
  </si>
  <si>
    <t>D1</t>
  </si>
  <si>
    <t>D1h</t>
  </si>
  <si>
    <t>beta1@LE-tip</t>
  </si>
  <si>
    <t>beta1@LE-hub</t>
  </si>
  <si>
    <t>LE tickness</t>
  </si>
  <si>
    <t>LE chamfered length</t>
  </si>
  <si>
    <t>g</t>
  </si>
  <si>
    <t>NS</t>
  </si>
  <si>
    <t>u1.tip</t>
  </si>
  <si>
    <t>u1.hub</t>
  </si>
  <si>
    <t>Aeye</t>
  </si>
  <si>
    <t>cm1.tip</t>
  </si>
  <si>
    <t>cm1.hub</t>
  </si>
  <si>
    <t>unit</t>
  </si>
  <si>
    <t>H</t>
  </si>
  <si>
    <t>Power</t>
  </si>
  <si>
    <t>GMP</t>
  </si>
  <si>
    <t>ft</t>
  </si>
  <si>
    <t>rpm</t>
  </si>
  <si>
    <t>lb/ft3</t>
  </si>
  <si>
    <t>in</t>
  </si>
  <si>
    <t>ft/s</t>
  </si>
  <si>
    <t>in2</t>
  </si>
  <si>
    <t>imp suct</t>
  </si>
  <si>
    <t>US</t>
  </si>
  <si>
    <t>RTD</t>
  </si>
  <si>
    <t>Impeller Vane K2</t>
  </si>
  <si>
    <t>S/L</t>
  </si>
  <si>
    <t>Nq</t>
  </si>
  <si>
    <t>Ns</t>
  </si>
  <si>
    <t>Ca.calc</t>
  </si>
  <si>
    <t>target</t>
  </si>
  <si>
    <t>32+9/5</t>
  </si>
  <si>
    <t>Ns-target</t>
  </si>
  <si>
    <t>Vlaming method</t>
  </si>
  <si>
    <r>
      <t>(0 </t>
    </r>
    <r>
      <rPr>
        <b/>
        <sz val="11"/>
        <color rgb="FF202124"/>
        <rFont val="Arial"/>
        <family val="2"/>
      </rPr>
      <t>°C</t>
    </r>
    <r>
      <rPr>
        <sz val="11"/>
        <color rgb="FF202124"/>
        <rFont val="Arial"/>
        <family val="2"/>
      </rPr>
      <t> × 9/5) + 32</t>
    </r>
  </si>
  <si>
    <t>R-target</t>
  </si>
  <si>
    <t>NPSH/se</t>
  </si>
  <si>
    <t>Q/Qsh</t>
  </si>
  <si>
    <t>GLR( R )</t>
  </si>
  <si>
    <t>°F</t>
  </si>
  <si>
    <t>°C</t>
  </si>
  <si>
    <t>NPSH</t>
  </si>
  <si>
    <t>NPSH/NPSHse</t>
  </si>
  <si>
    <t>Q/Qse</t>
  </si>
  <si>
    <t>nitrogen -320°F (-196°C)</t>
  </si>
  <si>
    <t>NPSHse-V</t>
  </si>
  <si>
    <t>NPSHse-S</t>
  </si>
  <si>
    <t>NPSHse-sel</t>
  </si>
  <si>
    <t>butane 30 °F (-1°C)</t>
  </si>
  <si>
    <t>prophane -40°F (-40°C)</t>
  </si>
  <si>
    <t>methane 258°F (125°C)</t>
  </si>
  <si>
    <t>oxygen -300°F (-184°C)</t>
  </si>
  <si>
    <t>NPSH ratio =C0+C1*NPSHse+C1*NPSHse^2</t>
  </si>
  <si>
    <t>C0</t>
  </si>
  <si>
    <t>C1</t>
  </si>
  <si>
    <t>C2</t>
  </si>
  <si>
    <t>C3</t>
  </si>
  <si>
    <t>NPSHse</t>
  </si>
  <si>
    <t>WORTHINGTON -SCHIAVELLO apporach</t>
  </si>
  <si>
    <t>NPSH40k</t>
  </si>
  <si>
    <t>NPSHr 40000hours – Vlaming formula method and calculation
(linked to SOP-471)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</si>
</sst>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0.0000E+00"/>
    <numFmt numFmtId="168" formatCode="General_)"/>
    <numFmt numFmtId="169" formatCode="&quot;$&quot;#,##0.00;[Red]\-&quot;$&quot;#,##0.00"/>
  </numFmts>
  <fonts count="18" x14ac:knownFonts="1">
    <font>
      <sz val="10"/>
      <name val="Arial"/>
    </font>
    <font>
      <sz val="10"/>
      <name val="Arial"/>
      <family val="2"/>
    </font>
    <font>
      <sz val="7"/>
      <name val="Arial"/>
      <family val="2"/>
    </font>
    <font>
      <sz val="11"/>
      <color rgb="FF202124"/>
      <name val="Arial"/>
      <family val="2"/>
    </font>
    <font>
      <b/>
      <sz val="11"/>
      <color rgb="FF202124"/>
      <name val="Arial"/>
      <family val="2"/>
    </font>
    <font>
      <sz val="14"/>
      <name val="TradeGothic"/>
    </font>
    <font>
      <sz val="10"/>
      <name val="TradeGothic"/>
    </font>
    <font>
      <sz val="9"/>
      <name val="TradeGothic"/>
    </font>
    <font>
      <sz val="8"/>
      <name val="TradeGothic"/>
    </font>
    <font>
      <b/>
      <sz val="12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8" fontId="10" fillId="0" borderId="0"/>
    <xf numFmtId="169" fontId="16" fillId="0" borderId="0" applyFont="0" applyFill="0" applyBorder="0" applyAlignment="0" applyProtection="0"/>
  </cellStyleXfs>
  <cellXfs count="170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64" fontId="0" fillId="0" borderId="0" xfId="0" applyNumberFormat="1"/>
    <xf numFmtId="1" fontId="0" fillId="0" borderId="11" xfId="1" applyNumberFormat="1" applyFont="1" applyBorder="1" applyAlignment="1" applyProtection="1">
      <alignment horizontal="center"/>
    </xf>
    <xf numFmtId="0" fontId="1" fillId="0" borderId="0" xfId="2"/>
    <xf numFmtId="0" fontId="1" fillId="0" borderId="0" xfId="2" applyAlignment="1">
      <alignment wrapText="1"/>
    </xf>
    <xf numFmtId="164" fontId="1" fillId="0" borderId="10" xfId="2" applyNumberFormat="1" applyBorder="1" applyAlignment="1">
      <alignment horizontal="center"/>
    </xf>
    <xf numFmtId="0" fontId="1" fillId="0" borderId="12" xfId="2" applyBorder="1"/>
    <xf numFmtId="0" fontId="1" fillId="0" borderId="0" xfId="0" applyFont="1"/>
    <xf numFmtId="0" fontId="0" fillId="0" borderId="1" xfId="0" applyBorder="1"/>
    <xf numFmtId="0" fontId="0" fillId="2" borderId="0" xfId="0" applyFill="1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3" fillId="0" borderId="0" xfId="0" applyFont="1"/>
    <xf numFmtId="0" fontId="0" fillId="4" borderId="0" xfId="0" applyFill="1"/>
    <xf numFmtId="167" fontId="0" fillId="2" borderId="0" xfId="0" applyNumberFormat="1" applyFill="1"/>
    <xf numFmtId="11" fontId="0" fillId="2" borderId="0" xfId="0" applyNumberFormat="1" applyFill="1"/>
    <xf numFmtId="164" fontId="0" fillId="3" borderId="0" xfId="0" applyNumberFormat="1" applyFill="1"/>
    <xf numFmtId="164" fontId="0" fillId="2" borderId="0" xfId="0" applyNumberFormat="1" applyFill="1"/>
    <xf numFmtId="0" fontId="0" fillId="5" borderId="0" xfId="0" applyFill="1"/>
    <xf numFmtId="0" fontId="0" fillId="3" borderId="1" xfId="0" applyFill="1" applyBorder="1"/>
    <xf numFmtId="1" fontId="0" fillId="3" borderId="1" xfId="0" applyNumberFormat="1" applyFill="1" applyBorder="1"/>
    <xf numFmtId="0" fontId="0" fillId="6" borderId="0" xfId="0" applyFill="1"/>
    <xf numFmtId="164" fontId="0" fillId="6" borderId="0" xfId="0" applyNumberFormat="1" applyFill="1"/>
    <xf numFmtId="164" fontId="1" fillId="6" borderId="1" xfId="1" applyNumberFormat="1" applyFont="1" applyFill="1" applyBorder="1" applyAlignment="1" applyProtection="1">
      <alignment horizontal="center"/>
      <protection locked="0"/>
    </xf>
    <xf numFmtId="0" fontId="1" fillId="5" borderId="5" xfId="2" applyFill="1" applyBorder="1"/>
    <xf numFmtId="0" fontId="1" fillId="5" borderId="0" xfId="0" applyFont="1" applyFill="1"/>
    <xf numFmtId="0" fontId="1" fillId="5" borderId="14" xfId="2" applyFill="1" applyBorder="1"/>
    <xf numFmtId="0" fontId="1" fillId="5" borderId="7" xfId="2" applyFill="1" applyBorder="1"/>
    <xf numFmtId="0" fontId="1" fillId="5" borderId="6" xfId="2" applyFill="1" applyBorder="1"/>
    <xf numFmtId="0" fontId="1" fillId="5" borderId="5" xfId="2" applyFill="1" applyBorder="1" applyAlignment="1">
      <alignment wrapText="1"/>
    </xf>
    <xf numFmtId="0" fontId="1" fillId="5" borderId="13" xfId="2" applyFill="1" applyBorder="1" applyAlignment="1">
      <alignment wrapText="1"/>
    </xf>
    <xf numFmtId="0" fontId="1" fillId="5" borderId="0" xfId="2" applyFill="1"/>
    <xf numFmtId="0" fontId="1" fillId="5" borderId="0" xfId="2" applyFill="1" applyAlignment="1">
      <alignment wrapText="1"/>
    </xf>
    <xf numFmtId="0" fontId="1" fillId="5" borderId="6" xfId="2" applyFill="1" applyBorder="1" applyAlignment="1">
      <alignment wrapText="1"/>
    </xf>
    <xf numFmtId="0" fontId="2" fillId="5" borderId="7" xfId="0" applyFont="1" applyFill="1" applyBorder="1"/>
    <xf numFmtId="0" fontId="6" fillId="3" borderId="1" xfId="2" applyFont="1" applyFill="1" applyBorder="1" applyAlignment="1">
      <alignment horizontal="left"/>
    </xf>
    <xf numFmtId="0" fontId="6" fillId="5" borderId="0" xfId="2" applyFont="1" applyFill="1"/>
    <xf numFmtId="0" fontId="6" fillId="5" borderId="6" xfId="2" applyFont="1" applyFill="1" applyBorder="1" applyAlignment="1">
      <alignment wrapText="1"/>
    </xf>
    <xf numFmtId="0" fontId="6" fillId="5" borderId="0" xfId="2" applyFont="1" applyFill="1" applyAlignment="1">
      <alignment wrapText="1"/>
    </xf>
    <xf numFmtId="0" fontId="6" fillId="3" borderId="16" xfId="2" applyFont="1" applyFill="1" applyBorder="1"/>
    <xf numFmtId="0" fontId="6" fillId="3" borderId="1" xfId="2" applyFont="1" applyFill="1" applyBorder="1"/>
    <xf numFmtId="0" fontId="6" fillId="3" borderId="1" xfId="2" applyFont="1" applyFill="1" applyBorder="1" applyAlignment="1">
      <alignment wrapText="1"/>
    </xf>
    <xf numFmtId="0" fontId="6" fillId="5" borderId="6" xfId="2" applyFont="1" applyFill="1" applyBorder="1"/>
    <xf numFmtId="0" fontId="6" fillId="3" borderId="2" xfId="2" applyFont="1" applyFill="1" applyBorder="1"/>
    <xf numFmtId="0" fontId="6" fillId="3" borderId="3" xfId="2" applyFont="1" applyFill="1" applyBorder="1"/>
    <xf numFmtId="0" fontId="6" fillId="3" borderId="4" xfId="2" applyFont="1" applyFill="1" applyBorder="1"/>
    <xf numFmtId="0" fontId="1" fillId="0" borderId="1" xfId="0" applyFont="1" applyBorder="1"/>
    <xf numFmtId="1" fontId="0" fillId="0" borderId="1" xfId="0" applyNumberFormat="1" applyBorder="1"/>
    <xf numFmtId="165" fontId="0" fillId="0" borderId="1" xfId="0" applyNumberFormat="1" applyBorder="1"/>
    <xf numFmtId="0" fontId="7" fillId="5" borderId="7" xfId="0" applyFont="1" applyFill="1" applyBorder="1"/>
    <xf numFmtId="0" fontId="8" fillId="5" borderId="7" xfId="2" applyFont="1" applyFill="1" applyBorder="1"/>
    <xf numFmtId="0" fontId="6" fillId="5" borderId="7" xfId="2" applyFont="1" applyFill="1" applyBorder="1"/>
    <xf numFmtId="0" fontId="9" fillId="5" borderId="0" xfId="2" applyFont="1" applyFill="1"/>
    <xf numFmtId="0" fontId="6" fillId="6" borderId="4" xfId="2" applyFont="1" applyFill="1" applyBorder="1"/>
    <xf numFmtId="0" fontId="6" fillId="3" borderId="5" xfId="2" applyFont="1" applyFill="1" applyBorder="1" applyAlignment="1">
      <alignment horizontal="right"/>
    </xf>
    <xf numFmtId="164" fontId="6" fillId="5" borderId="0" xfId="1" applyNumberFormat="1" applyFont="1" applyFill="1" applyBorder="1" applyAlignment="1" applyProtection="1">
      <alignment horizontal="center"/>
      <protection locked="0"/>
    </xf>
    <xf numFmtId="0" fontId="6" fillId="6" borderId="5" xfId="2" applyFont="1" applyFill="1" applyBorder="1"/>
    <xf numFmtId="0" fontId="6" fillId="3" borderId="1" xfId="2" applyFont="1" applyFill="1" applyBorder="1" applyAlignment="1">
      <alignment horizontal="center" vertical="center"/>
    </xf>
    <xf numFmtId="0" fontId="6" fillId="5" borderId="11" xfId="2" applyFont="1" applyFill="1" applyBorder="1"/>
    <xf numFmtId="0" fontId="6" fillId="3" borderId="5" xfId="2" applyFont="1" applyFill="1" applyBorder="1"/>
    <xf numFmtId="0" fontId="6" fillId="3" borderId="1" xfId="2" applyFont="1" applyFill="1" applyBorder="1" applyAlignment="1">
      <alignment horizontal="center"/>
    </xf>
    <xf numFmtId="0" fontId="1" fillId="0" borderId="0" xfId="2" quotePrefix="1"/>
    <xf numFmtId="0" fontId="1" fillId="2" borderId="0" xfId="0" applyFont="1" applyFill="1" applyAlignment="1">
      <alignment horizontal="right"/>
    </xf>
    <xf numFmtId="9" fontId="1" fillId="2" borderId="0" xfId="0" applyNumberFormat="1" applyFont="1" applyFill="1" applyAlignment="1">
      <alignment horizontal="right"/>
    </xf>
    <xf numFmtId="164" fontId="0" fillId="3" borderId="1" xfId="0" applyNumberFormat="1" applyFill="1" applyBorder="1"/>
    <xf numFmtId="0" fontId="1" fillId="5" borderId="9" xfId="2" applyFill="1" applyBorder="1"/>
    <xf numFmtId="0" fontId="1" fillId="5" borderId="14" xfId="2" applyFill="1" applyBorder="1" applyAlignment="1">
      <alignment wrapText="1"/>
    </xf>
    <xf numFmtId="0" fontId="1" fillId="5" borderId="15" xfId="2" applyFill="1" applyBorder="1" applyAlignment="1">
      <alignment wrapText="1"/>
    </xf>
    <xf numFmtId="0" fontId="1" fillId="5" borderId="8" xfId="2" applyFill="1" applyBorder="1"/>
    <xf numFmtId="0" fontId="1" fillId="0" borderId="0" xfId="2" applyAlignment="1">
      <alignment horizontal="center" vertical="center"/>
    </xf>
    <xf numFmtId="0" fontId="7" fillId="7" borderId="9" xfId="0" applyFont="1" applyFill="1" applyBorder="1"/>
    <xf numFmtId="0" fontId="1" fillId="7" borderId="14" xfId="2" applyFill="1" applyBorder="1"/>
    <xf numFmtId="0" fontId="8" fillId="7" borderId="7" xfId="2" applyFont="1" applyFill="1" applyBorder="1"/>
    <xf numFmtId="0" fontId="1" fillId="7" borderId="0" xfId="2" applyFill="1"/>
    <xf numFmtId="0" fontId="8" fillId="7" borderId="8" xfId="2" applyFont="1" applyFill="1" applyBorder="1"/>
    <xf numFmtId="0" fontId="0" fillId="7" borderId="5" xfId="0" applyFill="1" applyBorder="1"/>
    <xf numFmtId="1" fontId="6" fillId="7" borderId="1" xfId="1" applyNumberFormat="1" applyFont="1" applyFill="1" applyBorder="1" applyAlignment="1" applyProtection="1">
      <alignment horizontal="center"/>
      <protection locked="0"/>
    </xf>
    <xf numFmtId="164" fontId="6" fillId="7" borderId="1" xfId="1" applyNumberFormat="1" applyFont="1" applyFill="1" applyBorder="1" applyAlignment="1" applyProtection="1">
      <alignment horizontal="center"/>
      <protection locked="0"/>
    </xf>
    <xf numFmtId="2" fontId="6" fillId="4" borderId="2" xfId="2" applyNumberFormat="1" applyFont="1" applyFill="1" applyBorder="1"/>
    <xf numFmtId="166" fontId="6" fillId="4" borderId="2" xfId="2" applyNumberFormat="1" applyFont="1" applyFill="1" applyBorder="1"/>
    <xf numFmtId="2" fontId="6" fillId="4" borderId="0" xfId="2" applyNumberFormat="1" applyFont="1" applyFill="1"/>
    <xf numFmtId="2" fontId="6" fillId="4" borderId="3" xfId="2" applyNumberFormat="1" applyFont="1" applyFill="1" applyBorder="1"/>
    <xf numFmtId="164" fontId="6" fillId="4" borderId="1" xfId="2" applyNumberFormat="1" applyFont="1" applyFill="1" applyBorder="1" applyAlignment="1">
      <alignment wrapText="1"/>
    </xf>
    <xf numFmtId="1" fontId="6" fillId="4" borderId="1" xfId="2" applyNumberFormat="1" applyFont="1" applyFill="1" applyBorder="1"/>
    <xf numFmtId="164" fontId="6" fillId="4" borderId="1" xfId="2" applyNumberFormat="1" applyFont="1" applyFill="1" applyBorder="1"/>
    <xf numFmtId="0" fontId="6" fillId="4" borderId="6" xfId="2" applyFont="1" applyFill="1" applyBorder="1"/>
    <xf numFmtId="0" fontId="1" fillId="0" borderId="17" xfId="3" applyBorder="1" applyAlignment="1">
      <alignment horizontal="center" vertical="center"/>
    </xf>
    <xf numFmtId="0" fontId="1" fillId="0" borderId="18" xfId="3" applyBorder="1" applyAlignment="1">
      <alignment horizontal="center" vertical="center"/>
    </xf>
    <xf numFmtId="0" fontId="1" fillId="0" borderId="19" xfId="3" applyBorder="1" applyAlignment="1">
      <alignment horizontal="center" vertical="center"/>
    </xf>
    <xf numFmtId="168" fontId="10" fillId="0" borderId="0" xfId="4"/>
    <xf numFmtId="0" fontId="1" fillId="0" borderId="20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1" xfId="3" applyBorder="1" applyAlignment="1">
      <alignment horizontal="center" vertical="center"/>
    </xf>
    <xf numFmtId="0" fontId="11" fillId="0" borderId="0" xfId="3" applyFont="1" applyAlignment="1">
      <alignment horizontal="center" vertical="top"/>
    </xf>
    <xf numFmtId="0" fontId="1" fillId="0" borderId="0" xfId="3" applyAlignment="1">
      <alignment horizontal="center"/>
    </xf>
    <xf numFmtId="0" fontId="12" fillId="0" borderId="0" xfId="3" applyFont="1" applyAlignment="1">
      <alignment horizontal="center" vertical="top"/>
    </xf>
    <xf numFmtId="0" fontId="13" fillId="0" borderId="21" xfId="3" applyFont="1" applyBorder="1" applyAlignment="1">
      <alignment horizontal="center" vertical="top"/>
    </xf>
    <xf numFmtId="0" fontId="14" fillId="0" borderId="20" xfId="3" applyFont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14" fillId="0" borderId="21" xfId="3" applyFont="1" applyBorder="1" applyAlignment="1">
      <alignment horizontal="center" vertical="center"/>
    </xf>
    <xf numFmtId="0" fontId="6" fillId="3" borderId="6" xfId="2" applyFont="1" applyFill="1" applyBorder="1"/>
    <xf numFmtId="164" fontId="6" fillId="4" borderId="6" xfId="2" applyNumberFormat="1" applyFont="1" applyFill="1" applyBorder="1" applyAlignment="1">
      <alignment wrapText="1"/>
    </xf>
    <xf numFmtId="0" fontId="1" fillId="0" borderId="1" xfId="2" applyBorder="1" applyAlignment="1">
      <alignment wrapText="1"/>
    </xf>
    <xf numFmtId="0" fontId="1" fillId="3" borderId="1" xfId="2" applyFill="1" applyBorder="1" applyAlignment="1">
      <alignment horizontal="center" vertical="center" wrapText="1"/>
    </xf>
    <xf numFmtId="169" fontId="1" fillId="0" borderId="22" xfId="5" applyFont="1" applyBorder="1" applyAlignment="1">
      <alignment horizontal="right" vertical="center"/>
    </xf>
    <xf numFmtId="169" fontId="10" fillId="0" borderId="23" xfId="5" applyFont="1" applyBorder="1" applyAlignment="1">
      <alignment horizontal="right" vertical="center"/>
    </xf>
    <xf numFmtId="169" fontId="10" fillId="0" borderId="24" xfId="5" applyFont="1" applyBorder="1" applyAlignment="1">
      <alignment horizontal="right" vertical="center"/>
    </xf>
    <xf numFmtId="169" fontId="1" fillId="0" borderId="32" xfId="5" applyFont="1" applyBorder="1" applyAlignment="1">
      <alignment horizontal="center" vertical="center"/>
    </xf>
    <xf numFmtId="169" fontId="1" fillId="0" borderId="33" xfId="5" applyFont="1" applyBorder="1" applyAlignment="1">
      <alignment horizontal="center" vertical="center"/>
    </xf>
    <xf numFmtId="0" fontId="17" fillId="0" borderId="34" xfId="3" applyFont="1" applyBorder="1" applyAlignment="1">
      <alignment horizontal="center" vertical="center"/>
    </xf>
    <xf numFmtId="0" fontId="17" fillId="0" borderId="35" xfId="3" applyFont="1" applyBorder="1" applyAlignment="1">
      <alignment horizontal="center" vertical="center"/>
    </xf>
    <xf numFmtId="0" fontId="17" fillId="0" borderId="33" xfId="3" applyFont="1" applyBorder="1" applyAlignment="1">
      <alignment horizontal="center" vertical="center"/>
    </xf>
    <xf numFmtId="0" fontId="17" fillId="0" borderId="36" xfId="3" applyFont="1" applyBorder="1" applyAlignment="1">
      <alignment horizontal="center" vertical="center"/>
    </xf>
    <xf numFmtId="0" fontId="16" fillId="0" borderId="2" xfId="3" applyFont="1" applyBorder="1" applyAlignment="1">
      <alignment horizontal="center" vertical="center" wrapText="1"/>
    </xf>
    <xf numFmtId="0" fontId="16" fillId="0" borderId="3" xfId="3" applyFont="1" applyBorder="1" applyAlignment="1">
      <alignment horizontal="center" vertical="center" wrapText="1"/>
    </xf>
    <xf numFmtId="0" fontId="16" fillId="0" borderId="31" xfId="3" applyFont="1" applyBorder="1" applyAlignment="1">
      <alignment horizontal="center" vertical="center" wrapText="1"/>
    </xf>
    <xf numFmtId="0" fontId="1" fillId="0" borderId="30" xfId="3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3" xfId="3" applyBorder="1" applyAlignment="1">
      <alignment horizontal="center" vertical="center"/>
    </xf>
    <xf numFmtId="0" fontId="1" fillId="0" borderId="31" xfId="3" applyBorder="1" applyAlignment="1">
      <alignment horizontal="center" vertical="center"/>
    </xf>
    <xf numFmtId="0" fontId="16" fillId="0" borderId="30" xfId="3" applyFont="1" applyBorder="1" applyAlignment="1">
      <alignment horizontal="center" vertical="center"/>
    </xf>
    <xf numFmtId="0" fontId="16" fillId="0" borderId="4" xfId="3" applyFont="1" applyBorder="1" applyAlignment="1">
      <alignment horizontal="center" vertical="center"/>
    </xf>
    <xf numFmtId="14" fontId="16" fillId="0" borderId="2" xfId="3" applyNumberFormat="1" applyFont="1" applyBorder="1" applyAlignment="1">
      <alignment horizontal="center" vertical="center"/>
    </xf>
    <xf numFmtId="14" fontId="16" fillId="0" borderId="3" xfId="3" applyNumberFormat="1" applyFont="1" applyBorder="1" applyAlignment="1">
      <alignment horizontal="center" vertical="center"/>
    </xf>
    <xf numFmtId="14" fontId="16" fillId="0" borderId="4" xfId="3" applyNumberFormat="1" applyFont="1" applyBorder="1" applyAlignment="1">
      <alignment horizontal="center" vertical="center"/>
    </xf>
    <xf numFmtId="0" fontId="16" fillId="0" borderId="2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4" xfId="3" applyFont="1" applyBorder="1" applyAlignment="1">
      <alignment horizontal="center" vertical="center" wrapText="1"/>
    </xf>
    <xf numFmtId="0" fontId="14" fillId="0" borderId="17" xfId="3" applyFont="1" applyBorder="1" applyAlignment="1">
      <alignment horizontal="center" vertical="center" wrapText="1"/>
    </xf>
    <xf numFmtId="0" fontId="14" fillId="0" borderId="18" xfId="3" applyFont="1" applyBorder="1" applyAlignment="1">
      <alignment horizontal="center" vertical="center" wrapText="1"/>
    </xf>
    <xf numFmtId="0" fontId="14" fillId="0" borderId="19" xfId="3" applyFont="1" applyBorder="1" applyAlignment="1">
      <alignment horizontal="center" vertical="center" wrapText="1"/>
    </xf>
    <xf numFmtId="0" fontId="14" fillId="0" borderId="20" xfId="3" applyFont="1" applyBorder="1" applyAlignment="1">
      <alignment horizontal="center" vertical="center" wrapText="1"/>
    </xf>
    <xf numFmtId="0" fontId="14" fillId="0" borderId="0" xfId="3" applyFont="1" applyAlignment="1">
      <alignment horizontal="center" vertical="center" wrapText="1"/>
    </xf>
    <xf numFmtId="0" fontId="14" fillId="0" borderId="21" xfId="3" applyFont="1" applyBorder="1" applyAlignment="1">
      <alignment horizontal="center" vertical="center" wrapText="1"/>
    </xf>
    <xf numFmtId="0" fontId="14" fillId="0" borderId="22" xfId="3" applyFont="1" applyBorder="1" applyAlignment="1">
      <alignment horizontal="center" vertical="center" wrapText="1"/>
    </xf>
    <xf numFmtId="0" fontId="14" fillId="0" borderId="23" xfId="3" applyFont="1" applyBorder="1" applyAlignment="1">
      <alignment horizontal="center" vertical="center" wrapText="1"/>
    </xf>
    <xf numFmtId="0" fontId="14" fillId="0" borderId="24" xfId="3" applyFont="1" applyBorder="1" applyAlignment="1">
      <alignment horizontal="center" vertical="center" wrapText="1"/>
    </xf>
    <xf numFmtId="0" fontId="1" fillId="0" borderId="25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0" borderId="27" xfId="3" applyBorder="1" applyAlignment="1">
      <alignment horizontal="center" vertical="center"/>
    </xf>
    <xf numFmtId="0" fontId="1" fillId="0" borderId="28" xfId="3" applyBorder="1" applyAlignment="1">
      <alignment horizontal="center" vertical="center"/>
    </xf>
    <xf numFmtId="0" fontId="1" fillId="0" borderId="29" xfId="3" applyBorder="1" applyAlignment="1">
      <alignment horizontal="center" vertical="center"/>
    </xf>
    <xf numFmtId="0" fontId="6" fillId="3" borderId="1" xfId="2" applyFont="1" applyFill="1" applyBorder="1" applyAlignment="1">
      <alignment horizontal="left"/>
    </xf>
    <xf numFmtId="0" fontId="6" fillId="3" borderId="2" xfId="2" applyFont="1" applyFill="1" applyBorder="1" applyAlignment="1">
      <alignment horizontal="left"/>
    </xf>
    <xf numFmtId="0" fontId="6" fillId="3" borderId="3" xfId="2" applyFont="1" applyFill="1" applyBorder="1" applyAlignment="1">
      <alignment horizontal="left"/>
    </xf>
    <xf numFmtId="0" fontId="6" fillId="3" borderId="4" xfId="2" applyFont="1" applyFill="1" applyBorder="1" applyAlignment="1">
      <alignment horizontal="left"/>
    </xf>
    <xf numFmtId="0" fontId="5" fillId="7" borderId="9" xfId="0" applyFont="1" applyFill="1" applyBorder="1" applyAlignment="1">
      <alignment horizontal="right" wrapText="1"/>
    </xf>
    <xf numFmtId="0" fontId="5" fillId="7" borderId="14" xfId="0" applyFont="1" applyFill="1" applyBorder="1" applyAlignment="1">
      <alignment horizontal="right" wrapText="1"/>
    </xf>
    <xf numFmtId="0" fontId="5" fillId="7" borderId="15" xfId="0" applyFont="1" applyFill="1" applyBorder="1" applyAlignment="1">
      <alignment horizontal="right" wrapText="1"/>
    </xf>
    <xf numFmtId="0" fontId="5" fillId="7" borderId="7" xfId="0" applyFont="1" applyFill="1" applyBorder="1" applyAlignment="1">
      <alignment horizontal="right" wrapText="1"/>
    </xf>
    <xf numFmtId="0" fontId="5" fillId="7" borderId="0" xfId="0" applyFont="1" applyFill="1" applyAlignment="1">
      <alignment horizontal="right" wrapText="1"/>
    </xf>
    <xf numFmtId="0" fontId="5" fillId="7" borderId="6" xfId="0" applyFont="1" applyFill="1" applyBorder="1" applyAlignment="1">
      <alignment horizontal="right" wrapText="1"/>
    </xf>
    <xf numFmtId="0" fontId="5" fillId="7" borderId="8" xfId="0" applyFont="1" applyFill="1" applyBorder="1" applyAlignment="1">
      <alignment horizontal="right" wrapText="1"/>
    </xf>
    <xf numFmtId="0" fontId="5" fillId="7" borderId="5" xfId="0" applyFont="1" applyFill="1" applyBorder="1" applyAlignment="1">
      <alignment horizontal="right" wrapText="1"/>
    </xf>
    <xf numFmtId="0" fontId="5" fillId="7" borderId="13" xfId="0" applyFont="1" applyFill="1" applyBorder="1" applyAlignment="1">
      <alignment horizontal="right" wrapText="1"/>
    </xf>
    <xf numFmtId="0" fontId="6" fillId="0" borderId="2" xfId="2" applyFont="1" applyBorder="1" applyAlignment="1">
      <alignment horizontal="left" vertical="top" wrapText="1"/>
    </xf>
    <xf numFmtId="0" fontId="6" fillId="0" borderId="3" xfId="2" applyFont="1" applyBorder="1" applyAlignment="1">
      <alignment horizontal="left" vertical="top" wrapText="1"/>
    </xf>
    <xf numFmtId="0" fontId="6" fillId="0" borderId="4" xfId="2" applyFont="1" applyBorder="1" applyAlignment="1">
      <alignment horizontal="left" vertical="top" wrapText="1"/>
    </xf>
    <xf numFmtId="0" fontId="5" fillId="6" borderId="7" xfId="2" applyFont="1" applyFill="1" applyBorder="1" applyAlignment="1">
      <alignment horizontal="center"/>
    </xf>
    <xf numFmtId="0" fontId="5" fillId="6" borderId="0" xfId="2" applyFont="1" applyFill="1" applyAlignment="1">
      <alignment horizontal="center"/>
    </xf>
    <xf numFmtId="0" fontId="5" fillId="6" borderId="6" xfId="2" applyFont="1" applyFill="1" applyBorder="1" applyAlignment="1">
      <alignment horizontal="center"/>
    </xf>
    <xf numFmtId="0" fontId="6" fillId="7" borderId="2" xfId="2" applyFont="1" applyFill="1" applyBorder="1" applyAlignment="1" applyProtection="1">
      <alignment horizontal="center"/>
      <protection locked="0"/>
    </xf>
    <xf numFmtId="0" fontId="6" fillId="7" borderId="3" xfId="2" applyFont="1" applyFill="1" applyBorder="1" applyAlignment="1" applyProtection="1">
      <alignment horizontal="center"/>
      <protection locked="0"/>
    </xf>
    <xf numFmtId="0" fontId="6" fillId="3" borderId="3" xfId="2" applyFont="1" applyFill="1" applyBorder="1" applyAlignment="1">
      <alignment horizontal="center"/>
    </xf>
    <xf numFmtId="0" fontId="5" fillId="6" borderId="2" xfId="2" applyFont="1" applyFill="1" applyBorder="1"/>
    <xf numFmtId="0" fontId="6" fillId="6" borderId="3" xfId="2" applyFont="1" applyFill="1" applyBorder="1"/>
  </cellXfs>
  <cellStyles count="6">
    <cellStyle name="Normale" xfId="0" builtinId="0"/>
    <cellStyle name="Normale 2" xfId="2" xr:uid="{795928D0-5C76-4F0F-A20E-094B7972AE98}"/>
    <cellStyle name="Normale 3" xfId="4" xr:uid="{C011C091-F2B0-4EF2-B4A7-63FDBD1F912D}"/>
    <cellStyle name="Normale 4" xfId="3" xr:uid="{57B8244B-0C9E-478A-B498-3B3BB4B0A698}"/>
    <cellStyle name="Percentuale" xfId="1" builtinId="5"/>
    <cellStyle name="Valuta 2" xfId="5" xr:uid="{AF86A1FB-1D8C-4F3A-BB52-783ECB8E97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NPSHr</a:t>
            </a:r>
          </a:p>
        </c:rich>
      </c:tx>
      <c:layout>
        <c:manualLayout>
          <c:xMode val="edge"/>
          <c:yMode val="edge"/>
          <c:x val="0.44478195590274477"/>
          <c:y val="6.158583525789068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1631092601028179E-2"/>
          <c:y val="0.17421178010947247"/>
          <c:w val="0.86928713456517803"/>
          <c:h val="0.71407660647499893"/>
        </c:manualLayout>
      </c:layout>
      <c:scatterChart>
        <c:scatterStyle val="smoothMarker"/>
        <c:varyColors val="0"/>
        <c:ser>
          <c:idx val="2"/>
          <c:order val="0"/>
          <c:tx>
            <c:v>NPSHr-40000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'Support data'!$AH$113:$AH$118</c:f>
              <c:numCache>
                <c:formatCode>0.0000E+00</c:formatCode>
                <c:ptCount val="6"/>
                <c:pt idx="0">
                  <c:v>361.46310345107702</c:v>
                </c:pt>
                <c:pt idx="1">
                  <c:v>542.19465517661547</c:v>
                </c:pt>
                <c:pt idx="2">
                  <c:v>722.92620690215404</c:v>
                </c:pt>
                <c:pt idx="3">
                  <c:v>903.65775862769249</c:v>
                </c:pt>
                <c:pt idx="4">
                  <c:v>994.02353449046177</c:v>
                </c:pt>
                <c:pt idx="5">
                  <c:v>1084.3893103532309</c:v>
                </c:pt>
              </c:numCache>
            </c:numRef>
          </c:xVal>
          <c:yVal>
            <c:numRef>
              <c:f>'Support data'!$AI$113:$AI$118</c:f>
              <c:numCache>
                <c:formatCode>General</c:formatCode>
                <c:ptCount val="6"/>
                <c:pt idx="0">
                  <c:v>4.8668904003878133</c:v>
                </c:pt>
                <c:pt idx="1">
                  <c:v>4.0186175845831436</c:v>
                </c:pt>
                <c:pt idx="2">
                  <c:v>4.1948230684066727</c:v>
                </c:pt>
                <c:pt idx="3">
                  <c:v>5.6141956637991299</c:v>
                </c:pt>
                <c:pt idx="4">
                  <c:v>7.1542186668076333</c:v>
                </c:pt>
                <c:pt idx="5">
                  <c:v>9.0588538250334576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51-4F3E-8CDC-5161A6E0F76E}"/>
            </c:ext>
          </c:extLst>
        </c:ser>
        <c:ser>
          <c:idx val="3"/>
          <c:order val="1"/>
          <c:tx>
            <c:v>Operative points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1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Input_Output!$G$47:$G$49</c:f>
              <c:numCache>
                <c:formatCode>0.0</c:formatCode>
                <c:ptCount val="3"/>
                <c:pt idx="0">
                  <c:v>903.65775862769249</c:v>
                </c:pt>
                <c:pt idx="1">
                  <c:v>823.7</c:v>
                </c:pt>
                <c:pt idx="2" formatCode="0">
                  <c:v>875.5</c:v>
                </c:pt>
              </c:numCache>
            </c:numRef>
          </c:xVal>
          <c:yVal>
            <c:numRef>
              <c:f>Input_Output!$H$47:$H$49</c:f>
              <c:numCache>
                <c:formatCode>0.0</c:formatCode>
                <c:ptCount val="3"/>
                <c:pt idx="0">
                  <c:v>5.6141956637991299</c:v>
                </c:pt>
                <c:pt idx="1">
                  <c:v>4.929369348563883</c:v>
                </c:pt>
                <c:pt idx="2">
                  <c:v>4.9986758314664348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51-4F3E-8CDC-5161A6E0F76E}"/>
            </c:ext>
          </c:extLst>
        </c:ser>
        <c:ser>
          <c:idx val="4"/>
          <c:order val="2"/>
          <c:tx>
            <c:v>NPSHav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('Support data'!$AF$75,'Support data'!$AF$80)</c:f>
              <c:numCache>
                <c:formatCode>0.0</c:formatCode>
                <c:ptCount val="2"/>
                <c:pt idx="0">
                  <c:v>361.46310345107702</c:v>
                </c:pt>
                <c:pt idx="1">
                  <c:v>1084.3893103532309</c:v>
                </c:pt>
              </c:numCache>
            </c:numRef>
          </c:xVal>
          <c:yVal>
            <c:numRef>
              <c:f>(Input_Output!$E$17,Input_Output!$E$17)</c:f>
              <c:numCache>
                <c:formatCode>0.0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51-4F3E-8CDC-5161A6E0F76E}"/>
            </c:ext>
          </c:extLst>
        </c:ser>
        <c:ser>
          <c:idx val="0"/>
          <c:order val="3"/>
          <c:tx>
            <c:strRef>
              <c:f>Input_Output!$I$29</c:f>
              <c:strCache>
                <c:ptCount val="1"/>
                <c:pt idx="0">
                  <c:v>NPSH3%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Input_Output!$H$31:$H$35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</c:numCache>
            </c:numRef>
          </c:xVal>
          <c:yVal>
            <c:numRef>
              <c:f>Input_Output!$I$31:$I$35</c:f>
              <c:numCache>
                <c:formatCode>General</c:formatCode>
                <c:ptCount val="5"/>
                <c:pt idx="0">
                  <c:v>2.7</c:v>
                </c:pt>
                <c:pt idx="1">
                  <c:v>2.8</c:v>
                </c:pt>
                <c:pt idx="2">
                  <c:v>2.9</c:v>
                </c:pt>
                <c:pt idx="3">
                  <c:v>3.3</c:v>
                </c:pt>
                <c:pt idx="4">
                  <c:v>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F4-48CB-99A0-8EFDE5F58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30032"/>
        <c:axId val="1220920992"/>
      </c:scatterChart>
      <c:valAx>
        <c:axId val="12126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flowrate 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920992"/>
        <c:crosses val="autoZero"/>
        <c:crossBetween val="midCat"/>
      </c:valAx>
      <c:valAx>
        <c:axId val="12209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NPSH40k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63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644572272550303E-2"/>
          <c:y val="6.8345244373321706E-2"/>
          <c:w val="0.83372761198752021"/>
          <c:h val="0.123033223618410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1.186056377422846E-2"/>
          <c:w val="0.88749207358916571"/>
          <c:h val="0.9182337783347261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'Support data'!$K$15:$K$20</c:f>
              <c:numCache>
                <c:formatCode>General</c:formatCode>
                <c:ptCount val="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</c:numCache>
            </c:numRef>
          </c:xVal>
          <c:yVal>
            <c:numRef>
              <c:f>'Support data'!$L$15:$L$20</c:f>
              <c:numCache>
                <c:formatCode>General</c:formatCode>
                <c:ptCount val="6"/>
                <c:pt idx="0">
                  <c:v>7.5991290000000003E-2</c:v>
                </c:pt>
                <c:pt idx="1">
                  <c:v>0.15476516000000001</c:v>
                </c:pt>
                <c:pt idx="2">
                  <c:v>0.23632160999999999</c:v>
                </c:pt>
                <c:pt idx="3">
                  <c:v>0.32066064</c:v>
                </c:pt>
                <c:pt idx="4">
                  <c:v>0.40778225000000001</c:v>
                </c:pt>
                <c:pt idx="5">
                  <c:v>0.49768643999999995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C-4540-BB55-EFAB533A9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5567"/>
        <c:axId val="1219343792"/>
      </c:scatterChart>
      <c:valAx>
        <c:axId val="93635567"/>
        <c:scaling>
          <c:orientation val="minMax"/>
          <c:max val="0.650000000000000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9343792"/>
        <c:crosses val="autoZero"/>
        <c:crossBetween val="midCat"/>
      </c:valAx>
      <c:valAx>
        <c:axId val="1219343792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36355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959431452935365E-2"/>
          <c:y val="0.10938130574836584"/>
          <c:w val="0.83503010846586612"/>
          <c:h val="0.78821526489150728"/>
        </c:manualLayout>
      </c:layout>
      <c:scatterChart>
        <c:scatterStyle val="smooth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21675853744275508"/>
                  <c:y val="-0.1053487842936506"/>
                </c:manualLayout>
              </c:layout>
              <c:numFmt formatCode="0.000000000E+00" sourceLinked="0"/>
            </c:trendlineLbl>
          </c:trendline>
          <c:xVal>
            <c:numRef>
              <c:f>'Support data'!$AB$16:$AB$20</c:f>
              <c:numCache>
                <c:formatCode>General</c:formatCode>
                <c:ptCount val="5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850</c:v>
                </c:pt>
                <c:pt idx="4">
                  <c:v>1000</c:v>
                </c:pt>
              </c:numCache>
            </c:numRef>
          </c:xVal>
          <c:yVal>
            <c:numRef>
              <c:f>'Support data'!$AC$16:$AC$20</c:f>
              <c:numCache>
                <c:formatCode>General</c:formatCode>
                <c:ptCount val="5"/>
                <c:pt idx="0">
                  <c:v>1.96</c:v>
                </c:pt>
                <c:pt idx="1">
                  <c:v>1.52</c:v>
                </c:pt>
                <c:pt idx="2">
                  <c:v>1.26</c:v>
                </c:pt>
                <c:pt idx="3">
                  <c:v>1.05</c:v>
                </c:pt>
                <c:pt idx="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07-4F6F-8B45-072774323CA1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'Support data'!$AB$27</c:f>
              <c:numCache>
                <c:formatCode>General</c:formatCode>
                <c:ptCount val="1"/>
                <c:pt idx="0">
                  <c:v>819.45143262514364</c:v>
                </c:pt>
              </c:numCache>
            </c:numRef>
          </c:xVal>
          <c:yVal>
            <c:numRef>
              <c:f>'Support data'!$AC$27</c:f>
              <c:numCache>
                <c:formatCode>General</c:formatCode>
                <c:ptCount val="1"/>
                <c:pt idx="0">
                  <c:v>1.0782082793506484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B07-4F6F-8B45-072774323CA1}"/>
            </c:ext>
          </c:extLst>
        </c:ser>
        <c:ser>
          <c:idx val="2"/>
          <c:order val="2"/>
          <c:spPr>
            <a:ln w="28575">
              <a:noFill/>
            </a:ln>
          </c:spPr>
          <c:xVal>
            <c:numRef>
              <c:f>'Support data'!$AB$16:$AB$19</c:f>
              <c:numCache>
                <c:formatCode>General</c:formatCode>
                <c:ptCount val="4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850</c:v>
                </c:pt>
              </c:numCache>
            </c:numRef>
          </c:xVal>
          <c:yVal>
            <c:numRef>
              <c:f>'Support data'!$AD$16:$AD$19</c:f>
              <c:numCache>
                <c:formatCode>General</c:formatCode>
                <c:ptCount val="4"/>
                <c:pt idx="0">
                  <c:v>1.9580362372500009</c:v>
                </c:pt>
                <c:pt idx="1">
                  <c:v>1.5268731749839999</c:v>
                </c:pt>
                <c:pt idx="2">
                  <c:v>1.2523631421819994</c:v>
                </c:pt>
                <c:pt idx="3">
                  <c:v>1.0534911380702505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B07-4F6F-8B45-07277432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48448"/>
        <c:axId val="184650368"/>
      </c:scatterChart>
      <c:valAx>
        <c:axId val="184648448"/>
        <c:scaling>
          <c:orientation val="minMax"/>
          <c:max val="2000"/>
          <c:min val="500"/>
        </c:scaling>
        <c:delete val="0"/>
        <c:axPos val="b"/>
        <c:majorGridlines>
          <c:spPr>
            <a:ln>
              <a:solidFill>
                <a:srgbClr val="FF0000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84650368"/>
        <c:crosses val="autoZero"/>
        <c:crossBetween val="midCat"/>
        <c:majorUnit val="500"/>
      </c:valAx>
      <c:valAx>
        <c:axId val="184650368"/>
        <c:scaling>
          <c:orientation val="minMax"/>
          <c:max val="2.5"/>
          <c:min val="0.5"/>
        </c:scaling>
        <c:delete val="0"/>
        <c:axPos val="l"/>
        <c:majorGridlines>
          <c:spPr>
            <a:ln>
              <a:solidFill>
                <a:srgbClr val="FF0000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84648448"/>
        <c:crosses val="autoZero"/>
        <c:crossBetween val="midCat"/>
        <c:majorUnit val="0.5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12735804899387576"/>
                  <c:y val="-0.52229950422863813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data'!$L$56:$L$71</c:f>
              <c:numCache>
                <c:formatCode>General</c:formatCode>
                <c:ptCount val="16"/>
                <c:pt idx="0">
                  <c:v>450</c:v>
                </c:pt>
                <c:pt idx="1">
                  <c:v>360</c:v>
                </c:pt>
                <c:pt idx="2">
                  <c:v>320</c:v>
                </c:pt>
                <c:pt idx="3">
                  <c:v>300</c:v>
                </c:pt>
                <c:pt idx="4">
                  <c:v>285</c:v>
                </c:pt>
                <c:pt idx="5">
                  <c:v>275</c:v>
                </c:pt>
                <c:pt idx="6">
                  <c:v>260</c:v>
                </c:pt>
                <c:pt idx="7">
                  <c:v>255</c:v>
                </c:pt>
                <c:pt idx="8">
                  <c:v>245</c:v>
                </c:pt>
                <c:pt idx="9">
                  <c:v>240</c:v>
                </c:pt>
                <c:pt idx="10">
                  <c:v>200</c:v>
                </c:pt>
                <c:pt idx="11">
                  <c:v>185</c:v>
                </c:pt>
                <c:pt idx="12">
                  <c:v>165</c:v>
                </c:pt>
                <c:pt idx="13">
                  <c:v>155</c:v>
                </c:pt>
                <c:pt idx="14">
                  <c:v>147</c:v>
                </c:pt>
                <c:pt idx="15">
                  <c:v>135</c:v>
                </c:pt>
              </c:numCache>
            </c:numRef>
          </c:xVal>
          <c:yVal>
            <c:numRef>
              <c:f>'Support data'!$K$56:$K$71</c:f>
              <c:numCache>
                <c:formatCode>General</c:formatCode>
                <c:ptCount val="1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2000</c:v>
                </c:pt>
                <c:pt idx="11">
                  <c:v>3000</c:v>
                </c:pt>
                <c:pt idx="12">
                  <c:v>4000</c:v>
                </c:pt>
                <c:pt idx="13">
                  <c:v>5000</c:v>
                </c:pt>
                <c:pt idx="14">
                  <c:v>6000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EB-4255-94D9-323A510AFC73}"/>
            </c:ext>
          </c:extLst>
        </c:ser>
        <c:ser>
          <c:idx val="1"/>
          <c:order val="1"/>
          <c:tx>
            <c:strRef>
              <c:f>'Support data'!$M$56:$M$71</c:f>
              <c:strCache>
                <c:ptCount val="16"/>
                <c:pt idx="0">
                  <c:v>232,2</c:v>
                </c:pt>
                <c:pt idx="1">
                  <c:v>182,2</c:v>
                </c:pt>
                <c:pt idx="2">
                  <c:v>160,0</c:v>
                </c:pt>
                <c:pt idx="3">
                  <c:v>148,9</c:v>
                </c:pt>
                <c:pt idx="4">
                  <c:v>140,6</c:v>
                </c:pt>
                <c:pt idx="5">
                  <c:v>135,0</c:v>
                </c:pt>
                <c:pt idx="6">
                  <c:v>126,7</c:v>
                </c:pt>
                <c:pt idx="7">
                  <c:v>123,9</c:v>
                </c:pt>
                <c:pt idx="8">
                  <c:v>118,3</c:v>
                </c:pt>
                <c:pt idx="9">
                  <c:v>115,6</c:v>
                </c:pt>
                <c:pt idx="10">
                  <c:v>93,3</c:v>
                </c:pt>
                <c:pt idx="11">
                  <c:v>85,0</c:v>
                </c:pt>
                <c:pt idx="12">
                  <c:v>73,9</c:v>
                </c:pt>
                <c:pt idx="13">
                  <c:v>68,3</c:v>
                </c:pt>
                <c:pt idx="14">
                  <c:v>63,9</c:v>
                </c:pt>
                <c:pt idx="15">
                  <c:v>57,2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6.1284776902887139E-2"/>
                  <c:y val="-0.64729950422863813"/>
                </c:manualLayout>
              </c:layout>
              <c:numFmt formatCode="#,##0.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data'!$M$56:$M$71</c:f>
              <c:numCache>
                <c:formatCode>0.0</c:formatCode>
                <c:ptCount val="16"/>
                <c:pt idx="0">
                  <c:v>232.22222222222223</c:v>
                </c:pt>
                <c:pt idx="1">
                  <c:v>182.22222222222223</c:v>
                </c:pt>
                <c:pt idx="2">
                  <c:v>160</c:v>
                </c:pt>
                <c:pt idx="3">
                  <c:v>148.88888888888889</c:v>
                </c:pt>
                <c:pt idx="4">
                  <c:v>140.55555555555554</c:v>
                </c:pt>
                <c:pt idx="5">
                  <c:v>135</c:v>
                </c:pt>
                <c:pt idx="6">
                  <c:v>126.66666666666666</c:v>
                </c:pt>
                <c:pt idx="7">
                  <c:v>123.88888888888889</c:v>
                </c:pt>
                <c:pt idx="8">
                  <c:v>118.33333333333333</c:v>
                </c:pt>
                <c:pt idx="9">
                  <c:v>115.55555555555556</c:v>
                </c:pt>
                <c:pt idx="10">
                  <c:v>93.333333333333329</c:v>
                </c:pt>
                <c:pt idx="11">
                  <c:v>85</c:v>
                </c:pt>
                <c:pt idx="12">
                  <c:v>73.888888888888886</c:v>
                </c:pt>
                <c:pt idx="13">
                  <c:v>68.333333333333329</c:v>
                </c:pt>
                <c:pt idx="14">
                  <c:v>63.888888888888886</c:v>
                </c:pt>
                <c:pt idx="15">
                  <c:v>57.222222222222221</c:v>
                </c:pt>
              </c:numCache>
            </c:numRef>
          </c:xVal>
          <c:yVal>
            <c:numRef>
              <c:f>'Support data'!$K$56:$K$71</c:f>
              <c:numCache>
                <c:formatCode>General</c:formatCode>
                <c:ptCount val="16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2000</c:v>
                </c:pt>
                <c:pt idx="11">
                  <c:v>3000</c:v>
                </c:pt>
                <c:pt idx="12">
                  <c:v>4000</c:v>
                </c:pt>
                <c:pt idx="13">
                  <c:v>5000</c:v>
                </c:pt>
                <c:pt idx="14">
                  <c:v>6000</c:v>
                </c:pt>
                <c:pt idx="15">
                  <c:v>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EB-4255-94D9-323A510AF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770080"/>
        <c:axId val="69837055"/>
      </c:scatterChart>
      <c:valAx>
        <c:axId val="1980770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9837055"/>
        <c:crosses val="autoZero"/>
        <c:crossBetween val="midCat"/>
      </c:valAx>
      <c:valAx>
        <c:axId val="6983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077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209002396366552E-2"/>
          <c:y val="4.0015948963317394E-2"/>
          <c:w val="0.86295025908660006"/>
          <c:h val="0.886501776990794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data'!$Z$63:$Z$68</c:f>
              <c:numCache>
                <c:formatCode>General</c:formatCode>
                <c:ptCount val="6"/>
                <c:pt idx="0">
                  <c:v>6.25</c:v>
                </c:pt>
                <c:pt idx="1">
                  <c:v>6.25</c:v>
                </c:pt>
                <c:pt idx="2">
                  <c:v>11.25</c:v>
                </c:pt>
                <c:pt idx="3">
                  <c:v>25</c:v>
                </c:pt>
                <c:pt idx="4">
                  <c:v>37.5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99-4158-9C1E-C34EEC5D080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data'!$AA$63:$AA$68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26</c:v>
                </c:pt>
                <c:pt idx="3">
                  <c:v>40</c:v>
                </c:pt>
                <c:pt idx="4">
                  <c:v>54</c:v>
                </c:pt>
                <c:pt idx="5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99-4158-9C1E-C34EEC5D080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data'!$AB$63:$AB$68</c:f>
              <c:numCache>
                <c:formatCode>General</c:formatCode>
                <c:ptCount val="6"/>
                <c:pt idx="0">
                  <c:v>39</c:v>
                </c:pt>
                <c:pt idx="1">
                  <c:v>39</c:v>
                </c:pt>
                <c:pt idx="2">
                  <c:v>42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99-4158-9C1E-C34EEC5D0800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data'!$AC$63:$AC$68</c:f>
              <c:numCache>
                <c:formatCode>General</c:formatCode>
                <c:ptCount val="6"/>
                <c:pt idx="0">
                  <c:v>80</c:v>
                </c:pt>
                <c:pt idx="1">
                  <c:v>80</c:v>
                </c:pt>
                <c:pt idx="2">
                  <c:v>85</c:v>
                </c:pt>
                <c:pt idx="3">
                  <c:v>100</c:v>
                </c:pt>
                <c:pt idx="4">
                  <c:v>115.99999999999999</c:v>
                </c:pt>
                <c:pt idx="5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99-4158-9C1E-C34EEC5D0800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data'!$AD$63:$AD$68</c:f>
              <c:numCache>
                <c:formatCode>General</c:formatCode>
                <c:ptCount val="6"/>
                <c:pt idx="0">
                  <c:v>126</c:v>
                </c:pt>
                <c:pt idx="1">
                  <c:v>123.2</c:v>
                </c:pt>
                <c:pt idx="2">
                  <c:v>126</c:v>
                </c:pt>
                <c:pt idx="3">
                  <c:v>140</c:v>
                </c:pt>
                <c:pt idx="4">
                  <c:v>158.19999999999999</c:v>
                </c:pt>
                <c:pt idx="5">
                  <c:v>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99-4158-9C1E-C34EEC5D0800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data'!$AE$63:$AE$68</c:f>
              <c:numCache>
                <c:formatCode>General</c:formatCode>
                <c:ptCount val="6"/>
                <c:pt idx="0">
                  <c:v>229.99999999999997</c:v>
                </c:pt>
                <c:pt idx="1">
                  <c:v>200</c:v>
                </c:pt>
                <c:pt idx="2">
                  <c:v>190</c:v>
                </c:pt>
                <c:pt idx="3">
                  <c:v>200</c:v>
                </c:pt>
                <c:pt idx="4">
                  <c:v>218.00000000000003</c:v>
                </c:pt>
                <c:pt idx="5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99-4158-9C1E-C34EEC5D0800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data'!$AF$63:$AF$68</c:f>
              <c:numCache>
                <c:formatCode>General</c:formatCode>
                <c:ptCount val="6"/>
                <c:pt idx="0">
                  <c:v>364</c:v>
                </c:pt>
                <c:pt idx="1">
                  <c:v>299</c:v>
                </c:pt>
                <c:pt idx="2">
                  <c:v>267.8</c:v>
                </c:pt>
                <c:pt idx="3">
                  <c:v>260</c:v>
                </c:pt>
                <c:pt idx="4">
                  <c:v>280.8</c:v>
                </c:pt>
                <c:pt idx="5">
                  <c:v>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99-4158-9C1E-C34EEC5D0800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'Support data'!$Y$63:$Y$68</c:f>
              <c:numCache>
                <c:formatCode>General</c:formatCode>
                <c:ptCount val="6"/>
                <c:pt idx="0">
                  <c:v>0.4</c:v>
                </c:pt>
                <c:pt idx="1">
                  <c:v>0.6</c:v>
                </c:pt>
                <c:pt idx="2">
                  <c:v>0.8</c:v>
                </c:pt>
                <c:pt idx="3">
                  <c:v>1</c:v>
                </c:pt>
                <c:pt idx="4">
                  <c:v>1.1000000000000001</c:v>
                </c:pt>
                <c:pt idx="5">
                  <c:v>1.2</c:v>
                </c:pt>
              </c:numCache>
            </c:numRef>
          </c:xVal>
          <c:yVal>
            <c:numRef>
              <c:f>'Support data'!$AG$63:$AG$68</c:f>
              <c:numCache>
                <c:formatCode>General</c:formatCode>
                <c:ptCount val="6"/>
                <c:pt idx="0">
                  <c:v>792.2</c:v>
                </c:pt>
                <c:pt idx="1">
                  <c:v>595</c:v>
                </c:pt>
                <c:pt idx="2">
                  <c:v>442</c:v>
                </c:pt>
                <c:pt idx="3">
                  <c:v>340</c:v>
                </c:pt>
                <c:pt idx="4">
                  <c:v>390.99999999999994</c:v>
                </c:pt>
                <c:pt idx="5">
                  <c:v>459.00000000000006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99-4158-9C1E-C34EEC5D0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056624"/>
        <c:axId val="631490464"/>
      </c:scatterChart>
      <c:valAx>
        <c:axId val="1529056624"/>
        <c:scaling>
          <c:orientation val="minMax"/>
          <c:max val="1.2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31490464"/>
        <c:crosses val="autoZero"/>
        <c:crossBetween val="midCat"/>
      </c:valAx>
      <c:valAx>
        <c:axId val="631490464"/>
        <c:scaling>
          <c:orientation val="minMax"/>
          <c:max val="8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905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11141647905362E-2"/>
          <c:y val="3.0528992386589973E-2"/>
          <c:w val="0.90844067035526821"/>
          <c:h val="0.899745980028358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data'!$AB$99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data'!$AA$100:$AA$108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data'!$AB$100:$AB$108</c:f>
              <c:numCache>
                <c:formatCode>General</c:formatCode>
                <c:ptCount val="9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1.5049999999999999</c:v>
                </c:pt>
                <c:pt idx="4">
                  <c:v>1.5149999999999999</c:v>
                </c:pt>
                <c:pt idx="5">
                  <c:v>1.53</c:v>
                </c:pt>
                <c:pt idx="6">
                  <c:v>1.55</c:v>
                </c:pt>
                <c:pt idx="7">
                  <c:v>1.57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A-4FBF-A279-2BAF58606371}"/>
            </c:ext>
          </c:extLst>
        </c:ser>
        <c:ser>
          <c:idx val="1"/>
          <c:order val="1"/>
          <c:tx>
            <c:strRef>
              <c:f>'Support data'!$AC$99</c:f>
              <c:strCache>
                <c:ptCount val="1"/>
                <c:pt idx="0">
                  <c:v>60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data'!$AA$100:$AA$108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data'!$AC$100:$AC$108</c:f>
              <c:numCache>
                <c:formatCode>General</c:formatCode>
                <c:ptCount val="9"/>
                <c:pt idx="0">
                  <c:v>1.2</c:v>
                </c:pt>
                <c:pt idx="1">
                  <c:v>1.2</c:v>
                </c:pt>
                <c:pt idx="2">
                  <c:v>1.202</c:v>
                </c:pt>
                <c:pt idx="3">
                  <c:v>1.2050000000000001</c:v>
                </c:pt>
                <c:pt idx="4">
                  <c:v>1.21</c:v>
                </c:pt>
                <c:pt idx="5">
                  <c:v>1.22</c:v>
                </c:pt>
                <c:pt idx="6">
                  <c:v>1.23</c:v>
                </c:pt>
                <c:pt idx="7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A-4FBF-A279-2BAF58606371}"/>
            </c:ext>
          </c:extLst>
        </c:ser>
        <c:ser>
          <c:idx val="2"/>
          <c:order val="2"/>
          <c:tx>
            <c:strRef>
              <c:f>'Support data'!$AD$99</c:f>
              <c:strCache>
                <c:ptCount val="1"/>
                <c:pt idx="0">
                  <c:v>80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data'!$AA$100:$AA$108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data'!$AD$100:$AD$108</c:f>
              <c:numCache>
                <c:formatCode>General</c:formatCode>
                <c:ptCount val="9"/>
                <c:pt idx="0">
                  <c:v>1.05</c:v>
                </c:pt>
                <c:pt idx="1">
                  <c:v>1.05</c:v>
                </c:pt>
                <c:pt idx="2">
                  <c:v>1.0549999999999999</c:v>
                </c:pt>
                <c:pt idx="3">
                  <c:v>1.0549999999999999</c:v>
                </c:pt>
                <c:pt idx="4">
                  <c:v>1.06</c:v>
                </c:pt>
                <c:pt idx="5">
                  <c:v>1.06</c:v>
                </c:pt>
                <c:pt idx="6">
                  <c:v>1.0649999999999999</c:v>
                </c:pt>
                <c:pt idx="7">
                  <c:v>1.0649999999999999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FA-4FBF-A279-2BAF58606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2672"/>
        <c:axId val="83405311"/>
      </c:scatterChart>
      <c:valAx>
        <c:axId val="889692672"/>
        <c:scaling>
          <c:orientation val="minMax"/>
          <c:max val="3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3405311"/>
        <c:crosses val="autoZero"/>
        <c:crossBetween val="midCat"/>
      </c:valAx>
      <c:valAx>
        <c:axId val="83405311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267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11141647905362E-2"/>
          <c:y val="3.0528992386589973E-2"/>
          <c:w val="0.90844067035526821"/>
          <c:h val="0.899745980028358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data'!$AF$99</c:f>
              <c:strCache>
                <c:ptCount val="1"/>
                <c:pt idx="0">
                  <c:v>110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'Support data'!$AA$100:$AA$108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data'!$AF$100:$AF$108</c:f>
              <c:numCache>
                <c:formatCode>General</c:formatCode>
                <c:ptCount val="9"/>
                <c:pt idx="0">
                  <c:v>1.05</c:v>
                </c:pt>
                <c:pt idx="1">
                  <c:v>1.05</c:v>
                </c:pt>
                <c:pt idx="2">
                  <c:v>1.0549999999999999</c:v>
                </c:pt>
                <c:pt idx="3">
                  <c:v>1.0549999999999999</c:v>
                </c:pt>
                <c:pt idx="4">
                  <c:v>1.06</c:v>
                </c:pt>
                <c:pt idx="5">
                  <c:v>1.06</c:v>
                </c:pt>
                <c:pt idx="6">
                  <c:v>1.0649999999999999</c:v>
                </c:pt>
                <c:pt idx="7">
                  <c:v>1.0649999999999999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6-4179-BFB0-82D30FB0E6EF}"/>
            </c:ext>
          </c:extLst>
        </c:ser>
        <c:ser>
          <c:idx val="1"/>
          <c:order val="1"/>
          <c:tx>
            <c:strRef>
              <c:f>'Support data'!$AG$99</c:f>
              <c:strCache>
                <c:ptCount val="1"/>
                <c:pt idx="0">
                  <c:v>120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6230808349091377E-4"/>
                  <c:y val="5.0057885101946399E-2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data'!$AA$100:$AA$107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data'!$AG$100:$AG$107</c:f>
              <c:numCache>
                <c:formatCode>General</c:formatCode>
                <c:ptCount val="8"/>
                <c:pt idx="0">
                  <c:v>1.25</c:v>
                </c:pt>
                <c:pt idx="1">
                  <c:v>1.25</c:v>
                </c:pt>
                <c:pt idx="2">
                  <c:v>1.26</c:v>
                </c:pt>
                <c:pt idx="3">
                  <c:v>1.2649999999999999</c:v>
                </c:pt>
                <c:pt idx="4">
                  <c:v>1.27</c:v>
                </c:pt>
                <c:pt idx="5">
                  <c:v>1.2749999999999999</c:v>
                </c:pt>
                <c:pt idx="6">
                  <c:v>1.278</c:v>
                </c:pt>
                <c:pt idx="7">
                  <c:v>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6-4179-BFB0-82D30FB0E6EF}"/>
            </c:ext>
          </c:extLst>
        </c:ser>
        <c:ser>
          <c:idx val="2"/>
          <c:order val="2"/>
          <c:tx>
            <c:strRef>
              <c:f>'Support data'!$AH$99</c:f>
              <c:strCache>
                <c:ptCount val="1"/>
                <c:pt idx="0">
                  <c:v>130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data'!$AA$100:$AA$108</c:f>
              <c:numCache>
                <c:formatCode>General</c:formatCode>
                <c:ptCount val="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data'!$AH$100:$AH$108</c:f>
              <c:numCache>
                <c:formatCode>General</c:formatCode>
                <c:ptCount val="9"/>
                <c:pt idx="0">
                  <c:v>1.65</c:v>
                </c:pt>
                <c:pt idx="1">
                  <c:v>1.65</c:v>
                </c:pt>
                <c:pt idx="2">
                  <c:v>1.66</c:v>
                </c:pt>
                <c:pt idx="3">
                  <c:v>1.67</c:v>
                </c:pt>
                <c:pt idx="4">
                  <c:v>1.68</c:v>
                </c:pt>
                <c:pt idx="5">
                  <c:v>1.68</c:v>
                </c:pt>
                <c:pt idx="6">
                  <c:v>1.68</c:v>
                </c:pt>
                <c:pt idx="7">
                  <c:v>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6-4179-BFB0-82D30FB0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2672"/>
        <c:axId val="83405311"/>
      </c:scatterChart>
      <c:valAx>
        <c:axId val="889692672"/>
        <c:scaling>
          <c:orientation val="minMax"/>
          <c:max val="35"/>
          <c:min val="0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3405311"/>
        <c:crosses val="autoZero"/>
        <c:crossBetween val="midCat"/>
      </c:valAx>
      <c:valAx>
        <c:axId val="83405311"/>
        <c:scaling>
          <c:orientation val="maxMin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267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1383647798742139"/>
                  <c:y val="0.63070621986205211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data'!$Y$72:$Y$79</c:f>
              <c:numCache>
                <c:formatCode>General</c:formatCode>
                <c:ptCount val="8"/>
                <c:pt idx="0">
                  <c:v>7.62</c:v>
                </c:pt>
                <c:pt idx="1">
                  <c:v>12.192</c:v>
                </c:pt>
                <c:pt idx="2">
                  <c:v>18.288</c:v>
                </c:pt>
                <c:pt idx="3">
                  <c:v>30.48</c:v>
                </c:pt>
                <c:pt idx="4">
                  <c:v>42.672000000000004</c:v>
                </c:pt>
                <c:pt idx="5">
                  <c:v>60.96</c:v>
                </c:pt>
                <c:pt idx="6">
                  <c:v>79.248000000000005</c:v>
                </c:pt>
                <c:pt idx="7">
                  <c:v>103.63200000000001</c:v>
                </c:pt>
              </c:numCache>
            </c:numRef>
          </c:xVal>
          <c:yVal>
            <c:numRef>
              <c:f>'Support data'!$Z$72:$Z$79</c:f>
              <c:numCache>
                <c:formatCode>General</c:formatCode>
                <c:ptCount val="8"/>
                <c:pt idx="0">
                  <c:v>0.25</c:v>
                </c:pt>
                <c:pt idx="1">
                  <c:v>0.5</c:v>
                </c:pt>
                <c:pt idx="2">
                  <c:v>0.65</c:v>
                </c:pt>
                <c:pt idx="3">
                  <c:v>0.8</c:v>
                </c:pt>
                <c:pt idx="4">
                  <c:v>0.9</c:v>
                </c:pt>
                <c:pt idx="5">
                  <c:v>1.1499999999999999</c:v>
                </c:pt>
                <c:pt idx="6">
                  <c:v>1.4</c:v>
                </c:pt>
                <c:pt idx="7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FB-4287-BADC-CF1EEBAC1C7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data'!$AA$100:$AA$107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data'!$AB$100:$AB$107</c:f>
              <c:numCache>
                <c:formatCode>General</c:formatCode>
                <c:ptCount val="8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1.5049999999999999</c:v>
                </c:pt>
                <c:pt idx="4">
                  <c:v>1.5149999999999999</c:v>
                </c:pt>
                <c:pt idx="5">
                  <c:v>1.53</c:v>
                </c:pt>
                <c:pt idx="6">
                  <c:v>1.55</c:v>
                </c:pt>
                <c:pt idx="7">
                  <c:v>1.57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FB-4287-BADC-CF1EEBAC1C7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'Support data'!$Y$89:$Y$92</c:f>
              <c:strCache>
                <c:ptCount val="4"/>
                <c:pt idx="0">
                  <c:v>US</c:v>
                </c:pt>
                <c:pt idx="1">
                  <c:v>C0</c:v>
                </c:pt>
                <c:pt idx="2">
                  <c:v>C1</c:v>
                </c:pt>
                <c:pt idx="3">
                  <c:v>C2</c:v>
                </c:pt>
              </c:strCache>
            </c:strRef>
          </c:xVal>
          <c:yVal>
            <c:numRef>
              <c:f>'Support data'!$Z$89:$Z$92</c:f>
              <c:numCache>
                <c:formatCode>0.0000E+00</c:formatCode>
                <c:ptCount val="4"/>
                <c:pt idx="1">
                  <c:v>5.3845000000000004E-3</c:v>
                </c:pt>
                <c:pt idx="2">
                  <c:v>1.3696E-2</c:v>
                </c:pt>
                <c:pt idx="3">
                  <c:v>-7.0325000000000002E-5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FB-4287-BADC-CF1EEBAC1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2641509433962265"/>
                  <c:y val="0.63470681107390314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data'!$Y$72:$Y$79</c:f>
              <c:numCache>
                <c:formatCode>General</c:formatCode>
                <c:ptCount val="8"/>
                <c:pt idx="0">
                  <c:v>7.62</c:v>
                </c:pt>
                <c:pt idx="1">
                  <c:v>12.192</c:v>
                </c:pt>
                <c:pt idx="2">
                  <c:v>18.288</c:v>
                </c:pt>
                <c:pt idx="3">
                  <c:v>30.48</c:v>
                </c:pt>
                <c:pt idx="4">
                  <c:v>42.672000000000004</c:v>
                </c:pt>
                <c:pt idx="5">
                  <c:v>60.96</c:v>
                </c:pt>
                <c:pt idx="6">
                  <c:v>79.248000000000005</c:v>
                </c:pt>
                <c:pt idx="7">
                  <c:v>103.63200000000001</c:v>
                </c:pt>
              </c:numCache>
            </c:numRef>
          </c:xVal>
          <c:yVal>
            <c:numRef>
              <c:f>'Support data'!$AA$72:$AA$79</c:f>
              <c:numCache>
                <c:formatCode>General</c:formatCode>
                <c:ptCount val="8"/>
                <c:pt idx="0">
                  <c:v>0.25</c:v>
                </c:pt>
                <c:pt idx="1">
                  <c:v>0.5</c:v>
                </c:pt>
                <c:pt idx="2">
                  <c:v>0.65</c:v>
                </c:pt>
                <c:pt idx="3">
                  <c:v>0.8</c:v>
                </c:pt>
                <c:pt idx="4">
                  <c:v>0.88</c:v>
                </c:pt>
                <c:pt idx="5">
                  <c:v>1</c:v>
                </c:pt>
                <c:pt idx="6">
                  <c:v>1.1499999999999999</c:v>
                </c:pt>
                <c:pt idx="7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A-4EDF-B19C-433A0C3E161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data'!$AA$100:$AA$107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data'!$AC$100:$AC$107</c:f>
              <c:numCache>
                <c:formatCode>General</c:formatCode>
                <c:ptCount val="8"/>
                <c:pt idx="0">
                  <c:v>1.2</c:v>
                </c:pt>
                <c:pt idx="1">
                  <c:v>1.2</c:v>
                </c:pt>
                <c:pt idx="2">
                  <c:v>1.202</c:v>
                </c:pt>
                <c:pt idx="3">
                  <c:v>1.2050000000000001</c:v>
                </c:pt>
                <c:pt idx="4">
                  <c:v>1.21</c:v>
                </c:pt>
                <c:pt idx="5">
                  <c:v>1.22</c:v>
                </c:pt>
                <c:pt idx="6">
                  <c:v>1.23</c:v>
                </c:pt>
                <c:pt idx="7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A-4EDF-B19C-433A0C3E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8456958960697215"/>
                  <c:y val="0.52894097485904723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data'!$Y$72:$Y$79</c:f>
              <c:numCache>
                <c:formatCode>General</c:formatCode>
                <c:ptCount val="8"/>
                <c:pt idx="0">
                  <c:v>7.62</c:v>
                </c:pt>
                <c:pt idx="1">
                  <c:v>12.192</c:v>
                </c:pt>
                <c:pt idx="2">
                  <c:v>18.288</c:v>
                </c:pt>
                <c:pt idx="3">
                  <c:v>30.48</c:v>
                </c:pt>
                <c:pt idx="4">
                  <c:v>42.672000000000004</c:v>
                </c:pt>
                <c:pt idx="5">
                  <c:v>60.96</c:v>
                </c:pt>
                <c:pt idx="6">
                  <c:v>79.248000000000005</c:v>
                </c:pt>
                <c:pt idx="7">
                  <c:v>103.63200000000001</c:v>
                </c:pt>
              </c:numCache>
            </c:numRef>
          </c:xVal>
          <c:yVal>
            <c:numRef>
              <c:f>'Support data'!$AB$72:$AB$79</c:f>
              <c:numCache>
                <c:formatCode>General</c:formatCode>
                <c:ptCount val="8"/>
                <c:pt idx="0">
                  <c:v>0.45</c:v>
                </c:pt>
                <c:pt idx="1">
                  <c:v>0.65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1.03</c:v>
                </c:pt>
                <c:pt idx="7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3-4E69-A66D-B3B174CE76D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data'!$AA$100:$AA$107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data'!$AD$100:$AD$107</c:f>
              <c:numCache>
                <c:formatCode>General</c:formatCode>
                <c:ptCount val="8"/>
                <c:pt idx="0">
                  <c:v>1.05</c:v>
                </c:pt>
                <c:pt idx="1">
                  <c:v>1.05</c:v>
                </c:pt>
                <c:pt idx="2">
                  <c:v>1.0549999999999999</c:v>
                </c:pt>
                <c:pt idx="3">
                  <c:v>1.0549999999999999</c:v>
                </c:pt>
                <c:pt idx="4">
                  <c:v>1.06</c:v>
                </c:pt>
                <c:pt idx="5">
                  <c:v>1.06</c:v>
                </c:pt>
                <c:pt idx="6">
                  <c:v>1.0649999999999999</c:v>
                </c:pt>
                <c:pt idx="7">
                  <c:v>1.0649999999999999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B3-4E69-A66D-B3B174CE7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110%Qse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8839944535234979"/>
                  <c:y val="0.36751802576402087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data'!$Y$72:$Y$79</c:f>
              <c:numCache>
                <c:formatCode>General</c:formatCode>
                <c:ptCount val="8"/>
                <c:pt idx="0">
                  <c:v>7.62</c:v>
                </c:pt>
                <c:pt idx="1">
                  <c:v>12.192</c:v>
                </c:pt>
                <c:pt idx="2">
                  <c:v>18.288</c:v>
                </c:pt>
                <c:pt idx="3">
                  <c:v>30.48</c:v>
                </c:pt>
                <c:pt idx="4">
                  <c:v>42.672000000000004</c:v>
                </c:pt>
                <c:pt idx="5">
                  <c:v>60.96</c:v>
                </c:pt>
                <c:pt idx="6">
                  <c:v>79.248000000000005</c:v>
                </c:pt>
                <c:pt idx="7">
                  <c:v>103.63200000000001</c:v>
                </c:pt>
              </c:numCache>
            </c:numRef>
          </c:xVal>
          <c:yVal>
            <c:numRef>
              <c:f>'Support data'!$AC$72:$AC$79</c:f>
              <c:numCache>
                <c:formatCode>General</c:formatCode>
                <c:ptCount val="8"/>
                <c:pt idx="0">
                  <c:v>1.5</c:v>
                </c:pt>
                <c:pt idx="1">
                  <c:v>1.35</c:v>
                </c:pt>
                <c:pt idx="2">
                  <c:v>1.25</c:v>
                </c:pt>
                <c:pt idx="3">
                  <c:v>1.1599999999999999</c:v>
                </c:pt>
                <c:pt idx="4">
                  <c:v>1.1299999999999999</c:v>
                </c:pt>
                <c:pt idx="5">
                  <c:v>1.0900000000000001</c:v>
                </c:pt>
                <c:pt idx="6">
                  <c:v>1.08</c:v>
                </c:pt>
                <c:pt idx="7">
                  <c:v>1.1499999999999999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F-499E-BC18-819A862078B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data'!$AA$100:$AA$107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data'!$AF$100:$AF$107</c:f>
              <c:numCache>
                <c:formatCode>General</c:formatCode>
                <c:ptCount val="8"/>
                <c:pt idx="0">
                  <c:v>1.05</c:v>
                </c:pt>
                <c:pt idx="1">
                  <c:v>1.05</c:v>
                </c:pt>
                <c:pt idx="2">
                  <c:v>1.0549999999999999</c:v>
                </c:pt>
                <c:pt idx="3">
                  <c:v>1.0549999999999999</c:v>
                </c:pt>
                <c:pt idx="4">
                  <c:v>1.06</c:v>
                </c:pt>
                <c:pt idx="5">
                  <c:v>1.06</c:v>
                </c:pt>
                <c:pt idx="6">
                  <c:v>1.0649999999999999</c:v>
                </c:pt>
                <c:pt idx="7">
                  <c:v>1.0649999999999999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FF-499E-BC18-819A8620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723270440251572"/>
                  <c:y val="0.26046318922778333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data'!$Y$72:$Y$79</c:f>
              <c:numCache>
                <c:formatCode>General</c:formatCode>
                <c:ptCount val="8"/>
                <c:pt idx="0">
                  <c:v>7.62</c:v>
                </c:pt>
                <c:pt idx="1">
                  <c:v>12.192</c:v>
                </c:pt>
                <c:pt idx="2">
                  <c:v>18.288</c:v>
                </c:pt>
                <c:pt idx="3">
                  <c:v>30.48</c:v>
                </c:pt>
                <c:pt idx="4">
                  <c:v>42.672000000000004</c:v>
                </c:pt>
                <c:pt idx="5">
                  <c:v>60.96</c:v>
                </c:pt>
                <c:pt idx="6">
                  <c:v>79.248000000000005</c:v>
                </c:pt>
                <c:pt idx="7">
                  <c:v>103.63200000000001</c:v>
                </c:pt>
              </c:numCache>
            </c:numRef>
          </c:xVal>
          <c:yVal>
            <c:numRef>
              <c:f>'Support data'!$AD$72:$AD$79</c:f>
              <c:numCache>
                <c:formatCode>General</c:formatCode>
                <c:ptCount val="8"/>
                <c:pt idx="0">
                  <c:v>2</c:v>
                </c:pt>
                <c:pt idx="1">
                  <c:v>1.7</c:v>
                </c:pt>
                <c:pt idx="2">
                  <c:v>1.5</c:v>
                </c:pt>
                <c:pt idx="3">
                  <c:v>1.4</c:v>
                </c:pt>
                <c:pt idx="4">
                  <c:v>1.3</c:v>
                </c:pt>
                <c:pt idx="5">
                  <c:v>1.25</c:v>
                </c:pt>
                <c:pt idx="6">
                  <c:v>1.2</c:v>
                </c:pt>
                <c:pt idx="7">
                  <c:v>1.35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D4-423D-9C6A-18E2873F2D6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data'!$AA$100:$AA$107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</c:numCache>
            </c:numRef>
          </c:xVal>
          <c:yVal>
            <c:numRef>
              <c:f>'Support data'!$AH$100:$AH$107</c:f>
              <c:numCache>
                <c:formatCode>General</c:formatCode>
                <c:ptCount val="8"/>
                <c:pt idx="0">
                  <c:v>1.65</c:v>
                </c:pt>
                <c:pt idx="1">
                  <c:v>1.65</c:v>
                </c:pt>
                <c:pt idx="2">
                  <c:v>1.66</c:v>
                </c:pt>
                <c:pt idx="3">
                  <c:v>1.67</c:v>
                </c:pt>
                <c:pt idx="4">
                  <c:v>1.68</c:v>
                </c:pt>
                <c:pt idx="5">
                  <c:v>1.68</c:v>
                </c:pt>
                <c:pt idx="6">
                  <c:v>1.68</c:v>
                </c:pt>
                <c:pt idx="7">
                  <c:v>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D4-423D-9C6A-18E2873F2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62268545152764"/>
          <c:y val="0.16532495465989747"/>
          <c:w val="0.76193009194763417"/>
          <c:h val="0.65222824784542055"/>
        </c:manualLayout>
      </c:layout>
      <c:scatterChart>
        <c:scatterStyle val="smoothMarker"/>
        <c:varyColors val="0"/>
        <c:ser>
          <c:idx val="0"/>
          <c:order val="0"/>
          <c:tx>
            <c:v>Vlaming [1]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'Support data'!$AF$75:$AF$80</c:f>
              <c:numCache>
                <c:formatCode>0.0</c:formatCode>
                <c:ptCount val="6"/>
                <c:pt idx="0">
                  <c:v>361.46310345107702</c:v>
                </c:pt>
                <c:pt idx="1">
                  <c:v>542.19465517661547</c:v>
                </c:pt>
                <c:pt idx="2">
                  <c:v>722.92620690215404</c:v>
                </c:pt>
                <c:pt idx="3">
                  <c:v>903.65775862769249</c:v>
                </c:pt>
                <c:pt idx="4">
                  <c:v>994.02353449046177</c:v>
                </c:pt>
                <c:pt idx="5">
                  <c:v>1084.3893103532309</c:v>
                </c:pt>
              </c:numCache>
            </c:numRef>
          </c:xVal>
          <c:yVal>
            <c:numRef>
              <c:f>'Support data'!$AG$75:$AG$80</c:f>
              <c:numCache>
                <c:formatCode>0.0</c:formatCode>
                <c:ptCount val="6"/>
                <c:pt idx="0">
                  <c:v>1.3177714296122336</c:v>
                </c:pt>
                <c:pt idx="1">
                  <c:v>1.2960618400138071</c:v>
                </c:pt>
                <c:pt idx="2">
                  <c:v>2.4833580737357934</c:v>
                </c:pt>
                <c:pt idx="3">
                  <c:v>5.6141956637991299</c:v>
                </c:pt>
                <c:pt idx="4">
                  <c:v>8.4021492705377145</c:v>
                </c:pt>
                <c:pt idx="5">
                  <c:v>11.071713349958832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5A-4D4E-8D7F-6609C473224E}"/>
            </c:ext>
          </c:extLst>
        </c:ser>
        <c:ser>
          <c:idx val="1"/>
          <c:order val="1"/>
          <c:tx>
            <c:v>Schiavello [2]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'Support data'!$AF$75:$AF$80</c:f>
              <c:numCache>
                <c:formatCode>0.0</c:formatCode>
                <c:ptCount val="6"/>
                <c:pt idx="0">
                  <c:v>361.46310345107702</c:v>
                </c:pt>
                <c:pt idx="1">
                  <c:v>542.19465517661547</c:v>
                </c:pt>
                <c:pt idx="2">
                  <c:v>722.92620690215404</c:v>
                </c:pt>
                <c:pt idx="3">
                  <c:v>903.65775862769249</c:v>
                </c:pt>
                <c:pt idx="4">
                  <c:v>994.02353449046177</c:v>
                </c:pt>
                <c:pt idx="5">
                  <c:v>1084.3893103532309</c:v>
                </c:pt>
              </c:numCache>
            </c:numRef>
          </c:xVal>
          <c:yVal>
            <c:numRef>
              <c:f>'Support data'!$AH$75:$AH$80</c:f>
              <c:numCache>
                <c:formatCode>0.0</c:formatCode>
                <c:ptCount val="6"/>
                <c:pt idx="0">
                  <c:v>8.4160093711633923</c:v>
                </c:pt>
                <c:pt idx="1">
                  <c:v>6.7411733291524802</c:v>
                </c:pt>
                <c:pt idx="2">
                  <c:v>5.9062880630775521</c:v>
                </c:pt>
                <c:pt idx="3">
                  <c:v>5.6141956637991299</c:v>
                </c:pt>
                <c:pt idx="4">
                  <c:v>5.9062880630775521</c:v>
                </c:pt>
                <c:pt idx="5">
                  <c:v>7.0459943001080836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5A-4D4E-8D7F-6609C473224E}"/>
            </c:ext>
          </c:extLst>
        </c:ser>
        <c:ser>
          <c:idx val="2"/>
          <c:order val="2"/>
          <c:tx>
            <c:v>TPI-method</c:v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'Support data'!$AF$75:$AF$80</c:f>
              <c:numCache>
                <c:formatCode>0.0</c:formatCode>
                <c:ptCount val="6"/>
                <c:pt idx="0">
                  <c:v>361.46310345107702</c:v>
                </c:pt>
                <c:pt idx="1">
                  <c:v>542.19465517661547</c:v>
                </c:pt>
                <c:pt idx="2">
                  <c:v>722.92620690215404</c:v>
                </c:pt>
                <c:pt idx="3">
                  <c:v>903.65775862769249</c:v>
                </c:pt>
                <c:pt idx="4">
                  <c:v>994.02353449046177</c:v>
                </c:pt>
                <c:pt idx="5">
                  <c:v>1084.3893103532309</c:v>
                </c:pt>
              </c:numCache>
            </c:numRef>
          </c:xVal>
          <c:yVal>
            <c:numRef>
              <c:f>'Support data'!$AI$75:$AI$80</c:f>
              <c:numCache>
                <c:formatCode>0.0</c:formatCode>
                <c:ptCount val="6"/>
                <c:pt idx="0">
                  <c:v>4.8668904003878133</c:v>
                </c:pt>
                <c:pt idx="1">
                  <c:v>4.0186175845831436</c:v>
                </c:pt>
                <c:pt idx="2">
                  <c:v>4.1948230684066727</c:v>
                </c:pt>
                <c:pt idx="3">
                  <c:v>5.6141956637991299</c:v>
                </c:pt>
                <c:pt idx="4">
                  <c:v>7.1542186668076333</c:v>
                </c:pt>
                <c:pt idx="5">
                  <c:v>9.0588538250334576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5A-4D4E-8D7F-6609C4732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2630032"/>
        <c:axId val="1220920992"/>
      </c:scatterChart>
      <c:valAx>
        <c:axId val="12126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0920992"/>
        <c:crosses val="autoZero"/>
        <c:crossBetween val="midCat"/>
      </c:valAx>
      <c:valAx>
        <c:axId val="12209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NPSH40k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2630032"/>
        <c:crosses val="autoZero"/>
        <c:crossBetween val="midCat"/>
      </c:valAx>
      <c:spPr>
        <a:noFill/>
        <a:ln w="6350">
          <a:noFill/>
        </a:ln>
        <a:effectLst/>
      </c:spPr>
    </c:plotArea>
    <c:legend>
      <c:legendPos val="b"/>
      <c:layout>
        <c:manualLayout>
          <c:xMode val="edge"/>
          <c:yMode val="edge"/>
          <c:x val="9.8708732576534022E-2"/>
          <c:y val="1.4739601362126172E-3"/>
          <c:w val="0.85752123273876646"/>
          <c:h val="0.12681264256614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9318090238202143"/>
                  <c:y val="0.49428698502120538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data'!$X$72:$X$79</c:f>
              <c:numCache>
                <c:formatCode>General</c:formatCode>
                <c:ptCount val="8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200</c:v>
                </c:pt>
                <c:pt idx="6">
                  <c:v>260</c:v>
                </c:pt>
                <c:pt idx="7">
                  <c:v>340</c:v>
                </c:pt>
              </c:numCache>
            </c:numRef>
          </c:xVal>
          <c:yVal>
            <c:numRef>
              <c:f>'Support data'!$Z$72:$Z$79</c:f>
              <c:numCache>
                <c:formatCode>General</c:formatCode>
                <c:ptCount val="8"/>
                <c:pt idx="0">
                  <c:v>0.25</c:v>
                </c:pt>
                <c:pt idx="1">
                  <c:v>0.5</c:v>
                </c:pt>
                <c:pt idx="2">
                  <c:v>0.65</c:v>
                </c:pt>
                <c:pt idx="3">
                  <c:v>0.8</c:v>
                </c:pt>
                <c:pt idx="4">
                  <c:v>0.9</c:v>
                </c:pt>
                <c:pt idx="5">
                  <c:v>1.1499999999999999</c:v>
                </c:pt>
                <c:pt idx="6">
                  <c:v>1.4</c:v>
                </c:pt>
                <c:pt idx="7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2-4F57-8146-7FFCF9D4392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/>
                      <a:t>y = 9.2152E-06x</a:t>
                    </a:r>
                    <a:r>
                      <a:rPr lang="en-US" baseline="30000"/>
                      <a:t>2</a:t>
                    </a:r>
                    <a:r>
                      <a:rPr lang="en-US" baseline="0"/>
                      <a:t> - 1.6655E-04x + 1.4993E+00\</a:t>
                    </a:r>
                    <a:endParaRPr lang="en-US"/>
                  </a:p>
                </c:rich>
              </c:tx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data'!$Z$100:$Z$107</c:f>
              <c:numCache>
                <c:formatCode>0.0</c:formatCode>
                <c:ptCount val="8"/>
                <c:pt idx="0">
                  <c:v>3.280839895013123</c:v>
                </c:pt>
                <c:pt idx="1">
                  <c:v>16.404199475065617</c:v>
                </c:pt>
                <c:pt idx="2">
                  <c:v>32.808398950131235</c:v>
                </c:pt>
                <c:pt idx="3">
                  <c:v>39.370078740157481</c:v>
                </c:pt>
                <c:pt idx="4">
                  <c:v>49.212598425196845</c:v>
                </c:pt>
                <c:pt idx="5">
                  <c:v>65.616797900262469</c:v>
                </c:pt>
                <c:pt idx="6">
                  <c:v>82.020997375328079</c:v>
                </c:pt>
                <c:pt idx="7">
                  <c:v>98.425196850393689</c:v>
                </c:pt>
              </c:numCache>
            </c:numRef>
          </c:xVal>
          <c:yVal>
            <c:numRef>
              <c:f>'Support data'!$AB$100:$AB$107</c:f>
              <c:numCache>
                <c:formatCode>General</c:formatCode>
                <c:ptCount val="8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1.5049999999999999</c:v>
                </c:pt>
                <c:pt idx="4">
                  <c:v>1.5149999999999999</c:v>
                </c:pt>
                <c:pt idx="5">
                  <c:v>1.53</c:v>
                </c:pt>
                <c:pt idx="6">
                  <c:v>1.55</c:v>
                </c:pt>
                <c:pt idx="7">
                  <c:v>1.57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82-4F57-8146-7FFCF9D4392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'Support data'!$Y$89:$Y$92</c:f>
              <c:strCache>
                <c:ptCount val="4"/>
                <c:pt idx="0">
                  <c:v>US</c:v>
                </c:pt>
                <c:pt idx="1">
                  <c:v>C0</c:v>
                </c:pt>
                <c:pt idx="2">
                  <c:v>C1</c:v>
                </c:pt>
                <c:pt idx="3">
                  <c:v>C2</c:v>
                </c:pt>
              </c:strCache>
            </c:strRef>
          </c:xVal>
          <c:yVal>
            <c:numRef>
              <c:f>'Support data'!$Z$89:$Z$92</c:f>
              <c:numCache>
                <c:formatCode>0.0000E+00</c:formatCode>
                <c:ptCount val="4"/>
                <c:pt idx="1">
                  <c:v>5.3845000000000004E-3</c:v>
                </c:pt>
                <c:pt idx="2">
                  <c:v>1.3696E-2</c:v>
                </c:pt>
                <c:pt idx="3">
                  <c:v>-7.0325000000000002E-5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F82-4F57-8146-7FFCF9D43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60%Qse</a:t>
            </a:r>
          </a:p>
        </c:rich>
      </c:tx>
      <c:layout>
        <c:manualLayout>
          <c:xMode val="edge"/>
          <c:yMode val="edge"/>
          <c:x val="0.15173983257797655"/>
          <c:y val="1.354620428956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5289762440386809"/>
                  <c:y val="0.51243461201432317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data'!$X$72:$X$79</c:f>
              <c:numCache>
                <c:formatCode>General</c:formatCode>
                <c:ptCount val="8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200</c:v>
                </c:pt>
                <c:pt idx="6">
                  <c:v>260</c:v>
                </c:pt>
                <c:pt idx="7">
                  <c:v>340</c:v>
                </c:pt>
              </c:numCache>
            </c:numRef>
          </c:xVal>
          <c:yVal>
            <c:numRef>
              <c:f>'Support data'!$AA$72:$AA$79</c:f>
              <c:numCache>
                <c:formatCode>General</c:formatCode>
                <c:ptCount val="8"/>
                <c:pt idx="0">
                  <c:v>0.25</c:v>
                </c:pt>
                <c:pt idx="1">
                  <c:v>0.5</c:v>
                </c:pt>
                <c:pt idx="2">
                  <c:v>0.65</c:v>
                </c:pt>
                <c:pt idx="3">
                  <c:v>0.8</c:v>
                </c:pt>
                <c:pt idx="4">
                  <c:v>0.88</c:v>
                </c:pt>
                <c:pt idx="5">
                  <c:v>1</c:v>
                </c:pt>
                <c:pt idx="6">
                  <c:v>1.1499999999999999</c:v>
                </c:pt>
                <c:pt idx="7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D9-4028-BBB6-AD703789F2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data'!$Z$100:$Z$107</c:f>
              <c:numCache>
                <c:formatCode>0.0</c:formatCode>
                <c:ptCount val="8"/>
                <c:pt idx="0">
                  <c:v>3.280839895013123</c:v>
                </c:pt>
                <c:pt idx="1">
                  <c:v>16.404199475065617</c:v>
                </c:pt>
                <c:pt idx="2">
                  <c:v>32.808398950131235</c:v>
                </c:pt>
                <c:pt idx="3">
                  <c:v>39.370078740157481</c:v>
                </c:pt>
                <c:pt idx="4">
                  <c:v>49.212598425196845</c:v>
                </c:pt>
                <c:pt idx="5">
                  <c:v>65.616797900262469</c:v>
                </c:pt>
                <c:pt idx="6">
                  <c:v>82.020997375328079</c:v>
                </c:pt>
                <c:pt idx="7">
                  <c:v>98.425196850393689</c:v>
                </c:pt>
              </c:numCache>
            </c:numRef>
          </c:xVal>
          <c:yVal>
            <c:numRef>
              <c:f>'Support data'!$AC$100:$AC$107</c:f>
              <c:numCache>
                <c:formatCode>General</c:formatCode>
                <c:ptCount val="8"/>
                <c:pt idx="0">
                  <c:v>1.2</c:v>
                </c:pt>
                <c:pt idx="1">
                  <c:v>1.2</c:v>
                </c:pt>
                <c:pt idx="2">
                  <c:v>1.202</c:v>
                </c:pt>
                <c:pt idx="3">
                  <c:v>1.2050000000000001</c:v>
                </c:pt>
                <c:pt idx="4">
                  <c:v>1.21</c:v>
                </c:pt>
                <c:pt idx="5">
                  <c:v>1.22</c:v>
                </c:pt>
                <c:pt idx="6">
                  <c:v>1.23</c:v>
                </c:pt>
                <c:pt idx="7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D9-4028-BBB6-AD703789F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4957779611637312"/>
                  <c:y val="0.44428952289223533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data'!$X$72:$X$79</c:f>
              <c:numCache>
                <c:formatCode>General</c:formatCode>
                <c:ptCount val="8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200</c:v>
                </c:pt>
                <c:pt idx="6">
                  <c:v>260</c:v>
                </c:pt>
                <c:pt idx="7">
                  <c:v>340</c:v>
                </c:pt>
              </c:numCache>
            </c:numRef>
          </c:xVal>
          <c:yVal>
            <c:numRef>
              <c:f>'Support data'!$AB$72:$AB$79</c:f>
              <c:numCache>
                <c:formatCode>General</c:formatCode>
                <c:ptCount val="8"/>
                <c:pt idx="0">
                  <c:v>0.45</c:v>
                </c:pt>
                <c:pt idx="1">
                  <c:v>0.65</c:v>
                </c:pt>
                <c:pt idx="2">
                  <c:v>0.7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1.03</c:v>
                </c:pt>
                <c:pt idx="7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A5-4F0C-93FB-9EFC4E9D02D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data'!$Z$100:$Z$107</c:f>
              <c:numCache>
                <c:formatCode>0.0</c:formatCode>
                <c:ptCount val="8"/>
                <c:pt idx="0">
                  <c:v>3.280839895013123</c:v>
                </c:pt>
                <c:pt idx="1">
                  <c:v>16.404199475065617</c:v>
                </c:pt>
                <c:pt idx="2">
                  <c:v>32.808398950131235</c:v>
                </c:pt>
                <c:pt idx="3">
                  <c:v>39.370078740157481</c:v>
                </c:pt>
                <c:pt idx="4">
                  <c:v>49.212598425196845</c:v>
                </c:pt>
                <c:pt idx="5">
                  <c:v>65.616797900262469</c:v>
                </c:pt>
                <c:pt idx="6">
                  <c:v>82.020997375328079</c:v>
                </c:pt>
                <c:pt idx="7">
                  <c:v>98.425196850393689</c:v>
                </c:pt>
              </c:numCache>
            </c:numRef>
          </c:xVal>
          <c:yVal>
            <c:numRef>
              <c:f>'Support data'!$AD$100:$AD$107</c:f>
              <c:numCache>
                <c:formatCode>General</c:formatCode>
                <c:ptCount val="8"/>
                <c:pt idx="0">
                  <c:v>1.05</c:v>
                </c:pt>
                <c:pt idx="1">
                  <c:v>1.05</c:v>
                </c:pt>
                <c:pt idx="2">
                  <c:v>1.0549999999999999</c:v>
                </c:pt>
                <c:pt idx="3">
                  <c:v>1.0549999999999999</c:v>
                </c:pt>
                <c:pt idx="4">
                  <c:v>1.06</c:v>
                </c:pt>
                <c:pt idx="5">
                  <c:v>1.06</c:v>
                </c:pt>
                <c:pt idx="6">
                  <c:v>1.0649999999999999</c:v>
                </c:pt>
                <c:pt idx="7">
                  <c:v>1.0649999999999999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A5-4F0C-93FB-9EFC4E9D0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110%Qse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0176584278077184"/>
                  <c:y val="0.2243737713079724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data'!$X$72:$X$79</c:f>
              <c:numCache>
                <c:formatCode>General</c:formatCode>
                <c:ptCount val="8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200</c:v>
                </c:pt>
                <c:pt idx="6">
                  <c:v>260</c:v>
                </c:pt>
                <c:pt idx="7">
                  <c:v>340</c:v>
                </c:pt>
              </c:numCache>
            </c:numRef>
          </c:xVal>
          <c:yVal>
            <c:numRef>
              <c:f>'Support data'!$AC$72:$AC$79</c:f>
              <c:numCache>
                <c:formatCode>General</c:formatCode>
                <c:ptCount val="8"/>
                <c:pt idx="0">
                  <c:v>1.5</c:v>
                </c:pt>
                <c:pt idx="1">
                  <c:v>1.35</c:v>
                </c:pt>
                <c:pt idx="2">
                  <c:v>1.25</c:v>
                </c:pt>
                <c:pt idx="3">
                  <c:v>1.1599999999999999</c:v>
                </c:pt>
                <c:pt idx="4">
                  <c:v>1.1299999999999999</c:v>
                </c:pt>
                <c:pt idx="5">
                  <c:v>1.0900000000000001</c:v>
                </c:pt>
                <c:pt idx="6">
                  <c:v>1.08</c:v>
                </c:pt>
                <c:pt idx="7">
                  <c:v>1.1499999999999999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7F-4300-887B-C514A5E5C4B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26909465206440653"/>
                  <c:y val="-0.13484232271033275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data'!$Z$100:$Z$107</c:f>
              <c:numCache>
                <c:formatCode>0.0</c:formatCode>
                <c:ptCount val="8"/>
                <c:pt idx="0">
                  <c:v>3.280839895013123</c:v>
                </c:pt>
                <c:pt idx="1">
                  <c:v>16.404199475065617</c:v>
                </c:pt>
                <c:pt idx="2">
                  <c:v>32.808398950131235</c:v>
                </c:pt>
                <c:pt idx="3">
                  <c:v>39.370078740157481</c:v>
                </c:pt>
                <c:pt idx="4">
                  <c:v>49.212598425196845</c:v>
                </c:pt>
                <c:pt idx="5">
                  <c:v>65.616797900262469</c:v>
                </c:pt>
                <c:pt idx="6">
                  <c:v>82.020997375328079</c:v>
                </c:pt>
                <c:pt idx="7">
                  <c:v>98.425196850393689</c:v>
                </c:pt>
              </c:numCache>
            </c:numRef>
          </c:xVal>
          <c:yVal>
            <c:numRef>
              <c:f>'Support data'!$AF$100:$AF$107</c:f>
              <c:numCache>
                <c:formatCode>General</c:formatCode>
                <c:ptCount val="8"/>
                <c:pt idx="0">
                  <c:v>1.05</c:v>
                </c:pt>
                <c:pt idx="1">
                  <c:v>1.05</c:v>
                </c:pt>
                <c:pt idx="2">
                  <c:v>1.0549999999999999</c:v>
                </c:pt>
                <c:pt idx="3">
                  <c:v>1.0549999999999999</c:v>
                </c:pt>
                <c:pt idx="4">
                  <c:v>1.06</c:v>
                </c:pt>
                <c:pt idx="5">
                  <c:v>1.06</c:v>
                </c:pt>
                <c:pt idx="6">
                  <c:v>1.0649999999999999</c:v>
                </c:pt>
                <c:pt idx="7">
                  <c:v>1.0649999999999999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7F-4300-887B-C514A5E5C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120%Qse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4.6296296296296294E-2"/>
          <c:w val="0.87755796150481191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'Support data'!$Z$71</c:f>
              <c:strCache>
                <c:ptCount val="1"/>
                <c:pt idx="0">
                  <c:v>40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723270440251572"/>
                  <c:y val="0.26046318922778333"/>
                </c:manualLayout>
              </c:layout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data'!$X$72:$X$79</c:f>
              <c:numCache>
                <c:formatCode>General</c:formatCode>
                <c:ptCount val="8"/>
                <c:pt idx="0">
                  <c:v>25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  <c:pt idx="4">
                  <c:v>140</c:v>
                </c:pt>
                <c:pt idx="5">
                  <c:v>200</c:v>
                </c:pt>
                <c:pt idx="6">
                  <c:v>260</c:v>
                </c:pt>
                <c:pt idx="7">
                  <c:v>340</c:v>
                </c:pt>
              </c:numCache>
            </c:numRef>
          </c:xVal>
          <c:yVal>
            <c:numRef>
              <c:f>'Support data'!$AD$72:$AD$79</c:f>
              <c:numCache>
                <c:formatCode>General</c:formatCode>
                <c:ptCount val="8"/>
                <c:pt idx="0">
                  <c:v>2</c:v>
                </c:pt>
                <c:pt idx="1">
                  <c:v>1.7</c:v>
                </c:pt>
                <c:pt idx="2">
                  <c:v>1.5</c:v>
                </c:pt>
                <c:pt idx="3">
                  <c:v>1.4</c:v>
                </c:pt>
                <c:pt idx="4">
                  <c:v>1.3</c:v>
                </c:pt>
                <c:pt idx="5">
                  <c:v>1.25</c:v>
                </c:pt>
                <c:pt idx="6">
                  <c:v>1.2</c:v>
                </c:pt>
                <c:pt idx="7">
                  <c:v>1.35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9-4EFB-9593-C9F85FA433D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0.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'Support data'!$Z$100:$Z$107</c:f>
              <c:numCache>
                <c:formatCode>0.0</c:formatCode>
                <c:ptCount val="8"/>
                <c:pt idx="0">
                  <c:v>3.280839895013123</c:v>
                </c:pt>
                <c:pt idx="1">
                  <c:v>16.404199475065617</c:v>
                </c:pt>
                <c:pt idx="2">
                  <c:v>32.808398950131235</c:v>
                </c:pt>
                <c:pt idx="3">
                  <c:v>39.370078740157481</c:v>
                </c:pt>
                <c:pt idx="4">
                  <c:v>49.212598425196845</c:v>
                </c:pt>
                <c:pt idx="5">
                  <c:v>65.616797900262469</c:v>
                </c:pt>
                <c:pt idx="6">
                  <c:v>82.020997375328079</c:v>
                </c:pt>
                <c:pt idx="7">
                  <c:v>98.425196850393689</c:v>
                </c:pt>
              </c:numCache>
            </c:numRef>
          </c:xVal>
          <c:yVal>
            <c:numRef>
              <c:f>'Support data'!$AG$100:$AG$107</c:f>
              <c:numCache>
                <c:formatCode>General</c:formatCode>
                <c:ptCount val="8"/>
                <c:pt idx="0">
                  <c:v>1.25</c:v>
                </c:pt>
                <c:pt idx="1">
                  <c:v>1.25</c:v>
                </c:pt>
                <c:pt idx="2">
                  <c:v>1.26</c:v>
                </c:pt>
                <c:pt idx="3">
                  <c:v>1.2649999999999999</c:v>
                </c:pt>
                <c:pt idx="4">
                  <c:v>1.27</c:v>
                </c:pt>
                <c:pt idx="5">
                  <c:v>1.2749999999999999</c:v>
                </c:pt>
                <c:pt idx="6">
                  <c:v>1.278</c:v>
                </c:pt>
                <c:pt idx="7">
                  <c:v>1.28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99-4EFB-9593-C9F85FA43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9696992"/>
        <c:axId val="1625867104"/>
      </c:scatterChart>
      <c:valAx>
        <c:axId val="88969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25867104"/>
        <c:crosses val="autoZero"/>
        <c:crossBetween val="midCat"/>
      </c:valAx>
      <c:valAx>
        <c:axId val="16258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8969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19473607465735E-2"/>
          <c:y val="4.6260519646346421E-2"/>
          <c:w val="0.87544127296587926"/>
          <c:h val="0.88591383079572072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'Support data'!$K$57:$K$71</c:f>
              <c:numCache>
                <c:formatCode>General</c:formatCode>
                <c:ptCount val="1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700</c:v>
                </c:pt>
                <c:pt idx="6">
                  <c:v>800</c:v>
                </c:pt>
                <c:pt idx="7">
                  <c:v>900</c:v>
                </c:pt>
                <c:pt idx="8">
                  <c:v>1000</c:v>
                </c:pt>
                <c:pt idx="9">
                  <c:v>2000</c:v>
                </c:pt>
                <c:pt idx="10">
                  <c:v>3000</c:v>
                </c:pt>
                <c:pt idx="11">
                  <c:v>4000</c:v>
                </c:pt>
                <c:pt idx="12">
                  <c:v>5000</c:v>
                </c:pt>
                <c:pt idx="13">
                  <c:v>6000</c:v>
                </c:pt>
                <c:pt idx="14">
                  <c:v>8000</c:v>
                </c:pt>
              </c:numCache>
            </c:numRef>
          </c:xVal>
          <c:yVal>
            <c:numRef>
              <c:f>'Support data'!$N$57:$N$71</c:f>
              <c:numCache>
                <c:formatCode>General</c:formatCode>
                <c:ptCount val="15"/>
                <c:pt idx="0">
                  <c:v>0.74</c:v>
                </c:pt>
                <c:pt idx="1">
                  <c:v>0.77500000000000002</c:v>
                </c:pt>
                <c:pt idx="2">
                  <c:v>0.80500000000000005</c:v>
                </c:pt>
                <c:pt idx="3">
                  <c:v>0.82499999999999996</c:v>
                </c:pt>
                <c:pt idx="4">
                  <c:v>0.84499999999999997</c:v>
                </c:pt>
                <c:pt idx="5">
                  <c:v>0.86</c:v>
                </c:pt>
                <c:pt idx="6">
                  <c:v>0.875</c:v>
                </c:pt>
                <c:pt idx="7">
                  <c:v>0.89</c:v>
                </c:pt>
                <c:pt idx="8">
                  <c:v>0.9</c:v>
                </c:pt>
                <c:pt idx="9">
                  <c:v>0.96499999999999997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72-4769-89E6-7C400D13BEF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'Support data'!$K$52</c:f>
              <c:numCache>
                <c:formatCode>General</c:formatCode>
                <c:ptCount val="1"/>
                <c:pt idx="0">
                  <c:v>14000</c:v>
                </c:pt>
              </c:numCache>
            </c:numRef>
          </c:xVal>
          <c:yVal>
            <c:numRef>
              <c:f>'Support data'!$N$52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72-4769-89E6-7C400D13B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771040"/>
        <c:axId val="1219289232"/>
      </c:scatterChart>
      <c:scatterChart>
        <c:scatterStyle val="lineMarker"/>
        <c:varyColors val="0"/>
        <c:ser>
          <c:idx val="0"/>
          <c:order val="1"/>
          <c:tx>
            <c:strRef>
              <c:f>'Support data'!$L$55</c:f>
              <c:strCache>
                <c:ptCount val="1"/>
                <c:pt idx="0">
                  <c:v>°F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'Support data'!$K$57:$K$71</c:f>
              <c:numCache>
                <c:formatCode>General</c:formatCode>
                <c:ptCount val="1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  <c:pt idx="5">
                  <c:v>700</c:v>
                </c:pt>
                <c:pt idx="6">
                  <c:v>800</c:v>
                </c:pt>
                <c:pt idx="7">
                  <c:v>900</c:v>
                </c:pt>
                <c:pt idx="8">
                  <c:v>1000</c:v>
                </c:pt>
                <c:pt idx="9">
                  <c:v>2000</c:v>
                </c:pt>
                <c:pt idx="10">
                  <c:v>3000</c:v>
                </c:pt>
                <c:pt idx="11">
                  <c:v>4000</c:v>
                </c:pt>
                <c:pt idx="12">
                  <c:v>5000</c:v>
                </c:pt>
                <c:pt idx="13">
                  <c:v>6000</c:v>
                </c:pt>
                <c:pt idx="14">
                  <c:v>8000</c:v>
                </c:pt>
              </c:numCache>
            </c:numRef>
          </c:xVal>
          <c:yVal>
            <c:numRef>
              <c:f>'Support data'!$L$57:$L$71</c:f>
              <c:numCache>
                <c:formatCode>General</c:formatCode>
                <c:ptCount val="15"/>
                <c:pt idx="0">
                  <c:v>360</c:v>
                </c:pt>
                <c:pt idx="1">
                  <c:v>320</c:v>
                </c:pt>
                <c:pt idx="2">
                  <c:v>300</c:v>
                </c:pt>
                <c:pt idx="3">
                  <c:v>285</c:v>
                </c:pt>
                <c:pt idx="4">
                  <c:v>275</c:v>
                </c:pt>
                <c:pt idx="5">
                  <c:v>260</c:v>
                </c:pt>
                <c:pt idx="6">
                  <c:v>255</c:v>
                </c:pt>
                <c:pt idx="7">
                  <c:v>245</c:v>
                </c:pt>
                <c:pt idx="8">
                  <c:v>240</c:v>
                </c:pt>
                <c:pt idx="9">
                  <c:v>200</c:v>
                </c:pt>
                <c:pt idx="10">
                  <c:v>185</c:v>
                </c:pt>
                <c:pt idx="11">
                  <c:v>165</c:v>
                </c:pt>
                <c:pt idx="12">
                  <c:v>155</c:v>
                </c:pt>
                <c:pt idx="13">
                  <c:v>147</c:v>
                </c:pt>
                <c:pt idx="14">
                  <c:v>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72-4769-89E6-7C400D13B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298656"/>
        <c:axId val="1219292704"/>
      </c:scatterChart>
      <c:valAx>
        <c:axId val="1980771040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9289232"/>
        <c:crosses val="autoZero"/>
        <c:crossBetween val="midCat"/>
      </c:valAx>
      <c:valAx>
        <c:axId val="1219289232"/>
        <c:scaling>
          <c:orientation val="minMax"/>
          <c:max val="1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80771040"/>
        <c:crosses val="autoZero"/>
        <c:crossBetween val="midCat"/>
        <c:majorUnit val="0.1"/>
      </c:valAx>
      <c:valAx>
        <c:axId val="1219292704"/>
        <c:scaling>
          <c:orientation val="minMax"/>
          <c:max val="380"/>
          <c:min val="1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19298656"/>
        <c:crosses val="max"/>
        <c:crossBetween val="midCat"/>
        <c:majorUnit val="20"/>
      </c:valAx>
      <c:valAx>
        <c:axId val="1219298656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1929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'Support data'!$X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image" Target="../media/image4.emf"/><Relationship Id="rId21" Type="http://schemas.openxmlformats.org/officeDocument/2006/relationships/chart" Target="../charts/chart18.xml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chart" Target="../charts/chart2.xml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1" Type="http://schemas.openxmlformats.org/officeDocument/2006/relationships/image" Target="../media/image3.emf"/><Relationship Id="rId6" Type="http://schemas.openxmlformats.org/officeDocument/2006/relationships/image" Target="../media/image5.emf"/><Relationship Id="rId11" Type="http://schemas.openxmlformats.org/officeDocument/2006/relationships/chart" Target="../charts/chart8.xml"/><Relationship Id="rId5" Type="http://schemas.openxmlformats.org/officeDocument/2006/relationships/chart" Target="../charts/chart4.xml"/><Relationship Id="rId15" Type="http://schemas.openxmlformats.org/officeDocument/2006/relationships/chart" Target="../charts/chart12.xml"/><Relationship Id="rId23" Type="http://schemas.openxmlformats.org/officeDocument/2006/relationships/chart" Target="../charts/chart19.xml"/><Relationship Id="rId10" Type="http://schemas.openxmlformats.org/officeDocument/2006/relationships/chart" Target="../charts/chart7.xml"/><Relationship Id="rId19" Type="http://schemas.openxmlformats.org/officeDocument/2006/relationships/chart" Target="../charts/chart16.xml"/><Relationship Id="rId4" Type="http://schemas.openxmlformats.org/officeDocument/2006/relationships/chart" Target="../charts/chart3.xml"/><Relationship Id="rId9" Type="http://schemas.openxmlformats.org/officeDocument/2006/relationships/chart" Target="../charts/chart6.xml"/><Relationship Id="rId14" Type="http://schemas.openxmlformats.org/officeDocument/2006/relationships/chart" Target="../charts/chart11.xml"/><Relationship Id="rId22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27</xdr:row>
      <xdr:rowOff>95250</xdr:rowOff>
    </xdr:from>
    <xdr:to>
      <xdr:col>6</xdr:col>
      <xdr:colOff>1850571</xdr:colOff>
      <xdr:row>41</xdr:row>
      <xdr:rowOff>219075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7</xdr:row>
          <xdr:rowOff>180975</xdr:rowOff>
        </xdr:from>
        <xdr:to>
          <xdr:col>7</xdr:col>
          <xdr:colOff>285750</xdr:colOff>
          <xdr:row>9</xdr:row>
          <xdr:rowOff>85725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448234</xdr:colOff>
      <xdr:row>0</xdr:row>
      <xdr:rowOff>56030</xdr:rowOff>
    </xdr:from>
    <xdr:to>
      <xdr:col>2</xdr:col>
      <xdr:colOff>628088</xdr:colOff>
      <xdr:row>2</xdr:row>
      <xdr:rowOff>224024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234" y="56030"/>
          <a:ext cx="2308972" cy="6386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274657</xdr:colOff>
      <xdr:row>10</xdr:row>
      <xdr:rowOff>129887</xdr:rowOff>
    </xdr:from>
    <xdr:to>
      <xdr:col>8</xdr:col>
      <xdr:colOff>92651</xdr:colOff>
      <xdr:row>43</xdr:row>
      <xdr:rowOff>129887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0793" y="458932"/>
          <a:ext cx="4280024" cy="5810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225138</xdr:colOff>
      <xdr:row>12</xdr:row>
      <xdr:rowOff>19050</xdr:rowOff>
    </xdr:from>
    <xdr:to>
      <xdr:col>8</xdr:col>
      <xdr:colOff>123825</xdr:colOff>
      <xdr:row>42</xdr:row>
      <xdr:rowOff>76199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295275</xdr:colOff>
      <xdr:row>13</xdr:row>
      <xdr:rowOff>152400</xdr:rowOff>
    </xdr:from>
    <xdr:to>
      <xdr:col>25</xdr:col>
      <xdr:colOff>510073</xdr:colOff>
      <xdr:row>42</xdr:row>
      <xdr:rowOff>50987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20075" y="962025"/>
          <a:ext cx="6920398" cy="4975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228600</xdr:colOff>
      <xdr:row>13</xdr:row>
      <xdr:rowOff>142874</xdr:rowOff>
    </xdr:from>
    <xdr:to>
      <xdr:col>25</xdr:col>
      <xdr:colOff>419100</xdr:colOff>
      <xdr:row>42</xdr:row>
      <xdr:rowOff>133350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252412</xdr:colOff>
      <xdr:row>79</xdr:row>
      <xdr:rowOff>9525</xdr:rowOff>
    </xdr:from>
    <xdr:to>
      <xdr:col>8</xdr:col>
      <xdr:colOff>338137</xdr:colOff>
      <xdr:row>96</xdr:row>
      <xdr:rowOff>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0</xdr:colOff>
      <xdr:row>49</xdr:row>
      <xdr:rowOff>0</xdr:rowOff>
    </xdr:from>
    <xdr:to>
      <xdr:col>22</xdr:col>
      <xdr:colOff>523875</xdr:colOff>
      <xdr:row>95</xdr:row>
      <xdr:rowOff>66675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9900" y="8315325"/>
          <a:ext cx="4791075" cy="7543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85725</xdr:colOff>
      <xdr:row>47</xdr:row>
      <xdr:rowOff>114300</xdr:rowOff>
    </xdr:from>
    <xdr:to>
      <xdr:col>22</xdr:col>
      <xdr:colOff>19051</xdr:colOff>
      <xdr:row>96</xdr:row>
      <xdr:rowOff>114300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15</xdr:col>
      <xdr:colOff>47625</xdr:colOff>
      <xdr:row>97</xdr:row>
      <xdr:rowOff>28575</xdr:rowOff>
    </xdr:from>
    <xdr:to>
      <xdr:col>25</xdr:col>
      <xdr:colOff>76200</xdr:colOff>
      <xdr:row>140</xdr:row>
      <xdr:rowOff>47625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233362</xdr:colOff>
      <xdr:row>100</xdr:row>
      <xdr:rowOff>66675</xdr:rowOff>
    </xdr:from>
    <xdr:to>
      <xdr:col>24</xdr:col>
      <xdr:colOff>571500</xdr:colOff>
      <xdr:row>120</xdr:row>
      <xdr:rowOff>28575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238125</xdr:colOff>
      <xdr:row>118</xdr:row>
      <xdr:rowOff>19050</xdr:rowOff>
    </xdr:from>
    <xdr:to>
      <xdr:col>24</xdr:col>
      <xdr:colOff>576263</xdr:colOff>
      <xdr:row>137</xdr:row>
      <xdr:rowOff>104774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176891</xdr:colOff>
      <xdr:row>80</xdr:row>
      <xdr:rowOff>123826</xdr:rowOff>
    </xdr:from>
    <xdr:to>
      <xdr:col>38</xdr:col>
      <xdr:colOff>521153</xdr:colOff>
      <xdr:row>92</xdr:row>
      <xdr:rowOff>69396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160564</xdr:colOff>
      <xdr:row>92</xdr:row>
      <xdr:rowOff>127906</xdr:rowOff>
    </xdr:from>
    <xdr:to>
      <xdr:col>38</xdr:col>
      <xdr:colOff>547007</xdr:colOff>
      <xdr:row>104</xdr:row>
      <xdr:rowOff>59870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164647</xdr:colOff>
      <xdr:row>105</xdr:row>
      <xdr:rowOff>151040</xdr:rowOff>
    </xdr:from>
    <xdr:to>
      <xdr:col>39</xdr:col>
      <xdr:colOff>24492</xdr:colOff>
      <xdr:row>117</xdr:row>
      <xdr:rowOff>10885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36</xdr:col>
      <xdr:colOff>156483</xdr:colOff>
      <xdr:row>117</xdr:row>
      <xdr:rowOff>95249</xdr:rowOff>
    </xdr:from>
    <xdr:to>
      <xdr:col>39</xdr:col>
      <xdr:colOff>121104</xdr:colOff>
      <xdr:row>128</xdr:row>
      <xdr:rowOff>112938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96610</xdr:colOff>
      <xdr:row>129</xdr:row>
      <xdr:rowOff>38100</xdr:rowOff>
    </xdr:from>
    <xdr:to>
      <xdr:col>39</xdr:col>
      <xdr:colOff>223158</xdr:colOff>
      <xdr:row>140</xdr:row>
      <xdr:rowOff>68036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95250</xdr:colOff>
      <xdr:row>76</xdr:row>
      <xdr:rowOff>32657</xdr:rowOff>
    </xdr:from>
    <xdr:to>
      <xdr:col>30</xdr:col>
      <xdr:colOff>496660</xdr:colOff>
      <xdr:row>86</xdr:row>
      <xdr:rowOff>103412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39</xdr:col>
      <xdr:colOff>0</xdr:colOff>
      <xdr:row>81</xdr:row>
      <xdr:rowOff>0</xdr:rowOff>
    </xdr:from>
    <xdr:to>
      <xdr:col>41</xdr:col>
      <xdr:colOff>344262</xdr:colOff>
      <xdr:row>92</xdr:row>
      <xdr:rowOff>107495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39</xdr:col>
      <xdr:colOff>0</xdr:colOff>
      <xdr:row>93</xdr:row>
      <xdr:rowOff>0</xdr:rowOff>
    </xdr:from>
    <xdr:to>
      <xdr:col>41</xdr:col>
      <xdr:colOff>386443</xdr:colOff>
      <xdr:row>104</xdr:row>
      <xdr:rowOff>93889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39</xdr:col>
      <xdr:colOff>0</xdr:colOff>
      <xdr:row>105</xdr:row>
      <xdr:rowOff>0</xdr:rowOff>
    </xdr:from>
    <xdr:to>
      <xdr:col>41</xdr:col>
      <xdr:colOff>469445</xdr:colOff>
      <xdr:row>116</xdr:row>
      <xdr:rowOff>21770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39</xdr:col>
      <xdr:colOff>0</xdr:colOff>
      <xdr:row>117</xdr:row>
      <xdr:rowOff>0</xdr:rowOff>
    </xdr:from>
    <xdr:to>
      <xdr:col>41</xdr:col>
      <xdr:colOff>574221</xdr:colOff>
      <xdr:row>128</xdr:row>
      <xdr:rowOff>17689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0</xdr:colOff>
      <xdr:row>129</xdr:row>
      <xdr:rowOff>0</xdr:rowOff>
    </xdr:from>
    <xdr:to>
      <xdr:col>42</xdr:col>
      <xdr:colOff>126548</xdr:colOff>
      <xdr:row>140</xdr:row>
      <xdr:rowOff>29936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</xdr:col>
      <xdr:colOff>76201</xdr:colOff>
      <xdr:row>53</xdr:row>
      <xdr:rowOff>76200</xdr:rowOff>
    </xdr:from>
    <xdr:to>
      <xdr:col>9</xdr:col>
      <xdr:colOff>504826</xdr:colOff>
      <xdr:row>76</xdr:row>
      <xdr:rowOff>151328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6" y="9067800"/>
          <a:ext cx="5524500" cy="3799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</xdr:colOff>
      <xdr:row>53</xdr:row>
      <xdr:rowOff>85724</xdr:rowOff>
    </xdr:from>
    <xdr:to>
      <xdr:col>9</xdr:col>
      <xdr:colOff>428625</xdr:colOff>
      <xdr:row>77</xdr:row>
      <xdr:rowOff>76199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dimension ref="A1:AD48"/>
  <sheetViews>
    <sheetView tabSelected="1" topLeftCell="A27" zoomScaleNormal="100" zoomScaleSheetLayoutView="100" workbookViewId="0">
      <selection activeCell="U46" sqref="U46:Y46"/>
    </sheetView>
  </sheetViews>
  <sheetFormatPr defaultRowHeight="12" x14ac:dyDescent="0.2"/>
  <cols>
    <col min="1" max="30" width="3.28515625" style="91" customWidth="1"/>
    <col min="31" max="256" width="9.140625" style="91"/>
    <col min="257" max="286" width="3.28515625" style="91" customWidth="1"/>
    <col min="287" max="512" width="9.140625" style="91"/>
    <col min="513" max="542" width="3.28515625" style="91" customWidth="1"/>
    <col min="543" max="768" width="9.140625" style="91"/>
    <col min="769" max="798" width="3.28515625" style="91" customWidth="1"/>
    <col min="799" max="1024" width="9.140625" style="91"/>
    <col min="1025" max="1054" width="3.28515625" style="91" customWidth="1"/>
    <col min="1055" max="1280" width="9.140625" style="91"/>
    <col min="1281" max="1310" width="3.28515625" style="91" customWidth="1"/>
    <col min="1311" max="1536" width="9.140625" style="91"/>
    <col min="1537" max="1566" width="3.28515625" style="91" customWidth="1"/>
    <col min="1567" max="1792" width="9.140625" style="91"/>
    <col min="1793" max="1822" width="3.28515625" style="91" customWidth="1"/>
    <col min="1823" max="2048" width="9.140625" style="91"/>
    <col min="2049" max="2078" width="3.28515625" style="91" customWidth="1"/>
    <col min="2079" max="2304" width="9.140625" style="91"/>
    <col min="2305" max="2334" width="3.28515625" style="91" customWidth="1"/>
    <col min="2335" max="2560" width="9.140625" style="91"/>
    <col min="2561" max="2590" width="3.28515625" style="91" customWidth="1"/>
    <col min="2591" max="2816" width="9.140625" style="91"/>
    <col min="2817" max="2846" width="3.28515625" style="91" customWidth="1"/>
    <col min="2847" max="3072" width="9.140625" style="91"/>
    <col min="3073" max="3102" width="3.28515625" style="91" customWidth="1"/>
    <col min="3103" max="3328" width="9.140625" style="91"/>
    <col min="3329" max="3358" width="3.28515625" style="91" customWidth="1"/>
    <col min="3359" max="3584" width="9.140625" style="91"/>
    <col min="3585" max="3614" width="3.28515625" style="91" customWidth="1"/>
    <col min="3615" max="3840" width="9.140625" style="91"/>
    <col min="3841" max="3870" width="3.28515625" style="91" customWidth="1"/>
    <col min="3871" max="4096" width="9.140625" style="91"/>
    <col min="4097" max="4126" width="3.28515625" style="91" customWidth="1"/>
    <col min="4127" max="4352" width="9.140625" style="91"/>
    <col min="4353" max="4382" width="3.28515625" style="91" customWidth="1"/>
    <col min="4383" max="4608" width="9.140625" style="91"/>
    <col min="4609" max="4638" width="3.28515625" style="91" customWidth="1"/>
    <col min="4639" max="4864" width="9.140625" style="91"/>
    <col min="4865" max="4894" width="3.28515625" style="91" customWidth="1"/>
    <col min="4895" max="5120" width="9.140625" style="91"/>
    <col min="5121" max="5150" width="3.28515625" style="91" customWidth="1"/>
    <col min="5151" max="5376" width="9.140625" style="91"/>
    <col min="5377" max="5406" width="3.28515625" style="91" customWidth="1"/>
    <col min="5407" max="5632" width="9.140625" style="91"/>
    <col min="5633" max="5662" width="3.28515625" style="91" customWidth="1"/>
    <col min="5663" max="5888" width="9.140625" style="91"/>
    <col min="5889" max="5918" width="3.28515625" style="91" customWidth="1"/>
    <col min="5919" max="6144" width="9.140625" style="91"/>
    <col min="6145" max="6174" width="3.28515625" style="91" customWidth="1"/>
    <col min="6175" max="6400" width="9.140625" style="91"/>
    <col min="6401" max="6430" width="3.28515625" style="91" customWidth="1"/>
    <col min="6431" max="6656" width="9.140625" style="91"/>
    <col min="6657" max="6686" width="3.28515625" style="91" customWidth="1"/>
    <col min="6687" max="6912" width="9.140625" style="91"/>
    <col min="6913" max="6942" width="3.28515625" style="91" customWidth="1"/>
    <col min="6943" max="7168" width="9.140625" style="91"/>
    <col min="7169" max="7198" width="3.28515625" style="91" customWidth="1"/>
    <col min="7199" max="7424" width="9.140625" style="91"/>
    <col min="7425" max="7454" width="3.28515625" style="91" customWidth="1"/>
    <col min="7455" max="7680" width="9.140625" style="91"/>
    <col min="7681" max="7710" width="3.28515625" style="91" customWidth="1"/>
    <col min="7711" max="7936" width="9.140625" style="91"/>
    <col min="7937" max="7966" width="3.28515625" style="91" customWidth="1"/>
    <col min="7967" max="8192" width="9.140625" style="91"/>
    <col min="8193" max="8222" width="3.28515625" style="91" customWidth="1"/>
    <col min="8223" max="8448" width="9.140625" style="91"/>
    <col min="8449" max="8478" width="3.28515625" style="91" customWidth="1"/>
    <col min="8479" max="8704" width="9.140625" style="91"/>
    <col min="8705" max="8734" width="3.28515625" style="91" customWidth="1"/>
    <col min="8735" max="8960" width="9.140625" style="91"/>
    <col min="8961" max="8990" width="3.28515625" style="91" customWidth="1"/>
    <col min="8991" max="9216" width="9.140625" style="91"/>
    <col min="9217" max="9246" width="3.28515625" style="91" customWidth="1"/>
    <col min="9247" max="9472" width="9.140625" style="91"/>
    <col min="9473" max="9502" width="3.28515625" style="91" customWidth="1"/>
    <col min="9503" max="9728" width="9.140625" style="91"/>
    <col min="9729" max="9758" width="3.28515625" style="91" customWidth="1"/>
    <col min="9759" max="9984" width="9.140625" style="91"/>
    <col min="9985" max="10014" width="3.28515625" style="91" customWidth="1"/>
    <col min="10015" max="10240" width="9.140625" style="91"/>
    <col min="10241" max="10270" width="3.28515625" style="91" customWidth="1"/>
    <col min="10271" max="10496" width="9.140625" style="91"/>
    <col min="10497" max="10526" width="3.28515625" style="91" customWidth="1"/>
    <col min="10527" max="10752" width="9.140625" style="91"/>
    <col min="10753" max="10782" width="3.28515625" style="91" customWidth="1"/>
    <col min="10783" max="11008" width="9.140625" style="91"/>
    <col min="11009" max="11038" width="3.28515625" style="91" customWidth="1"/>
    <col min="11039" max="11264" width="9.140625" style="91"/>
    <col min="11265" max="11294" width="3.28515625" style="91" customWidth="1"/>
    <col min="11295" max="11520" width="9.140625" style="91"/>
    <col min="11521" max="11550" width="3.28515625" style="91" customWidth="1"/>
    <col min="11551" max="11776" width="9.140625" style="91"/>
    <col min="11777" max="11806" width="3.28515625" style="91" customWidth="1"/>
    <col min="11807" max="12032" width="9.140625" style="91"/>
    <col min="12033" max="12062" width="3.28515625" style="91" customWidth="1"/>
    <col min="12063" max="12288" width="9.140625" style="91"/>
    <col min="12289" max="12318" width="3.28515625" style="91" customWidth="1"/>
    <col min="12319" max="12544" width="9.140625" style="91"/>
    <col min="12545" max="12574" width="3.28515625" style="91" customWidth="1"/>
    <col min="12575" max="12800" width="9.140625" style="91"/>
    <col min="12801" max="12830" width="3.28515625" style="91" customWidth="1"/>
    <col min="12831" max="13056" width="9.140625" style="91"/>
    <col min="13057" max="13086" width="3.28515625" style="91" customWidth="1"/>
    <col min="13087" max="13312" width="9.140625" style="91"/>
    <col min="13313" max="13342" width="3.28515625" style="91" customWidth="1"/>
    <col min="13343" max="13568" width="9.140625" style="91"/>
    <col min="13569" max="13598" width="3.28515625" style="91" customWidth="1"/>
    <col min="13599" max="13824" width="9.140625" style="91"/>
    <col min="13825" max="13854" width="3.28515625" style="91" customWidth="1"/>
    <col min="13855" max="14080" width="9.140625" style="91"/>
    <col min="14081" max="14110" width="3.28515625" style="91" customWidth="1"/>
    <col min="14111" max="14336" width="9.140625" style="91"/>
    <col min="14337" max="14366" width="3.28515625" style="91" customWidth="1"/>
    <col min="14367" max="14592" width="9.140625" style="91"/>
    <col min="14593" max="14622" width="3.28515625" style="91" customWidth="1"/>
    <col min="14623" max="14848" width="9.140625" style="91"/>
    <col min="14849" max="14878" width="3.28515625" style="91" customWidth="1"/>
    <col min="14879" max="15104" width="9.140625" style="91"/>
    <col min="15105" max="15134" width="3.28515625" style="91" customWidth="1"/>
    <col min="15135" max="15360" width="9.140625" style="91"/>
    <col min="15361" max="15390" width="3.28515625" style="91" customWidth="1"/>
    <col min="15391" max="15616" width="9.140625" style="91"/>
    <col min="15617" max="15646" width="3.28515625" style="91" customWidth="1"/>
    <col min="15647" max="15872" width="9.140625" style="91"/>
    <col min="15873" max="15902" width="3.28515625" style="91" customWidth="1"/>
    <col min="15903" max="16128" width="9.140625" style="91"/>
    <col min="16129" max="16158" width="3.28515625" style="91" customWidth="1"/>
    <col min="16159" max="16384" width="9.140625" style="91"/>
  </cols>
  <sheetData>
    <row r="1" spans="1:30" ht="15" customHeight="1" x14ac:dyDescent="0.2">
      <c r="A1" s="88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90"/>
    </row>
    <row r="2" spans="1:30" ht="15" customHeight="1" x14ac:dyDescent="0.2">
      <c r="A2" s="92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4"/>
    </row>
    <row r="3" spans="1:30" ht="15" customHeight="1" x14ac:dyDescent="0.2">
      <c r="A3" s="92"/>
      <c r="B3" s="93"/>
      <c r="C3" s="93"/>
      <c r="D3" s="93"/>
      <c r="E3" s="93"/>
      <c r="F3" s="93"/>
      <c r="G3" s="93"/>
      <c r="H3" s="95"/>
      <c r="I3" s="95"/>
      <c r="J3" s="95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7"/>
      <c r="X3" s="97"/>
      <c r="Y3" s="97"/>
      <c r="Z3" s="97"/>
      <c r="AA3" s="97"/>
      <c r="AB3" s="97"/>
      <c r="AC3" s="97"/>
      <c r="AD3" s="98"/>
    </row>
    <row r="4" spans="1:30" ht="15" customHeight="1" x14ac:dyDescent="0.2">
      <c r="A4" s="92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4"/>
    </row>
    <row r="5" spans="1:30" ht="15" customHeight="1" x14ac:dyDescent="0.2">
      <c r="A5" s="92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  <c r="AA5" s="93"/>
      <c r="AB5" s="93"/>
      <c r="AC5" s="93"/>
      <c r="AD5" s="94"/>
    </row>
    <row r="6" spans="1:30" ht="15" customHeight="1" x14ac:dyDescent="0.2">
      <c r="A6" s="92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4"/>
    </row>
    <row r="7" spans="1:30" ht="15" customHeight="1" thickBot="1" x14ac:dyDescent="0.25">
      <c r="A7" s="99"/>
      <c r="B7" s="100"/>
      <c r="C7" s="100"/>
      <c r="D7" s="100"/>
      <c r="E7" s="100"/>
      <c r="F7" s="101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100"/>
      <c r="AB7" s="100"/>
      <c r="AC7" s="100"/>
      <c r="AD7" s="102"/>
    </row>
    <row r="8" spans="1:30" ht="15" customHeight="1" x14ac:dyDescent="0.2">
      <c r="A8" s="132" t="s">
        <v>137</v>
      </c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4"/>
    </row>
    <row r="9" spans="1:30" ht="15" customHeight="1" x14ac:dyDescent="0.2">
      <c r="A9" s="135"/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7"/>
    </row>
    <row r="10" spans="1:30" ht="15" customHeight="1" x14ac:dyDescent="0.2">
      <c r="A10" s="135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7"/>
    </row>
    <row r="11" spans="1:30" ht="15" customHeight="1" x14ac:dyDescent="0.2">
      <c r="A11" s="135"/>
      <c r="B11" s="136"/>
      <c r="C11" s="136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7"/>
    </row>
    <row r="12" spans="1:30" ht="15" customHeight="1" x14ac:dyDescent="0.2">
      <c r="A12" s="135"/>
      <c r="B12" s="136"/>
      <c r="C12" s="136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7"/>
    </row>
    <row r="13" spans="1:30" ht="15" customHeight="1" x14ac:dyDescent="0.2">
      <c r="A13" s="135"/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7"/>
    </row>
    <row r="14" spans="1:30" ht="15" customHeight="1" x14ac:dyDescent="0.2">
      <c r="A14" s="135"/>
      <c r="B14" s="136"/>
      <c r="C14" s="136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6"/>
      <c r="AD14" s="137"/>
    </row>
    <row r="15" spans="1:30" ht="15" customHeight="1" x14ac:dyDescent="0.2">
      <c r="A15" s="135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7"/>
    </row>
    <row r="16" spans="1:30" ht="15" customHeight="1" x14ac:dyDescent="0.2">
      <c r="A16" s="135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6"/>
      <c r="AD16" s="137"/>
    </row>
    <row r="17" spans="1:30" ht="15" customHeight="1" x14ac:dyDescent="0.2">
      <c r="A17" s="135"/>
      <c r="B17" s="136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7"/>
    </row>
    <row r="18" spans="1:30" ht="15" customHeight="1" x14ac:dyDescent="0.2">
      <c r="A18" s="135"/>
      <c r="B18" s="136"/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6"/>
      <c r="AD18" s="137"/>
    </row>
    <row r="19" spans="1:30" ht="15" customHeight="1" x14ac:dyDescent="0.2">
      <c r="A19" s="135"/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7"/>
    </row>
    <row r="20" spans="1:30" ht="15" customHeight="1" x14ac:dyDescent="0.2">
      <c r="A20" s="135"/>
      <c r="B20" s="136"/>
      <c r="C20" s="136"/>
      <c r="D20" s="136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136"/>
      <c r="Y20" s="136"/>
      <c r="Z20" s="136"/>
      <c r="AA20" s="136"/>
      <c r="AB20" s="136"/>
      <c r="AC20" s="136"/>
      <c r="AD20" s="137"/>
    </row>
    <row r="21" spans="1:30" ht="15" customHeight="1" x14ac:dyDescent="0.2">
      <c r="A21" s="135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36"/>
      <c r="AC21" s="136"/>
      <c r="AD21" s="137"/>
    </row>
    <row r="22" spans="1:30" ht="15" customHeight="1" x14ac:dyDescent="0.2">
      <c r="A22" s="135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7"/>
    </row>
    <row r="23" spans="1:30" ht="15" customHeight="1" x14ac:dyDescent="0.2">
      <c r="A23" s="135"/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6"/>
      <c r="AD23" s="137"/>
    </row>
    <row r="24" spans="1:30" ht="15" customHeight="1" x14ac:dyDescent="0.2">
      <c r="A24" s="135"/>
      <c r="B24" s="136"/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6"/>
      <c r="AD24" s="137"/>
    </row>
    <row r="25" spans="1:30" ht="15" customHeight="1" x14ac:dyDescent="0.2">
      <c r="A25" s="135"/>
      <c r="B25" s="136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7"/>
    </row>
    <row r="26" spans="1:30" ht="15" customHeight="1" x14ac:dyDescent="0.2">
      <c r="A26" s="135"/>
      <c r="B26" s="136"/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7"/>
    </row>
    <row r="27" spans="1:30" ht="15" customHeight="1" x14ac:dyDescent="0.2">
      <c r="A27" s="135"/>
      <c r="B27" s="136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7"/>
    </row>
    <row r="28" spans="1:30" ht="15" customHeight="1" x14ac:dyDescent="0.2">
      <c r="A28" s="135"/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7"/>
    </row>
    <row r="29" spans="1:30" ht="15" customHeight="1" x14ac:dyDescent="0.2">
      <c r="A29" s="135"/>
      <c r="B29" s="136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7"/>
    </row>
    <row r="30" spans="1:30" ht="15" customHeight="1" x14ac:dyDescent="0.2">
      <c r="A30" s="135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7"/>
    </row>
    <row r="31" spans="1:30" ht="15" customHeight="1" x14ac:dyDescent="0.2">
      <c r="A31" s="135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7"/>
    </row>
    <row r="32" spans="1:30" ht="15" customHeight="1" x14ac:dyDescent="0.2">
      <c r="A32" s="135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7"/>
    </row>
    <row r="33" spans="1:30" ht="15" customHeight="1" x14ac:dyDescent="0.2">
      <c r="A33" s="135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7"/>
    </row>
    <row r="34" spans="1:30" ht="15" customHeight="1" x14ac:dyDescent="0.2">
      <c r="A34" s="135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7"/>
    </row>
    <row r="35" spans="1:30" ht="15" customHeight="1" x14ac:dyDescent="0.2">
      <c r="A35" s="135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7"/>
    </row>
    <row r="36" spans="1:30" ht="15" customHeight="1" x14ac:dyDescent="0.2">
      <c r="A36" s="135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7"/>
    </row>
    <row r="37" spans="1:30" ht="15" customHeight="1" x14ac:dyDescent="0.2">
      <c r="A37" s="135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7"/>
    </row>
    <row r="38" spans="1:30" ht="15" customHeight="1" x14ac:dyDescent="0.2">
      <c r="A38" s="135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7"/>
    </row>
    <row r="39" spans="1:30" ht="15" customHeight="1" thickBot="1" x14ac:dyDescent="0.25">
      <c r="A39" s="138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40"/>
    </row>
    <row r="40" spans="1:30" ht="30" customHeight="1" x14ac:dyDescent="0.2">
      <c r="A40" s="141"/>
      <c r="B40" s="142"/>
      <c r="C40" s="143"/>
      <c r="D40" s="144"/>
      <c r="E40" s="144"/>
      <c r="F40" s="142"/>
      <c r="G40" s="143"/>
      <c r="H40" s="144"/>
      <c r="I40" s="144"/>
      <c r="J40" s="144"/>
      <c r="K40" s="144"/>
      <c r="L40" s="144"/>
      <c r="M40" s="144"/>
      <c r="N40" s="144"/>
      <c r="O40" s="144"/>
      <c r="P40" s="143"/>
      <c r="Q40" s="144"/>
      <c r="R40" s="144"/>
      <c r="S40" s="144"/>
      <c r="T40" s="142"/>
      <c r="U40" s="143"/>
      <c r="V40" s="144"/>
      <c r="W40" s="144"/>
      <c r="X40" s="144"/>
      <c r="Y40" s="142"/>
      <c r="Z40" s="143"/>
      <c r="AA40" s="144"/>
      <c r="AB40" s="144"/>
      <c r="AC40" s="144"/>
      <c r="AD40" s="145"/>
    </row>
    <row r="41" spans="1:30" ht="30" customHeight="1" x14ac:dyDescent="0.2">
      <c r="A41" s="119"/>
      <c r="B41" s="120"/>
      <c r="C41" s="121"/>
      <c r="D41" s="122"/>
      <c r="E41" s="122"/>
      <c r="F41" s="120"/>
      <c r="G41" s="121"/>
      <c r="H41" s="122"/>
      <c r="I41" s="122"/>
      <c r="J41" s="122"/>
      <c r="K41" s="122"/>
      <c r="L41" s="122"/>
      <c r="M41" s="122"/>
      <c r="N41" s="122"/>
      <c r="O41" s="122"/>
      <c r="P41" s="121"/>
      <c r="Q41" s="122"/>
      <c r="R41" s="122"/>
      <c r="S41" s="122"/>
      <c r="T41" s="120"/>
      <c r="U41" s="121"/>
      <c r="V41" s="122"/>
      <c r="W41" s="122"/>
      <c r="X41" s="122"/>
      <c r="Y41" s="120"/>
      <c r="Z41" s="121"/>
      <c r="AA41" s="122"/>
      <c r="AB41" s="122"/>
      <c r="AC41" s="122"/>
      <c r="AD41" s="123"/>
    </row>
    <row r="42" spans="1:30" ht="30" customHeight="1" x14ac:dyDescent="0.2">
      <c r="A42" s="119"/>
      <c r="B42" s="120"/>
      <c r="C42" s="121"/>
      <c r="D42" s="122"/>
      <c r="E42" s="122"/>
      <c r="F42" s="120"/>
      <c r="G42" s="121"/>
      <c r="H42" s="122"/>
      <c r="I42" s="122"/>
      <c r="J42" s="122"/>
      <c r="K42" s="122"/>
      <c r="L42" s="122"/>
      <c r="M42" s="122"/>
      <c r="N42" s="122"/>
      <c r="O42" s="122"/>
      <c r="P42" s="121"/>
      <c r="Q42" s="122"/>
      <c r="R42" s="122"/>
      <c r="S42" s="122"/>
      <c r="T42" s="120"/>
      <c r="U42" s="121"/>
      <c r="V42" s="122"/>
      <c r="W42" s="122"/>
      <c r="X42" s="122"/>
      <c r="Y42" s="120"/>
      <c r="Z42" s="121"/>
      <c r="AA42" s="122"/>
      <c r="AB42" s="122"/>
      <c r="AC42" s="122"/>
      <c r="AD42" s="123"/>
    </row>
    <row r="43" spans="1:30" ht="30" customHeight="1" x14ac:dyDescent="0.2">
      <c r="A43" s="119"/>
      <c r="B43" s="120"/>
      <c r="C43" s="121"/>
      <c r="D43" s="122"/>
      <c r="E43" s="122"/>
      <c r="F43" s="120"/>
      <c r="G43" s="121"/>
      <c r="H43" s="122"/>
      <c r="I43" s="122"/>
      <c r="J43" s="122"/>
      <c r="K43" s="122"/>
      <c r="L43" s="122"/>
      <c r="M43" s="122"/>
      <c r="N43" s="122"/>
      <c r="O43" s="122"/>
      <c r="P43" s="121"/>
      <c r="Q43" s="122"/>
      <c r="R43" s="122"/>
      <c r="S43" s="122"/>
      <c r="T43" s="120"/>
      <c r="U43" s="121"/>
      <c r="V43" s="122"/>
      <c r="W43" s="122"/>
      <c r="X43" s="122"/>
      <c r="Y43" s="120"/>
      <c r="Z43" s="121"/>
      <c r="AA43" s="122"/>
      <c r="AB43" s="122"/>
      <c r="AC43" s="122"/>
      <c r="AD43" s="123"/>
    </row>
    <row r="44" spans="1:30" ht="30" customHeight="1" x14ac:dyDescent="0.2">
      <c r="A44" s="119"/>
      <c r="B44" s="120"/>
      <c r="C44" s="121"/>
      <c r="D44" s="122"/>
      <c r="E44" s="122"/>
      <c r="F44" s="120"/>
      <c r="G44" s="121"/>
      <c r="H44" s="122"/>
      <c r="I44" s="122"/>
      <c r="J44" s="122"/>
      <c r="K44" s="122"/>
      <c r="L44" s="122"/>
      <c r="M44" s="122"/>
      <c r="N44" s="122"/>
      <c r="O44" s="122"/>
      <c r="P44" s="121"/>
      <c r="Q44" s="122"/>
      <c r="R44" s="122"/>
      <c r="S44" s="122"/>
      <c r="T44" s="120"/>
      <c r="U44" s="121"/>
      <c r="V44" s="122"/>
      <c r="W44" s="122"/>
      <c r="X44" s="122"/>
      <c r="Y44" s="120"/>
      <c r="Z44" s="121"/>
      <c r="AA44" s="122"/>
      <c r="AB44" s="122"/>
      <c r="AC44" s="122"/>
      <c r="AD44" s="123"/>
    </row>
    <row r="45" spans="1:30" ht="30" customHeight="1" x14ac:dyDescent="0.2">
      <c r="A45" s="119"/>
      <c r="B45" s="120"/>
      <c r="C45" s="121"/>
      <c r="D45" s="122"/>
      <c r="E45" s="122"/>
      <c r="F45" s="120"/>
      <c r="G45" s="121"/>
      <c r="H45" s="122"/>
      <c r="I45" s="122"/>
      <c r="J45" s="122"/>
      <c r="K45" s="122"/>
      <c r="L45" s="122"/>
      <c r="M45" s="122"/>
      <c r="N45" s="122"/>
      <c r="O45" s="122"/>
      <c r="P45" s="121"/>
      <c r="Q45" s="122"/>
      <c r="R45" s="122"/>
      <c r="S45" s="122"/>
      <c r="T45" s="120"/>
      <c r="U45" s="121"/>
      <c r="V45" s="122"/>
      <c r="W45" s="122"/>
      <c r="X45" s="122"/>
      <c r="Y45" s="120"/>
      <c r="Z45" s="121"/>
      <c r="AA45" s="122"/>
      <c r="AB45" s="122"/>
      <c r="AC45" s="122"/>
      <c r="AD45" s="123"/>
    </row>
    <row r="46" spans="1:30" ht="30" customHeight="1" x14ac:dyDescent="0.2">
      <c r="A46" s="124">
        <v>0</v>
      </c>
      <c r="B46" s="125"/>
      <c r="C46" s="126">
        <v>45278</v>
      </c>
      <c r="D46" s="127"/>
      <c r="E46" s="127"/>
      <c r="F46" s="128"/>
      <c r="G46" s="129" t="s">
        <v>0</v>
      </c>
      <c r="H46" s="130"/>
      <c r="I46" s="130"/>
      <c r="J46" s="130"/>
      <c r="K46" s="130"/>
      <c r="L46" s="130"/>
      <c r="M46" s="130"/>
      <c r="N46" s="130"/>
      <c r="O46" s="130"/>
      <c r="P46" s="116" t="s">
        <v>1</v>
      </c>
      <c r="Q46" s="117"/>
      <c r="R46" s="117"/>
      <c r="S46" s="117"/>
      <c r="T46" s="131"/>
      <c r="U46" s="116" t="s">
        <v>2</v>
      </c>
      <c r="V46" s="117"/>
      <c r="W46" s="117"/>
      <c r="X46" s="117"/>
      <c r="Y46" s="131"/>
      <c r="Z46" s="116" t="s">
        <v>3</v>
      </c>
      <c r="AA46" s="117"/>
      <c r="AB46" s="117"/>
      <c r="AC46" s="117"/>
      <c r="AD46" s="118"/>
    </row>
    <row r="47" spans="1:30" ht="15" customHeight="1" thickBot="1" x14ac:dyDescent="0.25">
      <c r="A47" s="110" t="s">
        <v>4</v>
      </c>
      <c r="B47" s="111"/>
      <c r="C47" s="112" t="s">
        <v>5</v>
      </c>
      <c r="D47" s="113"/>
      <c r="E47" s="113"/>
      <c r="F47" s="114"/>
      <c r="G47" s="112" t="s">
        <v>6</v>
      </c>
      <c r="H47" s="113"/>
      <c r="I47" s="113"/>
      <c r="J47" s="113"/>
      <c r="K47" s="113"/>
      <c r="L47" s="113"/>
      <c r="M47" s="113"/>
      <c r="N47" s="113"/>
      <c r="O47" s="113"/>
      <c r="P47" s="112" t="s">
        <v>7</v>
      </c>
      <c r="Q47" s="113"/>
      <c r="R47" s="113"/>
      <c r="S47" s="113"/>
      <c r="T47" s="114"/>
      <c r="U47" s="112" t="s">
        <v>8</v>
      </c>
      <c r="V47" s="113"/>
      <c r="W47" s="113"/>
      <c r="X47" s="113"/>
      <c r="Y47" s="113"/>
      <c r="Z47" s="112" t="s">
        <v>9</v>
      </c>
      <c r="AA47" s="113"/>
      <c r="AB47" s="113"/>
      <c r="AC47" s="113"/>
      <c r="AD47" s="115"/>
    </row>
    <row r="48" spans="1:30" ht="15" customHeight="1" thickBot="1" x14ac:dyDescent="0.25">
      <c r="A48" s="107" t="s">
        <v>10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9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pageSetUpPr fitToPage="1"/>
  </sheetPr>
  <dimension ref="A1:R60"/>
  <sheetViews>
    <sheetView topLeftCell="A30" zoomScale="140" zoomScaleNormal="140" workbookViewId="0">
      <selection activeCell="H38" sqref="H38"/>
    </sheetView>
  </sheetViews>
  <sheetFormatPr defaultColWidth="9.140625" defaultRowHeight="12.75" x14ac:dyDescent="0.2"/>
  <cols>
    <col min="1" max="1" width="13.5703125" style="4" customWidth="1"/>
    <col min="2" max="2" width="18.28515625" style="4" customWidth="1"/>
    <col min="3" max="3" width="11.5703125" style="4" bestFit="1" customWidth="1"/>
    <col min="4" max="4" width="8.42578125" style="4" customWidth="1"/>
    <col min="5" max="5" width="9.5703125" style="4" customWidth="1"/>
    <col min="6" max="6" width="12.5703125" style="4" customWidth="1"/>
    <col min="7" max="7" width="30" style="4" bestFit="1" customWidth="1"/>
    <col min="8" max="8" width="11.85546875" style="4" bestFit="1" customWidth="1"/>
    <col min="9" max="9" width="11.85546875" style="4" customWidth="1"/>
    <col min="10" max="10" width="13" style="4" customWidth="1"/>
    <col min="11" max="11" width="10.28515625" style="4" customWidth="1"/>
    <col min="12" max="16" width="0" style="4" hidden="1" customWidth="1"/>
    <col min="17" max="16384" width="9.140625" style="4"/>
  </cols>
  <sheetData>
    <row r="1" spans="1:10" ht="18.75" customHeight="1" x14ac:dyDescent="0.2">
      <c r="A1" s="72"/>
      <c r="B1" s="73"/>
      <c r="C1" s="73"/>
      <c r="D1" s="73"/>
      <c r="E1" s="150" t="s">
        <v>11</v>
      </c>
      <c r="F1" s="151"/>
      <c r="G1" s="151"/>
      <c r="H1" s="151"/>
      <c r="I1" s="151"/>
      <c r="J1" s="152"/>
    </row>
    <row r="2" spans="1:10" ht="18.75" customHeight="1" x14ac:dyDescent="0.2">
      <c r="A2" s="74"/>
      <c r="B2" s="75"/>
      <c r="C2" s="75"/>
      <c r="D2" s="75"/>
      <c r="E2" s="153"/>
      <c r="F2" s="154"/>
      <c r="G2" s="154"/>
      <c r="H2" s="154"/>
      <c r="I2" s="154"/>
      <c r="J2" s="155"/>
    </row>
    <row r="3" spans="1:10" ht="18.75" customHeight="1" x14ac:dyDescent="0.2">
      <c r="A3" s="76"/>
      <c r="B3" s="77"/>
      <c r="C3" s="77"/>
      <c r="D3" s="77"/>
      <c r="E3" s="156"/>
      <c r="F3" s="157"/>
      <c r="G3" s="157"/>
      <c r="H3" s="157"/>
      <c r="I3" s="157"/>
      <c r="J3" s="158"/>
    </row>
    <row r="4" spans="1:10" x14ac:dyDescent="0.2">
      <c r="A4" s="36"/>
      <c r="B4" s="33"/>
      <c r="C4" s="33"/>
      <c r="D4" s="33"/>
      <c r="E4" s="33"/>
      <c r="F4" s="33"/>
      <c r="G4" s="33"/>
      <c r="H4" s="33"/>
      <c r="I4" s="33"/>
      <c r="J4" s="30"/>
    </row>
    <row r="5" spans="1:10" x14ac:dyDescent="0.2">
      <c r="A5" s="51"/>
      <c r="B5" s="45" t="s">
        <v>12</v>
      </c>
      <c r="C5" s="46"/>
      <c r="D5" s="47"/>
      <c r="E5" s="165"/>
      <c r="F5" s="166"/>
      <c r="G5" s="166"/>
      <c r="H5" s="166"/>
      <c r="I5" s="38"/>
      <c r="J5" s="44"/>
    </row>
    <row r="6" spans="1:10" x14ac:dyDescent="0.2">
      <c r="A6" s="52"/>
      <c r="B6" s="45" t="s">
        <v>13</v>
      </c>
      <c r="C6" s="46"/>
      <c r="D6" s="47"/>
      <c r="E6" s="165"/>
      <c r="F6" s="166"/>
      <c r="G6" s="166"/>
      <c r="H6" s="166"/>
      <c r="I6" s="38"/>
      <c r="J6" s="44"/>
    </row>
    <row r="7" spans="1:10" x14ac:dyDescent="0.2">
      <c r="A7" s="52"/>
      <c r="B7" s="45" t="s">
        <v>14</v>
      </c>
      <c r="C7" s="46"/>
      <c r="D7" s="47"/>
      <c r="E7" s="165"/>
      <c r="F7" s="166"/>
      <c r="G7" s="166"/>
      <c r="H7" s="166"/>
      <c r="I7" s="38"/>
      <c r="J7" s="44"/>
    </row>
    <row r="8" spans="1:10" ht="15.75" x14ac:dyDescent="0.25">
      <c r="A8" s="53"/>
      <c r="B8" s="54"/>
      <c r="C8" s="54"/>
      <c r="D8" s="38"/>
      <c r="E8" s="38"/>
      <c r="F8" s="38"/>
      <c r="G8" s="38"/>
      <c r="H8" s="38"/>
      <c r="I8" s="38"/>
      <c r="J8" s="44"/>
    </row>
    <row r="9" spans="1:10" ht="18.75" x14ac:dyDescent="0.3">
      <c r="A9" s="53"/>
      <c r="B9" s="168" t="s">
        <v>15</v>
      </c>
      <c r="C9" s="169"/>
      <c r="D9" s="169"/>
      <c r="E9" s="55"/>
      <c r="F9" s="38"/>
      <c r="G9" s="56" t="s">
        <v>16</v>
      </c>
      <c r="H9" s="57"/>
      <c r="I9" s="38"/>
      <c r="J9" s="44"/>
    </row>
    <row r="10" spans="1:10" x14ac:dyDescent="0.2">
      <c r="A10" s="53"/>
      <c r="B10" s="146" t="s">
        <v>17</v>
      </c>
      <c r="C10" s="146"/>
      <c r="D10" s="146"/>
      <c r="E10" s="78" t="s">
        <v>18</v>
      </c>
      <c r="F10" s="38"/>
      <c r="G10" s="38"/>
      <c r="H10" s="38"/>
      <c r="I10" s="38"/>
      <c r="J10" s="44"/>
    </row>
    <row r="11" spans="1:10" x14ac:dyDescent="0.2">
      <c r="A11" s="53"/>
      <c r="B11" s="146" t="s">
        <v>19</v>
      </c>
      <c r="C11" s="146"/>
      <c r="D11" s="146"/>
      <c r="E11" s="78">
        <v>1489</v>
      </c>
      <c r="F11" s="38" t="s">
        <v>20</v>
      </c>
      <c r="G11" s="38"/>
      <c r="H11" s="38"/>
      <c r="I11" s="38"/>
      <c r="J11" s="44"/>
    </row>
    <row r="12" spans="1:10" x14ac:dyDescent="0.2">
      <c r="A12" s="53"/>
      <c r="B12" s="147" t="s">
        <v>21</v>
      </c>
      <c r="C12" s="148"/>
      <c r="D12" s="149"/>
      <c r="E12" s="78">
        <v>875.5</v>
      </c>
      <c r="F12" s="38" t="str">
        <f>+IF(E10='Support data'!Z3,"m3/h","GPM")</f>
        <v>m3/h</v>
      </c>
      <c r="G12" s="38"/>
      <c r="H12" s="38"/>
      <c r="I12" s="38"/>
      <c r="J12" s="44"/>
    </row>
    <row r="13" spans="1:10" x14ac:dyDescent="0.2">
      <c r="A13" s="53"/>
      <c r="B13" s="147" t="s">
        <v>22</v>
      </c>
      <c r="C13" s="148"/>
      <c r="D13" s="149"/>
      <c r="E13" s="78">
        <v>310</v>
      </c>
      <c r="F13" s="38" t="str">
        <f>+IF(E10='Support data'!Z3,"m","ft")</f>
        <v>m</v>
      </c>
      <c r="G13" s="38"/>
      <c r="H13" s="38"/>
      <c r="I13" s="38"/>
      <c r="J13" s="44"/>
    </row>
    <row r="14" spans="1:10" x14ac:dyDescent="0.2">
      <c r="A14" s="53"/>
      <c r="B14" s="146" t="s">
        <v>23</v>
      </c>
      <c r="C14" s="146"/>
      <c r="D14" s="146"/>
      <c r="E14" s="79">
        <v>100.5</v>
      </c>
      <c r="F14" s="38" t="str">
        <f>+IF(E10='Support data'!Z3,"m","ft")</f>
        <v>m</v>
      </c>
      <c r="G14" s="38"/>
      <c r="H14" s="38"/>
      <c r="I14" s="38"/>
      <c r="J14" s="44"/>
    </row>
    <row r="15" spans="1:10" x14ac:dyDescent="0.2">
      <c r="A15" s="53"/>
      <c r="B15" s="147" t="s">
        <v>24</v>
      </c>
      <c r="C15" s="148"/>
      <c r="D15" s="149"/>
      <c r="E15" s="79">
        <v>823.7</v>
      </c>
      <c r="F15" s="38" t="str">
        <f>+IF(E10='Support data'!Z3,"m3/h","GPM")</f>
        <v>m3/h</v>
      </c>
      <c r="G15" s="38"/>
      <c r="H15" s="38"/>
      <c r="I15" s="38"/>
      <c r="J15" s="44"/>
    </row>
    <row r="16" spans="1:10" x14ac:dyDescent="0.2">
      <c r="A16" s="53"/>
      <c r="B16" s="146" t="s">
        <v>25</v>
      </c>
      <c r="C16" s="146"/>
      <c r="D16" s="146"/>
      <c r="E16" s="79">
        <v>90</v>
      </c>
      <c r="F16" s="38" t="s">
        <v>26</v>
      </c>
      <c r="G16" s="58" t="s">
        <v>27</v>
      </c>
      <c r="H16" s="58"/>
      <c r="I16" s="38"/>
      <c r="J16" s="44"/>
    </row>
    <row r="17" spans="1:10" x14ac:dyDescent="0.2">
      <c r="A17" s="53"/>
      <c r="B17" s="146" t="s">
        <v>28</v>
      </c>
      <c r="C17" s="146"/>
      <c r="D17" s="146"/>
      <c r="E17" s="79">
        <v>15</v>
      </c>
      <c r="F17" s="38"/>
      <c r="G17" s="42" t="s">
        <v>29</v>
      </c>
      <c r="H17" s="42"/>
      <c r="I17" s="38"/>
      <c r="J17" s="44"/>
    </row>
    <row r="18" spans="1:10" x14ac:dyDescent="0.2">
      <c r="A18" s="53"/>
      <c r="B18" s="38"/>
      <c r="C18" s="38"/>
      <c r="D18" s="38"/>
      <c r="E18" s="38"/>
      <c r="F18" s="38"/>
      <c r="G18" s="59" t="s">
        <v>30</v>
      </c>
      <c r="H18" s="42" t="s">
        <v>31</v>
      </c>
      <c r="I18" s="38"/>
      <c r="J18" s="44"/>
    </row>
    <row r="19" spans="1:10" x14ac:dyDescent="0.2">
      <c r="A19" s="53"/>
      <c r="B19" s="167" t="s">
        <v>32</v>
      </c>
      <c r="C19" s="167"/>
      <c r="D19" s="167"/>
      <c r="E19" s="79">
        <v>14000</v>
      </c>
      <c r="F19" s="60"/>
      <c r="G19" s="79" t="s">
        <v>33</v>
      </c>
      <c r="H19" s="87">
        <f>+_xlfn.XLOOKUP(G19,'Support data'!K74:K79,'Support data'!N74:N79,)</f>
        <v>200</v>
      </c>
      <c r="I19" s="38"/>
      <c r="J19" s="44"/>
    </row>
    <row r="20" spans="1:10" x14ac:dyDescent="0.2">
      <c r="A20" s="53"/>
      <c r="B20" s="61" t="s">
        <v>34</v>
      </c>
      <c r="C20" s="61"/>
      <c r="D20" s="61"/>
      <c r="E20" s="79">
        <v>217</v>
      </c>
      <c r="F20" s="38" t="str">
        <f>+IF(E10='Support data'!Z3,"mm","in")</f>
        <v>mm</v>
      </c>
      <c r="G20" s="42" t="s">
        <v>35</v>
      </c>
      <c r="H20" s="42"/>
      <c r="I20" s="38"/>
      <c r="J20" s="44"/>
    </row>
    <row r="21" spans="1:10" x14ac:dyDescent="0.2">
      <c r="A21" s="53"/>
      <c r="B21" s="61" t="s">
        <v>36</v>
      </c>
      <c r="C21" s="61"/>
      <c r="D21" s="61"/>
      <c r="E21" s="79">
        <v>150</v>
      </c>
      <c r="F21" s="38" t="str">
        <f>+IF(E10='Support data'!Z3,"mm","in")</f>
        <v>mm</v>
      </c>
      <c r="G21" s="62" t="str">
        <f>+CONCATENATE("Temp ",)</f>
        <v xml:space="preserve">Temp </v>
      </c>
      <c r="H21" s="42" t="s">
        <v>31</v>
      </c>
      <c r="I21" s="38"/>
      <c r="J21" s="44"/>
    </row>
    <row r="22" spans="1:10" x14ac:dyDescent="0.2">
      <c r="A22" s="53"/>
      <c r="B22" s="61" t="s">
        <v>37</v>
      </c>
      <c r="C22" s="61"/>
      <c r="D22" s="61"/>
      <c r="E22" s="79">
        <v>62</v>
      </c>
      <c r="F22" s="38" t="str">
        <f>+IF(E10='Support data'!Z3,"mm","in")</f>
        <v>mm</v>
      </c>
      <c r="G22" s="79">
        <v>50</v>
      </c>
      <c r="H22" s="86">
        <f>+IF(E10='Support data'!$Z$4,880473262705.021*G22^(-3.76267),4136663765.06455*G22^(-3.219941972))</f>
        <v>13997.980881580728</v>
      </c>
      <c r="I22" s="38"/>
      <c r="J22" s="44"/>
    </row>
    <row r="23" spans="1:10" x14ac:dyDescent="0.2">
      <c r="A23" s="53"/>
      <c r="B23" s="61" t="s">
        <v>38</v>
      </c>
      <c r="C23" s="61"/>
      <c r="D23" s="61"/>
      <c r="E23" s="79">
        <v>13</v>
      </c>
      <c r="F23" s="38" t="s">
        <v>39</v>
      </c>
      <c r="G23" s="38"/>
      <c r="H23" s="38"/>
      <c r="I23" s="38"/>
      <c r="J23" s="44"/>
    </row>
    <row r="24" spans="1:10" x14ac:dyDescent="0.2">
      <c r="A24" s="53"/>
      <c r="B24" s="61" t="s">
        <v>40</v>
      </c>
      <c r="C24" s="61"/>
      <c r="D24" s="61"/>
      <c r="E24" s="79">
        <v>21</v>
      </c>
      <c r="F24" s="38" t="s">
        <v>39</v>
      </c>
      <c r="G24" s="38"/>
      <c r="H24" s="38"/>
      <c r="I24" s="38"/>
      <c r="J24" s="38"/>
    </row>
    <row r="25" spans="1:10" x14ac:dyDescent="0.2">
      <c r="A25" s="53"/>
      <c r="B25" s="61" t="s">
        <v>41</v>
      </c>
      <c r="C25" s="61"/>
      <c r="D25" s="61"/>
      <c r="E25" s="79">
        <v>7</v>
      </c>
      <c r="F25" s="38" t="str">
        <f>+IF(E10='Support data'!Z3,"mm","in")</f>
        <v>mm</v>
      </c>
      <c r="G25" s="38"/>
      <c r="H25" s="38"/>
      <c r="I25" s="38"/>
      <c r="J25" s="44"/>
    </row>
    <row r="26" spans="1:10" x14ac:dyDescent="0.2">
      <c r="A26" s="53"/>
      <c r="B26" s="61" t="s">
        <v>42</v>
      </c>
      <c r="C26" s="61"/>
      <c r="D26" s="61"/>
      <c r="E26" s="79">
        <v>20</v>
      </c>
      <c r="F26" s="38" t="str">
        <f>+IF(E10='Support data'!Z3,"mm","in")</f>
        <v>mm</v>
      </c>
      <c r="G26" s="38"/>
      <c r="H26" s="38"/>
      <c r="I26" s="38"/>
      <c r="J26" s="44"/>
    </row>
    <row r="27" spans="1:10" x14ac:dyDescent="0.2">
      <c r="A27" s="53"/>
      <c r="B27" s="38"/>
      <c r="C27" s="38"/>
      <c r="D27" s="38"/>
      <c r="E27" s="38"/>
      <c r="F27" s="38"/>
      <c r="G27" s="38"/>
      <c r="H27" s="38"/>
      <c r="I27" s="38"/>
      <c r="J27" s="44"/>
    </row>
    <row r="28" spans="1:10" ht="22.5" customHeight="1" x14ac:dyDescent="0.2">
      <c r="A28" s="67"/>
      <c r="B28" s="28"/>
      <c r="C28" s="28"/>
      <c r="D28" s="28"/>
      <c r="E28" s="28"/>
      <c r="F28" s="68"/>
      <c r="G28" s="68"/>
      <c r="H28" s="68"/>
      <c r="I28" s="68"/>
      <c r="J28" s="69"/>
    </row>
    <row r="29" spans="1:10" ht="22.5" customHeight="1" x14ac:dyDescent="0.2">
      <c r="A29" s="29"/>
      <c r="B29" s="33"/>
      <c r="C29" s="33"/>
      <c r="D29" s="33"/>
      <c r="E29" s="33"/>
      <c r="F29" s="34"/>
      <c r="G29" s="34"/>
      <c r="H29" s="106" t="s">
        <v>43</v>
      </c>
      <c r="I29" s="106" t="s">
        <v>44</v>
      </c>
      <c r="J29" s="35"/>
    </row>
    <row r="30" spans="1:10" ht="22.5" customHeight="1" x14ac:dyDescent="0.2">
      <c r="A30" s="29"/>
      <c r="B30" s="33"/>
      <c r="C30" s="33"/>
      <c r="D30" s="33"/>
      <c r="E30" s="33"/>
      <c r="F30" s="34"/>
      <c r="G30" s="34"/>
      <c r="H30" s="106" t="str">
        <f>+IF(E10='Support data'!Z3,"m3/h","GPM")</f>
        <v>m3/h</v>
      </c>
      <c r="I30" s="106" t="str">
        <f>+IF(E10='Support data'!Z3,"m","ft")</f>
        <v>m</v>
      </c>
      <c r="J30" s="35"/>
    </row>
    <row r="31" spans="1:10" ht="22.5" customHeight="1" x14ac:dyDescent="0.2">
      <c r="A31" s="29"/>
      <c r="B31" s="33"/>
      <c r="C31" s="33"/>
      <c r="D31" s="33"/>
      <c r="E31" s="33"/>
      <c r="F31" s="34"/>
      <c r="G31" s="34"/>
      <c r="H31" s="105">
        <v>400</v>
      </c>
      <c r="I31" s="105">
        <v>2.7</v>
      </c>
      <c r="J31" s="35"/>
    </row>
    <row r="32" spans="1:10" ht="22.5" customHeight="1" x14ac:dyDescent="0.2">
      <c r="A32" s="29"/>
      <c r="B32" s="33"/>
      <c r="C32" s="33"/>
      <c r="D32" s="33"/>
      <c r="E32" s="33"/>
      <c r="F32" s="34"/>
      <c r="G32" s="34"/>
      <c r="H32" s="105">
        <v>500</v>
      </c>
      <c r="I32" s="105">
        <v>2.8</v>
      </c>
      <c r="J32" s="35"/>
    </row>
    <row r="33" spans="1:18" ht="22.5" customHeight="1" x14ac:dyDescent="0.2">
      <c r="A33" s="29"/>
      <c r="B33" s="33"/>
      <c r="C33" s="33"/>
      <c r="D33" s="33"/>
      <c r="E33" s="33"/>
      <c r="F33" s="34"/>
      <c r="G33" s="34"/>
      <c r="H33" s="105">
        <v>600</v>
      </c>
      <c r="I33" s="105">
        <v>2.9</v>
      </c>
      <c r="J33" s="35"/>
    </row>
    <row r="34" spans="1:18" ht="22.5" customHeight="1" x14ac:dyDescent="0.2">
      <c r="A34" s="29"/>
      <c r="B34" s="33"/>
      <c r="C34" s="33"/>
      <c r="D34" s="33"/>
      <c r="E34" s="33"/>
      <c r="F34" s="34"/>
      <c r="G34" s="34"/>
      <c r="H34" s="105">
        <v>800</v>
      </c>
      <c r="I34" s="105">
        <v>3.3</v>
      </c>
      <c r="J34" s="35"/>
    </row>
    <row r="35" spans="1:18" ht="22.5" customHeight="1" x14ac:dyDescent="0.2">
      <c r="A35" s="29"/>
      <c r="B35" s="33"/>
      <c r="C35" s="33"/>
      <c r="D35" s="33"/>
      <c r="E35" s="33"/>
      <c r="F35" s="34"/>
      <c r="G35" s="34"/>
      <c r="H35" s="105">
        <v>1000</v>
      </c>
      <c r="I35" s="105">
        <v>4.7</v>
      </c>
      <c r="J35" s="35"/>
    </row>
    <row r="36" spans="1:18" ht="22.5" customHeight="1" x14ac:dyDescent="0.2">
      <c r="A36" s="29"/>
      <c r="B36" s="33"/>
      <c r="C36" s="33"/>
      <c r="D36" s="33"/>
      <c r="E36" s="33"/>
      <c r="F36" s="34"/>
      <c r="G36" s="34"/>
      <c r="H36" s="34"/>
      <c r="I36" s="34"/>
      <c r="J36" s="35"/>
    </row>
    <row r="37" spans="1:18" ht="22.5" customHeight="1" x14ac:dyDescent="0.2">
      <c r="A37" s="29"/>
      <c r="B37" s="33"/>
      <c r="C37" s="33"/>
      <c r="D37" s="33"/>
      <c r="E37" s="33"/>
      <c r="F37" s="34"/>
      <c r="G37" s="34"/>
      <c r="H37" s="34"/>
      <c r="I37" s="34"/>
      <c r="J37" s="35"/>
    </row>
    <row r="38" spans="1:18" ht="22.5" customHeight="1" x14ac:dyDescent="0.2">
      <c r="A38" s="29"/>
      <c r="B38" s="33"/>
      <c r="C38" s="33"/>
      <c r="D38" s="33"/>
      <c r="E38" s="33"/>
      <c r="F38" s="34"/>
      <c r="G38" s="34"/>
      <c r="H38" s="34"/>
      <c r="I38" s="34"/>
      <c r="J38" s="35"/>
      <c r="R38" s="71"/>
    </row>
    <row r="39" spans="1:18" ht="22.5" customHeight="1" x14ac:dyDescent="0.2">
      <c r="A39" s="29"/>
      <c r="B39" s="33"/>
      <c r="C39" s="33"/>
      <c r="D39" s="33"/>
      <c r="E39" s="33"/>
      <c r="F39" s="34"/>
      <c r="G39" s="34"/>
      <c r="H39" s="34"/>
      <c r="I39" s="34"/>
      <c r="J39" s="35"/>
    </row>
    <row r="40" spans="1:18" ht="22.5" customHeight="1" x14ac:dyDescent="0.2">
      <c r="A40" s="29"/>
      <c r="B40" s="33"/>
      <c r="C40" s="33"/>
      <c r="D40" s="33"/>
      <c r="E40" s="33"/>
      <c r="F40" s="34"/>
      <c r="G40" s="34"/>
      <c r="H40" s="34"/>
      <c r="I40" s="34"/>
      <c r="J40" s="35"/>
    </row>
    <row r="41" spans="1:18" ht="22.5" customHeight="1" x14ac:dyDescent="0.2">
      <c r="A41" s="29"/>
      <c r="B41" s="33"/>
      <c r="C41" s="33"/>
      <c r="D41" s="33"/>
      <c r="E41" s="33"/>
      <c r="F41" s="34"/>
      <c r="G41" s="34"/>
      <c r="H41" s="34"/>
      <c r="I41" s="34"/>
      <c r="J41" s="35"/>
    </row>
    <row r="42" spans="1:18" ht="22.5" customHeight="1" x14ac:dyDescent="0.2">
      <c r="A42" s="70"/>
      <c r="B42" s="26"/>
      <c r="C42" s="26"/>
      <c r="D42" s="26"/>
      <c r="E42" s="26"/>
      <c r="F42" s="31"/>
      <c r="G42" s="31"/>
      <c r="H42" s="31"/>
      <c r="I42" s="31"/>
      <c r="J42" s="32"/>
    </row>
    <row r="43" spans="1:18" ht="18.75" x14ac:dyDescent="0.3">
      <c r="A43" s="162" t="s">
        <v>45</v>
      </c>
      <c r="B43" s="163"/>
      <c r="C43" s="163"/>
      <c r="D43" s="163"/>
      <c r="E43" s="163"/>
      <c r="F43" s="163"/>
      <c r="G43" s="163"/>
      <c r="H43" s="163"/>
      <c r="I43" s="163"/>
      <c r="J43" s="164"/>
    </row>
    <row r="44" spans="1:18" x14ac:dyDescent="0.2">
      <c r="A44" s="146" t="s">
        <v>46</v>
      </c>
      <c r="B44" s="146"/>
      <c r="C44" s="80">
        <f>+IF(E10='Support data'!AB4,'Support data'!P5/51.6,'Support data'!P5)</f>
        <v>15.880841717541543</v>
      </c>
      <c r="D44" s="38" t="str">
        <f>+IF(E10='Support data'!Z3,"Nq","Ns")</f>
        <v>Nq</v>
      </c>
      <c r="E44" s="38"/>
      <c r="F44" s="38"/>
      <c r="G44" s="38"/>
      <c r="H44" s="38"/>
      <c r="I44" s="38"/>
      <c r="J44" s="39"/>
    </row>
    <row r="45" spans="1:18" x14ac:dyDescent="0.2">
      <c r="A45" s="146" t="s">
        <v>47</v>
      </c>
      <c r="B45" s="146"/>
      <c r="C45" s="80">
        <f>+IF(E10='Support data'!AB4,'Support data'!Q4*0.3048,'Support data'!Q4)</f>
        <v>16.918089445360842</v>
      </c>
      <c r="D45" s="38" t="str">
        <f>+IF($E$10='Support data'!$Z$3,"m/s","in/s")</f>
        <v>m/s</v>
      </c>
      <c r="E45" s="38"/>
      <c r="F45" s="40"/>
      <c r="G45" s="41" t="s">
        <v>48</v>
      </c>
      <c r="H45" s="41" t="s">
        <v>49</v>
      </c>
      <c r="I45" s="103"/>
      <c r="J45" s="39"/>
      <c r="K45" s="63"/>
    </row>
    <row r="46" spans="1:18" x14ac:dyDescent="0.2">
      <c r="A46" s="146" t="s">
        <v>50</v>
      </c>
      <c r="B46" s="146"/>
      <c r="C46" s="80">
        <f>+IF(E10='Support data'!AB4,'Support data'!R4*0.3048,'Support data'!R4)</f>
        <v>11.694110869841886</v>
      </c>
      <c r="D46" s="38" t="str">
        <f>+IF($E$10='Support data'!$Z$3,"m/s","in/s")</f>
        <v>m/s</v>
      </c>
      <c r="E46" s="38"/>
      <c r="F46" s="38"/>
      <c r="G46" s="42" t="str">
        <f>+IF(E10='Support data'!Z3,"m3/h","GPM")</f>
        <v>m3/h</v>
      </c>
      <c r="H46" s="42" t="str">
        <f>+IF(E10='Support data'!Z3,"m","ft")</f>
        <v>m</v>
      </c>
      <c r="I46" s="103"/>
      <c r="J46" s="39"/>
    </row>
    <row r="47" spans="1:18" ht="13.5" thickBot="1" x14ac:dyDescent="0.25">
      <c r="A47" s="146" t="s">
        <v>51</v>
      </c>
      <c r="B47" s="146"/>
      <c r="C47" s="81">
        <f>+IF(E10='Support data'!AB4,'Support data'!S4*(25.4/1000)^2,'Support data'!S4)</f>
        <v>3.5741899619891077E-2</v>
      </c>
      <c r="D47" s="38" t="str">
        <f>+IF(E10='Support data'!Z3,"m2","in2")</f>
        <v>m2</v>
      </c>
      <c r="E47" s="38"/>
      <c r="F47" s="43" t="s">
        <v>52</v>
      </c>
      <c r="G47" s="84">
        <f>+C50*E16/100</f>
        <v>903.65775862769249</v>
      </c>
      <c r="H47" s="84">
        <f>+(C53+C54)/(IF(E10='Support data'!Z3,19.62,64.4))*C45^2*((TAN(RADIANS(E23)))^2+C54/(C53+C54))*C51*C52</f>
        <v>5.6141956637991299</v>
      </c>
      <c r="I47" s="104"/>
      <c r="J47" s="39"/>
    </row>
    <row r="48" spans="1:18" ht="13.5" thickBot="1" x14ac:dyDescent="0.25">
      <c r="A48" s="37" t="s">
        <v>53</v>
      </c>
      <c r="B48" s="37"/>
      <c r="C48" s="80">
        <f>+IF(E10='Support data'!AB4,'Support data'!T6*0.3048,'Support data'!T6)</f>
        <v>3.9058487075509385</v>
      </c>
      <c r="D48" s="38" t="str">
        <f>+IF(E10='Support data'!Z3,"m/s","in/s")</f>
        <v>m/s</v>
      </c>
      <c r="E48" s="38"/>
      <c r="F48" s="43" t="s">
        <v>54</v>
      </c>
      <c r="G48" s="84">
        <f>+E15</f>
        <v>823.7</v>
      </c>
      <c r="H48" s="84">
        <f>+IF(Input_Output!$E$10='Support data'!$Z$3,'Support data'!AH94,'Support data'!AI94)</f>
        <v>4.929369348563883</v>
      </c>
      <c r="I48" s="104"/>
      <c r="J48" s="39"/>
      <c r="L48" s="6"/>
      <c r="O48" s="6"/>
    </row>
    <row r="49" spans="1:16" x14ac:dyDescent="0.2">
      <c r="A49" s="37" t="s">
        <v>55</v>
      </c>
      <c r="B49" s="37"/>
      <c r="C49" s="82">
        <f>+IF(E10='Support data'!AB4,'Support data'!U6*0.3048,'Support data'!U6)</f>
        <v>4.4889485846490222</v>
      </c>
      <c r="D49" s="38" t="str">
        <f>+IF(E10='Support data'!Z3,"m/s","in/s")</f>
        <v>m/s</v>
      </c>
      <c r="E49" s="38"/>
      <c r="F49" s="43" t="s">
        <v>56</v>
      </c>
      <c r="G49" s="85">
        <f>+E12</f>
        <v>875.5</v>
      </c>
      <c r="H49" s="84">
        <f>+IF(Input_Output!$E$10='Support data'!$Z$3,'Support data'!AH95,'Support data'!AI95)</f>
        <v>4.9986758314664348</v>
      </c>
      <c r="I49" s="104"/>
      <c r="J49" s="39"/>
    </row>
    <row r="50" spans="1:16" x14ac:dyDescent="0.2">
      <c r="A50" s="37" t="s">
        <v>57</v>
      </c>
      <c r="B50" s="37"/>
      <c r="C50" s="80">
        <f>+IF(E10='Support data'!AB4,'Support data'!B6*0.227,'Support data'!B6)</f>
        <v>1004.0641762529917</v>
      </c>
      <c r="D50" s="38" t="str">
        <f>+IF(E10='Support data'!Z3,"m3/h","GPM")</f>
        <v>m3/h</v>
      </c>
      <c r="E50" s="38"/>
      <c r="F50" s="38"/>
      <c r="G50" s="38"/>
      <c r="H50" s="38"/>
      <c r="I50" s="38"/>
      <c r="J50" s="38"/>
    </row>
    <row r="51" spans="1:16" x14ac:dyDescent="0.2">
      <c r="A51" s="37" t="s">
        <v>58</v>
      </c>
      <c r="B51" s="37"/>
      <c r="C51" s="83">
        <f>+'Support data'!AC27</f>
        <v>1.0782082793506484</v>
      </c>
      <c r="D51" s="38" t="s">
        <v>59</v>
      </c>
      <c r="E51" s="38"/>
      <c r="F51" s="38"/>
      <c r="G51" s="40"/>
      <c r="H51" s="38"/>
      <c r="I51" s="38"/>
      <c r="J51" s="39"/>
    </row>
    <row r="52" spans="1:16" x14ac:dyDescent="0.2">
      <c r="A52" s="37" t="s">
        <v>60</v>
      </c>
      <c r="B52" s="37"/>
      <c r="C52" s="83">
        <f>+'Support data'!N52</f>
        <v>1</v>
      </c>
      <c r="D52" s="38" t="s">
        <v>61</v>
      </c>
      <c r="E52" s="38"/>
      <c r="F52" s="38"/>
      <c r="G52" s="40"/>
      <c r="H52" s="38"/>
      <c r="I52" s="38"/>
      <c r="J52" s="39"/>
    </row>
    <row r="53" spans="1:16" x14ac:dyDescent="0.2">
      <c r="A53" s="37" t="s">
        <v>62</v>
      </c>
      <c r="B53" s="37"/>
      <c r="C53" s="83">
        <v>1.2</v>
      </c>
      <c r="D53" s="38" t="s">
        <v>63</v>
      </c>
      <c r="E53" s="38"/>
      <c r="F53" s="38"/>
      <c r="G53" s="40"/>
      <c r="H53" s="38"/>
      <c r="I53" s="38"/>
      <c r="J53" s="39"/>
    </row>
    <row r="54" spans="1:16" x14ac:dyDescent="0.2">
      <c r="A54" s="37" t="s">
        <v>64</v>
      </c>
      <c r="B54" s="37"/>
      <c r="C54" s="83">
        <f>+'Support data'!L25</f>
        <v>0.27814330249999997</v>
      </c>
      <c r="D54" s="38" t="s">
        <v>65</v>
      </c>
      <c r="E54" s="38"/>
      <c r="F54" s="38"/>
      <c r="G54" s="40"/>
      <c r="H54" s="40"/>
      <c r="I54" s="40"/>
      <c r="J54" s="39"/>
    </row>
    <row r="55" spans="1:16" x14ac:dyDescent="0.2">
      <c r="A55" s="38"/>
      <c r="B55" s="38"/>
      <c r="C55" s="38"/>
      <c r="D55" s="38"/>
      <c r="E55" s="38"/>
      <c r="F55" s="38"/>
      <c r="G55" s="40"/>
      <c r="H55" s="40"/>
      <c r="I55" s="40"/>
      <c r="J55" s="39"/>
    </row>
    <row r="56" spans="1:16" x14ac:dyDescent="0.2">
      <c r="A56" s="38"/>
      <c r="B56" s="38"/>
      <c r="C56" s="38"/>
      <c r="D56" s="38"/>
      <c r="E56" s="38"/>
      <c r="F56" s="40"/>
      <c r="G56" s="40"/>
      <c r="H56" s="40"/>
      <c r="I56" s="40"/>
      <c r="J56" s="39"/>
      <c r="L56" s="1"/>
      <c r="M56" s="7"/>
      <c r="O56" s="1"/>
      <c r="P56" s="7"/>
    </row>
    <row r="57" spans="1:16" x14ac:dyDescent="0.2">
      <c r="A57" s="38"/>
      <c r="B57" s="38"/>
      <c r="C57" s="38"/>
      <c r="D57" s="38"/>
      <c r="E57" s="38"/>
      <c r="F57" s="38"/>
      <c r="G57" s="38"/>
      <c r="H57" s="38"/>
      <c r="I57" s="38"/>
      <c r="J57" s="44"/>
      <c r="L57" s="3"/>
    </row>
    <row r="58" spans="1:16" x14ac:dyDescent="0.2">
      <c r="A58" s="45" t="s">
        <v>66</v>
      </c>
      <c r="B58" s="46"/>
      <c r="C58" s="46"/>
      <c r="D58" s="46"/>
      <c r="E58" s="46"/>
      <c r="F58" s="46"/>
      <c r="G58" s="46"/>
      <c r="H58" s="46"/>
      <c r="I58" s="46"/>
      <c r="J58" s="47"/>
    </row>
    <row r="59" spans="1:16" ht="41.25" customHeight="1" x14ac:dyDescent="0.2">
      <c r="A59" s="159" t="s">
        <v>67</v>
      </c>
      <c r="B59" s="160"/>
      <c r="C59" s="160"/>
      <c r="D59" s="160"/>
      <c r="E59" s="160"/>
      <c r="F59" s="160"/>
      <c r="G59" s="160"/>
      <c r="H59" s="160"/>
      <c r="I59" s="160"/>
      <c r="J59" s="161"/>
    </row>
    <row r="60" spans="1:16" ht="13.5" customHeight="1" x14ac:dyDescent="0.2">
      <c r="A60" s="5"/>
      <c r="B60" s="5"/>
      <c r="C60" s="5"/>
      <c r="D60" s="5"/>
      <c r="E60" s="5"/>
      <c r="F60" s="5"/>
      <c r="G60" s="5"/>
      <c r="H60" s="5"/>
      <c r="I60" s="5"/>
      <c r="J60" s="5"/>
    </row>
  </sheetData>
  <mergeCells count="20">
    <mergeCell ref="A45:B45"/>
    <mergeCell ref="A47:B47"/>
    <mergeCell ref="E1:J3"/>
    <mergeCell ref="A59:J59"/>
    <mergeCell ref="A46:B46"/>
    <mergeCell ref="A43:J43"/>
    <mergeCell ref="E5:H5"/>
    <mergeCell ref="E6:H6"/>
    <mergeCell ref="E7:H7"/>
    <mergeCell ref="B17:D17"/>
    <mergeCell ref="B12:D12"/>
    <mergeCell ref="B13:D13"/>
    <mergeCell ref="B19:D19"/>
    <mergeCell ref="B11:D11"/>
    <mergeCell ref="B9:D9"/>
    <mergeCell ref="B10:D10"/>
    <mergeCell ref="B14:D14"/>
    <mergeCell ref="B15:D15"/>
    <mergeCell ref="B16:D16"/>
    <mergeCell ref="A44:B44"/>
  </mergeCells>
  <pageMargins left="0.7" right="0.7" top="0.75" bottom="0.75" header="0.3" footer="0.3"/>
  <pageSetup scale="73" orientation="portrait" r:id="rId1"/>
  <headerFooter alignWithMargins="0">
    <oddFooter>&amp;L&amp;F&amp;R&amp;D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7</xdr:col>
                    <xdr:colOff>47625</xdr:colOff>
                    <xdr:row>7</xdr:row>
                    <xdr:rowOff>180975</xdr:rowOff>
                  </from>
                  <to>
                    <xdr:col>7</xdr:col>
                    <xdr:colOff>285750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19A0C80E-E12F-487F-A557-7D1F51561A2E}">
          <x14:formula1>
            <xm:f>'Support data'!$K$74:$K$79</xm:f>
          </x14:formula1>
          <xm:sqref>G19</xm:sqref>
        </x14:dataValidation>
        <x14:dataValidation type="list" allowBlank="1" showInputMessage="1" showErrorMessage="1" xr:uid="{CA2B8D3C-CC52-4653-9A83-BC14AC1202F9}">
          <x14:formula1>
            <xm:f>'Support data'!$Z$3:$Z$4</xm:f>
          </x14:formula1>
          <xm:sqref>E10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A1:AQ141"/>
  <sheetViews>
    <sheetView topLeftCell="H1" zoomScale="60" zoomScaleNormal="60" workbookViewId="0">
      <selection activeCell="L84" sqref="L84"/>
    </sheetView>
  </sheetViews>
  <sheetFormatPr defaultRowHeight="12.75" x14ac:dyDescent="0.2"/>
  <cols>
    <col min="1" max="1" width="12.42578125" customWidth="1"/>
    <col min="6" max="6" width="12.42578125" bestFit="1" customWidth="1"/>
    <col min="11" max="11" width="14.28515625" customWidth="1"/>
    <col min="12" max="12" width="10.5703125" bestFit="1" customWidth="1"/>
    <col min="13" max="13" width="18.28515625" customWidth="1"/>
    <col min="26" max="26" width="11" bestFit="1" customWidth="1"/>
    <col min="27" max="27" width="11.42578125" bestFit="1" customWidth="1"/>
    <col min="28" max="29" width="12.5703125" bestFit="1" customWidth="1"/>
    <col min="30" max="30" width="12.140625" bestFit="1" customWidth="1"/>
    <col min="31" max="31" width="10.85546875" customWidth="1"/>
    <col min="32" max="34" width="11" bestFit="1" customWidth="1"/>
  </cols>
  <sheetData>
    <row r="1" spans="1:31" x14ac:dyDescent="0.2">
      <c r="A1" s="13"/>
      <c r="B1" s="12" t="s">
        <v>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Z1" s="9" t="s">
        <v>69</v>
      </c>
      <c r="AB1" s="9" t="s">
        <v>70</v>
      </c>
      <c r="AC1" s="9"/>
      <c r="AD1" s="9"/>
      <c r="AE1" s="9"/>
    </row>
    <row r="2" spans="1:31" x14ac:dyDescent="0.2">
      <c r="A2" s="9"/>
      <c r="B2" s="48" t="s">
        <v>71</v>
      </c>
      <c r="C2" s="48" t="s">
        <v>72</v>
      </c>
      <c r="D2" s="48" t="s">
        <v>73</v>
      </c>
      <c r="E2" s="48" t="s">
        <v>74</v>
      </c>
      <c r="F2" s="48" t="s">
        <v>75</v>
      </c>
      <c r="G2" s="48" t="s">
        <v>44</v>
      </c>
      <c r="H2" s="48" t="s">
        <v>76</v>
      </c>
      <c r="I2" s="48" t="s">
        <v>77</v>
      </c>
      <c r="J2" s="48" t="s">
        <v>37</v>
      </c>
      <c r="K2" s="9" t="s">
        <v>78</v>
      </c>
      <c r="L2" s="9" t="s">
        <v>79</v>
      </c>
      <c r="M2" s="48" t="s">
        <v>80</v>
      </c>
      <c r="N2" s="48" t="s">
        <v>81</v>
      </c>
      <c r="O2" s="48" t="s">
        <v>82</v>
      </c>
      <c r="P2" s="48" t="s">
        <v>83</v>
      </c>
      <c r="Q2" s="48" t="s">
        <v>84</v>
      </c>
      <c r="R2" s="48" t="s">
        <v>85</v>
      </c>
      <c r="S2" s="48" t="s">
        <v>86</v>
      </c>
      <c r="T2" s="48" t="s">
        <v>87</v>
      </c>
      <c r="U2" s="48" t="s">
        <v>88</v>
      </c>
      <c r="W2" s="9"/>
      <c r="X2" s="9" t="b">
        <v>1</v>
      </c>
      <c r="Z2" s="9" t="s">
        <v>89</v>
      </c>
      <c r="AB2" s="9"/>
      <c r="AC2" s="9" t="s">
        <v>43</v>
      </c>
      <c r="AD2" s="9" t="s">
        <v>90</v>
      </c>
      <c r="AE2" s="9" t="s">
        <v>91</v>
      </c>
    </row>
    <row r="3" spans="1:31" x14ac:dyDescent="0.2">
      <c r="A3" s="9"/>
      <c r="B3" s="48" t="s">
        <v>92</v>
      </c>
      <c r="C3" s="48" t="s">
        <v>93</v>
      </c>
      <c r="D3" s="48" t="s">
        <v>94</v>
      </c>
      <c r="E3" s="48" t="s">
        <v>26</v>
      </c>
      <c r="F3" s="48" t="s">
        <v>95</v>
      </c>
      <c r="G3" s="48" t="s">
        <v>93</v>
      </c>
      <c r="H3" s="48" t="s">
        <v>96</v>
      </c>
      <c r="I3" s="48" t="s">
        <v>96</v>
      </c>
      <c r="J3" s="48" t="s">
        <v>96</v>
      </c>
      <c r="K3" s="48" t="s">
        <v>39</v>
      </c>
      <c r="L3" s="9"/>
      <c r="M3" s="48" t="s">
        <v>96</v>
      </c>
      <c r="N3" s="48" t="s">
        <v>96</v>
      </c>
      <c r="O3" s="48"/>
      <c r="P3" s="9"/>
      <c r="Q3" s="48" t="s">
        <v>97</v>
      </c>
      <c r="R3" s="48" t="s">
        <v>97</v>
      </c>
      <c r="S3" s="48" t="s">
        <v>98</v>
      </c>
      <c r="T3" s="48" t="s">
        <v>97</v>
      </c>
      <c r="U3" s="48" t="s">
        <v>97</v>
      </c>
      <c r="W3" s="48" t="s">
        <v>99</v>
      </c>
      <c r="X3" s="25">
        <f>+IF(X2=TRUE,2,1)</f>
        <v>2</v>
      </c>
      <c r="Z3" s="48" t="s">
        <v>18</v>
      </c>
      <c r="AB3" s="9" t="s">
        <v>100</v>
      </c>
      <c r="AC3" s="9">
        <v>1</v>
      </c>
      <c r="AD3" s="9">
        <v>1</v>
      </c>
      <c r="AE3" s="9">
        <v>1</v>
      </c>
    </row>
    <row r="4" spans="1:31" x14ac:dyDescent="0.2">
      <c r="A4" s="48" t="s">
        <v>101</v>
      </c>
      <c r="B4" s="9">
        <f>+IF(Input_Output!E10=$AB$4,Input_Output!E12/0.22712,Input_Output!E12)</f>
        <v>3854.7904191616767</v>
      </c>
      <c r="C4" s="9">
        <f>+IF(Input_Output!E10=AB4,Input_Output!E13/0.3048,Input_Output!E13)</f>
        <v>1017.0603674540682</v>
      </c>
      <c r="D4" s="49">
        <f>+Input_Output!E11</f>
        <v>1489</v>
      </c>
      <c r="E4" s="9"/>
      <c r="F4" s="9" t="e">
        <f>+IF(Input_Output!E10=AB4,Input_Output!#REF!/16018000000,Input_Output!#REF!)</f>
        <v>#REF!</v>
      </c>
      <c r="G4" s="9"/>
      <c r="H4" s="9">
        <f>+IF(Input_Output!E10=AB4,Input_Output!E20/25.4,Input_Output!E20)</f>
        <v>8.543307086614174</v>
      </c>
      <c r="I4" s="9">
        <f>+IF(Input_Output!E10=AB4,Input_Output!E21/25.4,Input_Output!E21)</f>
        <v>5.9055118110236222</v>
      </c>
      <c r="J4" s="9">
        <f>+IF(Input_Output!E10=AB4,Input_Output!E22/25.4,Input_Output!E22)</f>
        <v>2.4409448818897639</v>
      </c>
      <c r="K4" s="9">
        <f>+Input_Output!E23</f>
        <v>13</v>
      </c>
      <c r="L4" s="9">
        <f>+Input_Output!E24</f>
        <v>21</v>
      </c>
      <c r="M4" s="50">
        <f>+IF(Input_Output!E10=AB4,Input_Output!E25/25.4,Input_Output!E25)</f>
        <v>0.27559055118110237</v>
      </c>
      <c r="N4" s="50">
        <f>+IF(Input_Output!E10=AB4,Input_Output!E26/25.4,Input_Output!E26)</f>
        <v>0.78740157480314965</v>
      </c>
      <c r="O4" s="9">
        <v>32.200000000000003</v>
      </c>
      <c r="P4" s="9"/>
      <c r="Q4" s="9">
        <f>+D4/60*2*PI()*(H4/2)*0.083333</f>
        <v>55.50554279974029</v>
      </c>
      <c r="R4" s="9">
        <f>+D4/60*2*PI()*(I4/2)*0.08333</f>
        <v>38.366505478483873</v>
      </c>
      <c r="S4" s="9">
        <f>+AVERAGE(H4,I4)/2*J4*2*PI()</f>
        <v>55.400055210941595</v>
      </c>
      <c r="T4" s="9"/>
      <c r="U4" s="9"/>
      <c r="Z4" s="9" t="s">
        <v>100</v>
      </c>
      <c r="AB4" s="48" t="s">
        <v>18</v>
      </c>
      <c r="AC4" s="9">
        <v>0.22712040000000003</v>
      </c>
      <c r="AD4" s="9">
        <v>0.30480000000000002</v>
      </c>
      <c r="AE4" s="9">
        <v>0.73548000000000002</v>
      </c>
    </row>
    <row r="5" spans="1:31" x14ac:dyDescent="0.2">
      <c r="A5" s="48" t="s">
        <v>54</v>
      </c>
      <c r="B5" s="9">
        <f>+IF(Input_Output!E10="SI",Input_Output!E15/0.22712,Input_Output!E15)</f>
        <v>3626.7171539274395</v>
      </c>
      <c r="C5" s="9">
        <f>+IF(Input_Output!E10=AB4,Input_Output!E14/0.3048,Input_Output!E14)</f>
        <v>329.7244094488189</v>
      </c>
      <c r="D5" s="9"/>
      <c r="E5" s="9">
        <f>+Input_Output!E16</f>
        <v>90</v>
      </c>
      <c r="F5" s="9"/>
      <c r="G5" s="9">
        <f>+IF(Input_Output!E10=AB4,Input_Output!E17/0.3048,Input_Output!E17)</f>
        <v>49.212598425196845</v>
      </c>
      <c r="H5" s="9"/>
      <c r="I5" s="9"/>
      <c r="J5" s="9"/>
      <c r="K5" s="9"/>
      <c r="L5" s="9"/>
      <c r="M5" s="9"/>
      <c r="N5" s="9"/>
      <c r="O5" s="9"/>
      <c r="P5" s="9">
        <f>+D4*(B5/'Support data'!X3)^0.5/C5^0.75</f>
        <v>819.45143262514364</v>
      </c>
      <c r="Q5" s="9"/>
      <c r="R5" s="9"/>
      <c r="S5" s="9"/>
      <c r="T5" s="9"/>
      <c r="U5" s="9"/>
    </row>
    <row r="6" spans="1:31" x14ac:dyDescent="0.2">
      <c r="A6" s="9" t="s">
        <v>52</v>
      </c>
      <c r="B6" s="9">
        <f>+T6*S4*'Support data'!X3/0.321</f>
        <v>4423.1902037576729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>
        <f>+Q4*TAN(RADIANS(K4))</f>
        <v>12.814464263618564</v>
      </c>
      <c r="U6" s="9">
        <f>+R4*TAN(RADIANS(L4))</f>
        <v>14.727521603179206</v>
      </c>
    </row>
    <row r="9" spans="1:31" x14ac:dyDescent="0.2">
      <c r="B9" s="8" t="s">
        <v>102</v>
      </c>
    </row>
    <row r="10" spans="1:31" x14ac:dyDescent="0.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O10" s="11" t="s">
        <v>58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</row>
    <row r="11" spans="1:31" x14ac:dyDescent="0.2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D11" s="10"/>
    </row>
    <row r="12" spans="1:31" x14ac:dyDescent="0.2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D12" s="10"/>
    </row>
    <row r="13" spans="1:31" x14ac:dyDescent="0.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</row>
    <row r="14" spans="1:31" x14ac:dyDescent="0.2">
      <c r="B14" s="10"/>
      <c r="C14" s="10"/>
      <c r="D14" s="10"/>
      <c r="E14" s="10"/>
      <c r="F14" s="10"/>
      <c r="G14" s="10"/>
      <c r="H14" s="10"/>
      <c r="I14" s="10"/>
      <c r="J14" s="10"/>
      <c r="K14" s="12" t="s">
        <v>103</v>
      </c>
      <c r="L14" s="12" t="s">
        <v>65</v>
      </c>
      <c r="M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</row>
    <row r="15" spans="1:31" x14ac:dyDescent="0.2">
      <c r="B15" s="10"/>
      <c r="C15" s="10"/>
      <c r="D15" s="10"/>
      <c r="E15" s="10"/>
      <c r="F15" s="10"/>
      <c r="G15" s="10"/>
      <c r="H15" s="10"/>
      <c r="I15" s="10"/>
      <c r="J15" s="10"/>
      <c r="K15" s="13">
        <v>0.1</v>
      </c>
      <c r="L15" s="13">
        <f>0.373*K15*(0.373*K15+2)</f>
        <v>7.5991290000000003E-2</v>
      </c>
      <c r="M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8" t="s">
        <v>104</v>
      </c>
      <c r="AB15" s="8" t="s">
        <v>105</v>
      </c>
      <c r="AC15" s="8" t="s">
        <v>59</v>
      </c>
      <c r="AD15" s="15" t="s">
        <v>106</v>
      </c>
    </row>
    <row r="16" spans="1:31" x14ac:dyDescent="0.2">
      <c r="B16" s="10"/>
      <c r="C16" s="10"/>
      <c r="D16" s="10"/>
      <c r="E16" s="10"/>
      <c r="F16" s="10"/>
      <c r="G16" s="10"/>
      <c r="H16" s="10"/>
      <c r="I16" s="10"/>
      <c r="J16" s="10"/>
      <c r="K16" s="13">
        <v>0.2</v>
      </c>
      <c r="L16" s="13">
        <f t="shared" ref="L16:L20" si="0">0.373*K16*(0.373*K16+2)</f>
        <v>0.15476516000000001</v>
      </c>
      <c r="M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>
        <v>9.6899224806201545</v>
      </c>
      <c r="AB16">
        <v>500</v>
      </c>
      <c r="AC16">
        <v>1.96</v>
      </c>
      <c r="AD16" s="15">
        <f>-0.000000006158581726*AB16^3+ 0.00001891809858*AB16^2- 0.01951722969*AB16+7.756949153</f>
        <v>1.9580362372500009</v>
      </c>
    </row>
    <row r="17" spans="2:43" x14ac:dyDescent="0.2">
      <c r="B17" s="10"/>
      <c r="C17" s="10"/>
      <c r="D17" s="10"/>
      <c r="E17" s="10"/>
      <c r="F17" s="10"/>
      <c r="G17" s="10"/>
      <c r="H17" s="10"/>
      <c r="I17" s="10"/>
      <c r="J17" s="10"/>
      <c r="K17" s="13">
        <v>0.3</v>
      </c>
      <c r="L17" s="13">
        <f t="shared" si="0"/>
        <v>0.23632160999999999</v>
      </c>
      <c r="M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>
        <v>11.627906976744185</v>
      </c>
      <c r="AB17">
        <v>600</v>
      </c>
      <c r="AC17">
        <v>1.52</v>
      </c>
      <c r="AD17" s="15">
        <f t="shared" ref="AD17:AD19" si="1">-0.000000006158581726*AB17^3+ 0.00001891809858*AB17^2- 0.01951722969*AB17+7.756949153</f>
        <v>1.5268731749839999</v>
      </c>
    </row>
    <row r="18" spans="2:43" x14ac:dyDescent="0.2">
      <c r="B18" s="10"/>
      <c r="C18" s="10"/>
      <c r="D18" s="10"/>
      <c r="E18" s="10"/>
      <c r="F18" s="10"/>
      <c r="G18" s="10"/>
      <c r="H18" s="10"/>
      <c r="I18" s="10"/>
      <c r="J18" s="10"/>
      <c r="K18" s="13">
        <v>0.4</v>
      </c>
      <c r="L18" s="13">
        <f t="shared" si="0"/>
        <v>0.32066064</v>
      </c>
      <c r="M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>
        <v>13.565891472868216</v>
      </c>
      <c r="AB18">
        <v>700</v>
      </c>
      <c r="AC18">
        <v>1.26</v>
      </c>
      <c r="AD18" s="15">
        <f t="shared" si="1"/>
        <v>1.2523631421819994</v>
      </c>
    </row>
    <row r="19" spans="2:43" x14ac:dyDescent="0.2">
      <c r="B19" s="10"/>
      <c r="C19" s="10"/>
      <c r="D19" s="10"/>
      <c r="E19" s="10"/>
      <c r="F19" s="10"/>
      <c r="G19" s="10"/>
      <c r="H19" s="10"/>
      <c r="I19" s="10"/>
      <c r="J19" s="10"/>
      <c r="K19" s="13">
        <v>0.5</v>
      </c>
      <c r="L19" s="13">
        <f t="shared" si="0"/>
        <v>0.40778225000000001</v>
      </c>
      <c r="M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>
        <v>16.472868217054263</v>
      </c>
      <c r="AB19">
        <v>850</v>
      </c>
      <c r="AC19">
        <v>1.05</v>
      </c>
      <c r="AD19" s="15">
        <f t="shared" si="1"/>
        <v>1.0534911380702505</v>
      </c>
    </row>
    <row r="20" spans="2:43" x14ac:dyDescent="0.2">
      <c r="B20" s="10"/>
      <c r="C20" s="10"/>
      <c r="D20" s="10"/>
      <c r="E20" s="10"/>
      <c r="F20" s="10"/>
      <c r="G20" s="10"/>
      <c r="H20" s="10"/>
      <c r="I20" s="10"/>
      <c r="J20" s="10"/>
      <c r="K20" s="13">
        <v>0.6</v>
      </c>
      <c r="L20" s="13">
        <f t="shared" si="0"/>
        <v>0.49768643999999995</v>
      </c>
      <c r="M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>
        <v>19.379844961240309</v>
      </c>
      <c r="AB20">
        <v>1000</v>
      </c>
      <c r="AC20">
        <v>1</v>
      </c>
      <c r="AD20" s="15"/>
    </row>
    <row r="21" spans="2:43" x14ac:dyDescent="0.2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>
        <v>29.069767441860463</v>
      </c>
      <c r="AB21">
        <v>1500</v>
      </c>
      <c r="AC21">
        <v>1</v>
      </c>
      <c r="AD21" s="15"/>
    </row>
    <row r="22" spans="2:43" x14ac:dyDescent="0.2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>
        <v>38.759689922480618</v>
      </c>
      <c r="AB22">
        <v>2000</v>
      </c>
      <c r="AC22">
        <v>1</v>
      </c>
      <c r="AD22" s="15"/>
    </row>
    <row r="23" spans="2:43" x14ac:dyDescent="0.2">
      <c r="B23" s="10"/>
      <c r="C23" s="10"/>
      <c r="D23" s="10"/>
      <c r="E23" s="10"/>
      <c r="F23" s="10"/>
      <c r="G23" s="10"/>
      <c r="H23" s="10"/>
      <c r="I23" s="10"/>
      <c r="J23" s="10"/>
      <c r="K23" s="10" t="s">
        <v>107</v>
      </c>
      <c r="L23" s="10"/>
      <c r="M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O23" s="8" t="s">
        <v>108</v>
      </c>
      <c r="AP23">
        <f>-300-32</f>
        <v>-332</v>
      </c>
      <c r="AQ23">
        <f>+AP23*5/9</f>
        <v>-184.44444444444446</v>
      </c>
    </row>
    <row r="24" spans="2:43" x14ac:dyDescent="0.2">
      <c r="B24" s="10"/>
      <c r="C24" s="10"/>
      <c r="D24" s="10"/>
      <c r="E24" s="10"/>
      <c r="F24" s="10"/>
      <c r="G24" s="10"/>
      <c r="H24" s="10"/>
      <c r="I24" s="10"/>
      <c r="J24" s="10"/>
      <c r="K24" s="10" t="s">
        <v>103</v>
      </c>
      <c r="L24" s="10" t="s">
        <v>65</v>
      </c>
      <c r="M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2:43" x14ac:dyDescent="0.2">
      <c r="B25" s="10"/>
      <c r="C25" s="10"/>
      <c r="D25" s="10"/>
      <c r="E25" s="10"/>
      <c r="F25" s="10"/>
      <c r="G25" s="10"/>
      <c r="H25" s="10"/>
      <c r="I25" s="10"/>
      <c r="J25" s="10"/>
      <c r="K25" s="13">
        <f>+Input_Output!E25/Input_Output!E26</f>
        <v>0.35</v>
      </c>
      <c r="L25" s="13">
        <f>0.373*K25*(0.373*K25+2)</f>
        <v>0.27814330249999997</v>
      </c>
      <c r="M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2:43" x14ac:dyDescent="0.2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 t="s">
        <v>109</v>
      </c>
      <c r="AC26" s="10" t="s">
        <v>59</v>
      </c>
      <c r="AD26" s="10"/>
    </row>
    <row r="27" spans="2:43" x14ac:dyDescent="0.2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3">
        <f>+P5</f>
        <v>819.45143262514364</v>
      </c>
      <c r="AC27" s="13">
        <f>+IF(AB27&gt;1000,1, -0.000000006158581726*AB27^3+ 0.00001891809858*AB27^2- 0.01951722969*AB27+7.756949153)</f>
        <v>1.0782082793506484</v>
      </c>
      <c r="AD27" s="10"/>
    </row>
    <row r="28" spans="2:43" x14ac:dyDescent="0.2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2:43" x14ac:dyDescent="0.2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2:43" x14ac:dyDescent="0.2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2:43" x14ac:dyDescent="0.2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2:43" x14ac:dyDescent="0.2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2:36" x14ac:dyDescent="0.2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2:36" ht="42.75" customHeight="1" x14ac:dyDescent="0.2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2:36" x14ac:dyDescent="0.2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2:36" x14ac:dyDescent="0.2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2:36" x14ac:dyDescent="0.2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2:36" x14ac:dyDescent="0.2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2:36" x14ac:dyDescent="0.2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2:36" x14ac:dyDescent="0.2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2:36" x14ac:dyDescent="0.2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2:36" x14ac:dyDescent="0.2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2:36" x14ac:dyDescent="0.2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2:36" x14ac:dyDescent="0.2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2:36" x14ac:dyDescent="0.2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7" spans="2:36" x14ac:dyDescent="0.2">
      <c r="P47" s="27" t="s">
        <v>110</v>
      </c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</row>
    <row r="48" spans="2:36" x14ac:dyDescent="0.2"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spans="2:36" x14ac:dyDescent="0.2"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</row>
    <row r="50" spans="2:36" ht="15" x14ac:dyDescent="0.25"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4" t="s">
        <v>111</v>
      </c>
      <c r="N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</row>
    <row r="51" spans="2:36" x14ac:dyDescent="0.2">
      <c r="B51" s="10"/>
      <c r="C51" s="10"/>
      <c r="D51" s="10"/>
      <c r="E51" s="10"/>
      <c r="F51" s="10"/>
      <c r="G51" s="10"/>
      <c r="H51" s="10"/>
      <c r="I51" s="10"/>
      <c r="J51" s="10"/>
      <c r="K51" s="10" t="s">
        <v>112</v>
      </c>
      <c r="L51" s="10"/>
      <c r="M51" s="10"/>
      <c r="N51" s="10" t="s">
        <v>61</v>
      </c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 t="s">
        <v>113</v>
      </c>
      <c r="AA51" s="10"/>
      <c r="AB51" s="10"/>
      <c r="AC51" s="10"/>
      <c r="AD51" s="10"/>
      <c r="AE51" s="10"/>
      <c r="AF51" s="10"/>
      <c r="AG51" s="10"/>
      <c r="AH51" s="10"/>
      <c r="AI51" s="10"/>
      <c r="AJ51" s="10"/>
    </row>
    <row r="52" spans="2:36" x14ac:dyDescent="0.2">
      <c r="B52" s="10"/>
      <c r="C52" s="10"/>
      <c r="D52" s="10"/>
      <c r="E52" s="10"/>
      <c r="F52" s="10"/>
      <c r="G52" s="10"/>
      <c r="H52" s="10"/>
      <c r="I52" s="10"/>
      <c r="J52" s="10"/>
      <c r="K52" s="13">
        <f>+Input_Output!E19</f>
        <v>14000</v>
      </c>
      <c r="L52" s="10"/>
      <c r="M52" s="10"/>
      <c r="N52" s="13">
        <f>+IF(K52&lt;200,0.74,IF(K52&gt;3000,1,_xlfn.FORECAST.LINEAR(K52,$N$57:$N$67,$K$57:$K$67)))</f>
        <v>1</v>
      </c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</row>
    <row r="53" spans="2:36" x14ac:dyDescent="0.2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>
        <v>25</v>
      </c>
      <c r="AA53" s="10">
        <v>40</v>
      </c>
      <c r="AB53" s="10">
        <v>60</v>
      </c>
      <c r="AC53" s="10">
        <v>100</v>
      </c>
      <c r="AD53" s="10">
        <v>140</v>
      </c>
      <c r="AE53" s="10">
        <v>200</v>
      </c>
      <c r="AF53" s="10">
        <v>260</v>
      </c>
      <c r="AG53" s="10">
        <v>340</v>
      </c>
      <c r="AH53" s="10"/>
      <c r="AI53" s="10"/>
      <c r="AJ53" s="10"/>
    </row>
    <row r="54" spans="2:36" x14ac:dyDescent="0.2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P54" s="10"/>
      <c r="Q54" s="10"/>
      <c r="R54" s="10"/>
      <c r="S54" s="10"/>
      <c r="T54" s="10"/>
      <c r="U54" s="10"/>
      <c r="V54" s="10"/>
      <c r="W54" s="10"/>
      <c r="X54" s="10"/>
      <c r="Y54" s="10" t="s">
        <v>114</v>
      </c>
      <c r="Z54" s="10">
        <f>+Z53*0.3048</f>
        <v>7.62</v>
      </c>
      <c r="AA54" s="10">
        <f t="shared" ref="AA54:AG54" si="2">+AA53*0.3048</f>
        <v>12.192</v>
      </c>
      <c r="AB54" s="10">
        <f t="shared" si="2"/>
        <v>18.288</v>
      </c>
      <c r="AC54" s="10">
        <f t="shared" si="2"/>
        <v>30.48</v>
      </c>
      <c r="AD54" s="10">
        <f t="shared" si="2"/>
        <v>42.672000000000004</v>
      </c>
      <c r="AE54" s="10">
        <f t="shared" si="2"/>
        <v>60.96</v>
      </c>
      <c r="AF54" s="10">
        <f t="shared" si="2"/>
        <v>79.248000000000005</v>
      </c>
      <c r="AG54" s="10">
        <f t="shared" si="2"/>
        <v>103.63200000000001</v>
      </c>
      <c r="AH54" s="10"/>
      <c r="AI54" s="10"/>
      <c r="AJ54" s="10"/>
    </row>
    <row r="55" spans="2:36" x14ac:dyDescent="0.2">
      <c r="B55" s="10"/>
      <c r="C55" s="10"/>
      <c r="D55" s="10"/>
      <c r="E55" s="10"/>
      <c r="F55" s="10"/>
      <c r="G55" s="10"/>
      <c r="H55" s="10"/>
      <c r="I55" s="10"/>
      <c r="J55" s="10"/>
      <c r="K55" s="8" t="s">
        <v>115</v>
      </c>
      <c r="L55" t="s">
        <v>116</v>
      </c>
      <c r="M55" s="8" t="s">
        <v>117</v>
      </c>
      <c r="N55" t="s">
        <v>61</v>
      </c>
      <c r="P55" s="10"/>
      <c r="Q55" s="10"/>
      <c r="R55" s="10"/>
      <c r="S55" s="10"/>
      <c r="T55" s="10"/>
      <c r="U55" s="10"/>
      <c r="V55" s="10"/>
      <c r="W55" s="10"/>
      <c r="X55" s="10"/>
      <c r="Y55" s="10">
        <v>0.4</v>
      </c>
      <c r="Z55" s="10">
        <v>0.25</v>
      </c>
      <c r="AA55" s="10">
        <v>0.5</v>
      </c>
      <c r="AB55" s="10">
        <v>0.65</v>
      </c>
      <c r="AC55" s="10">
        <v>0.8</v>
      </c>
      <c r="AD55" s="10">
        <v>0.9</v>
      </c>
      <c r="AE55" s="10">
        <v>1.1499999999999999</v>
      </c>
      <c r="AF55" s="10">
        <v>1.4</v>
      </c>
      <c r="AG55" s="10">
        <v>2.33</v>
      </c>
      <c r="AH55" s="10"/>
      <c r="AI55" s="10"/>
      <c r="AJ55" s="10"/>
    </row>
    <row r="56" spans="2:36" x14ac:dyDescent="0.2">
      <c r="B56" s="10"/>
      <c r="C56" s="10"/>
      <c r="D56" s="10"/>
      <c r="E56" s="10"/>
      <c r="F56" s="10"/>
      <c r="G56" s="10"/>
      <c r="H56" s="10"/>
      <c r="I56" s="10"/>
      <c r="J56" s="10"/>
      <c r="K56">
        <v>100</v>
      </c>
      <c r="L56">
        <v>450</v>
      </c>
      <c r="M56" s="2">
        <f>+(L56-32)/(9/5)</f>
        <v>232.22222222222223</v>
      </c>
      <c r="N56">
        <v>0.74</v>
      </c>
      <c r="P56" s="10"/>
      <c r="Q56" s="10"/>
      <c r="R56" s="10"/>
      <c r="S56" s="10"/>
      <c r="T56" s="10"/>
      <c r="U56" s="10"/>
      <c r="V56" s="10"/>
      <c r="W56" s="10"/>
      <c r="X56" s="10"/>
      <c r="Y56" s="10">
        <v>0.6</v>
      </c>
      <c r="Z56" s="10">
        <v>0.25</v>
      </c>
      <c r="AA56" s="10">
        <v>0.5</v>
      </c>
      <c r="AB56" s="10">
        <v>0.65</v>
      </c>
      <c r="AC56" s="10">
        <v>0.8</v>
      </c>
      <c r="AD56" s="10">
        <v>0.88</v>
      </c>
      <c r="AE56" s="10">
        <v>1</v>
      </c>
      <c r="AF56" s="10">
        <v>1.1499999999999999</v>
      </c>
      <c r="AG56" s="10">
        <v>1.75</v>
      </c>
      <c r="AH56" s="10"/>
      <c r="AI56" s="10"/>
      <c r="AJ56" s="10"/>
    </row>
    <row r="57" spans="2:36" x14ac:dyDescent="0.2">
      <c r="B57" s="10"/>
      <c r="C57" s="10"/>
      <c r="D57" s="10"/>
      <c r="E57" s="10"/>
      <c r="F57" s="10"/>
      <c r="G57" s="10"/>
      <c r="H57" s="10"/>
      <c r="I57" s="10"/>
      <c r="J57" s="10"/>
      <c r="K57">
        <v>200</v>
      </c>
      <c r="L57">
        <v>360</v>
      </c>
      <c r="M57" s="2">
        <f>+(L57-32)/(9/5)</f>
        <v>182.22222222222223</v>
      </c>
      <c r="N57">
        <v>0.74</v>
      </c>
      <c r="P57" s="10"/>
      <c r="Q57" s="10"/>
      <c r="R57" s="10"/>
      <c r="S57" s="10"/>
      <c r="T57" s="10"/>
      <c r="U57" s="10"/>
      <c r="V57" s="10"/>
      <c r="W57" s="10"/>
      <c r="X57" s="10"/>
      <c r="Y57" s="10">
        <v>0.8</v>
      </c>
      <c r="Z57" s="10">
        <v>0.45</v>
      </c>
      <c r="AA57" s="10">
        <v>0.65</v>
      </c>
      <c r="AB57" s="10">
        <v>0.7</v>
      </c>
      <c r="AC57" s="10">
        <v>0.85</v>
      </c>
      <c r="AD57" s="10">
        <v>0.9</v>
      </c>
      <c r="AE57" s="10">
        <v>0.95</v>
      </c>
      <c r="AF57" s="10">
        <v>1.03</v>
      </c>
      <c r="AG57" s="10">
        <v>1.3</v>
      </c>
      <c r="AH57" s="10"/>
      <c r="AI57" s="10"/>
      <c r="AJ57" s="10"/>
    </row>
    <row r="58" spans="2:36" x14ac:dyDescent="0.2">
      <c r="B58" s="10"/>
      <c r="C58" s="10"/>
      <c r="D58" s="10"/>
      <c r="E58" s="10"/>
      <c r="F58" s="10"/>
      <c r="G58" s="10"/>
      <c r="H58" s="10"/>
      <c r="I58" s="10"/>
      <c r="J58" s="10"/>
      <c r="K58">
        <v>300</v>
      </c>
      <c r="L58">
        <v>320</v>
      </c>
      <c r="M58" s="2">
        <f>+(L58-32)/(9/5)</f>
        <v>160</v>
      </c>
      <c r="N58">
        <v>0.77500000000000002</v>
      </c>
      <c r="P58" s="10"/>
      <c r="Q58" s="10"/>
      <c r="R58" s="10"/>
      <c r="S58" s="10"/>
      <c r="T58" s="10"/>
      <c r="U58" s="10"/>
      <c r="V58" s="10"/>
      <c r="W58" s="10"/>
      <c r="X58" s="10"/>
      <c r="Y58" s="10">
        <v>1</v>
      </c>
      <c r="Z58" s="10">
        <v>1</v>
      </c>
      <c r="AA58" s="10">
        <v>1</v>
      </c>
      <c r="AB58" s="10">
        <v>1</v>
      </c>
      <c r="AC58" s="10">
        <v>1</v>
      </c>
      <c r="AD58" s="10">
        <v>1</v>
      </c>
      <c r="AE58" s="10">
        <v>1</v>
      </c>
      <c r="AF58" s="10">
        <v>1</v>
      </c>
      <c r="AG58" s="10">
        <v>1</v>
      </c>
      <c r="AH58" s="10"/>
      <c r="AI58" s="10"/>
      <c r="AJ58" s="10"/>
    </row>
    <row r="59" spans="2:36" x14ac:dyDescent="0.2">
      <c r="B59" s="10"/>
      <c r="C59" s="10"/>
      <c r="D59" s="10"/>
      <c r="E59" s="10"/>
      <c r="F59" s="10"/>
      <c r="G59" s="10"/>
      <c r="H59" s="10"/>
      <c r="I59" s="10"/>
      <c r="J59" s="10"/>
      <c r="K59">
        <v>400</v>
      </c>
      <c r="L59">
        <v>300</v>
      </c>
      <c r="M59" s="2">
        <f t="shared" ref="M59:M71" si="3">+(L59-32)/(9/5)</f>
        <v>148.88888888888889</v>
      </c>
      <c r="N59">
        <v>0.80500000000000005</v>
      </c>
      <c r="P59" s="10"/>
      <c r="Q59" s="10"/>
      <c r="R59" s="10"/>
      <c r="S59" s="10"/>
      <c r="T59" s="10"/>
      <c r="U59" s="10"/>
      <c r="V59" s="10"/>
      <c r="W59" s="10"/>
      <c r="X59" s="10"/>
      <c r="Y59" s="10">
        <v>1.1000000000000001</v>
      </c>
      <c r="Z59" s="10">
        <v>1.5</v>
      </c>
      <c r="AA59" s="10">
        <v>1.35</v>
      </c>
      <c r="AB59" s="10">
        <v>1.25</v>
      </c>
      <c r="AC59" s="10">
        <v>1.1599999999999999</v>
      </c>
      <c r="AD59" s="10">
        <v>1.1299999999999999</v>
      </c>
      <c r="AE59" s="10">
        <v>1.0900000000000001</v>
      </c>
      <c r="AF59" s="10">
        <v>1.08</v>
      </c>
      <c r="AG59" s="10">
        <v>1.1499999999999999</v>
      </c>
      <c r="AH59" s="10"/>
      <c r="AI59" s="10"/>
      <c r="AJ59" s="10"/>
    </row>
    <row r="60" spans="2:36" x14ac:dyDescent="0.2">
      <c r="B60" s="10"/>
      <c r="C60" s="10"/>
      <c r="D60" s="10"/>
      <c r="E60" s="10"/>
      <c r="F60" s="10"/>
      <c r="G60" s="10"/>
      <c r="H60" s="10"/>
      <c r="I60" s="10"/>
      <c r="J60" s="10"/>
      <c r="K60">
        <v>500</v>
      </c>
      <c r="L60">
        <v>285</v>
      </c>
      <c r="M60" s="2">
        <f t="shared" si="3"/>
        <v>140.55555555555554</v>
      </c>
      <c r="N60">
        <v>0.82499999999999996</v>
      </c>
      <c r="P60" s="10"/>
      <c r="Q60" s="10"/>
      <c r="R60" s="10"/>
      <c r="S60" s="10"/>
      <c r="T60" s="10"/>
      <c r="U60" s="10"/>
      <c r="V60" s="10"/>
      <c r="W60" s="10"/>
      <c r="X60" s="10"/>
      <c r="Y60" s="10">
        <v>1.2</v>
      </c>
      <c r="Z60" s="10">
        <v>2</v>
      </c>
      <c r="AA60" s="10">
        <v>1.7</v>
      </c>
      <c r="AB60" s="10">
        <v>1.5</v>
      </c>
      <c r="AC60" s="10">
        <v>1.4</v>
      </c>
      <c r="AD60" s="10">
        <v>1.3</v>
      </c>
      <c r="AE60" s="10">
        <v>1.25</v>
      </c>
      <c r="AF60" s="10">
        <v>1.2</v>
      </c>
      <c r="AG60" s="10">
        <v>1.35</v>
      </c>
      <c r="AH60" s="10"/>
      <c r="AI60" s="10"/>
      <c r="AJ60" s="10"/>
    </row>
    <row r="61" spans="2:36" x14ac:dyDescent="0.2">
      <c r="B61" s="10"/>
      <c r="C61" s="10"/>
      <c r="D61" s="10"/>
      <c r="E61" s="10"/>
      <c r="F61" s="10"/>
      <c r="G61" s="10"/>
      <c r="H61" s="10"/>
      <c r="I61" s="10"/>
      <c r="J61" s="10"/>
      <c r="K61">
        <v>600</v>
      </c>
      <c r="L61">
        <v>275</v>
      </c>
      <c r="M61" s="2">
        <f t="shared" si="3"/>
        <v>135</v>
      </c>
      <c r="N61">
        <v>0.84499999999999997</v>
      </c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</row>
    <row r="62" spans="2:36" x14ac:dyDescent="0.2">
      <c r="B62" s="10"/>
      <c r="C62" s="10"/>
      <c r="D62" s="10"/>
      <c r="E62" s="10"/>
      <c r="F62" s="10"/>
      <c r="G62" s="10"/>
      <c r="H62" s="10"/>
      <c r="I62" s="10"/>
      <c r="J62" s="10"/>
      <c r="K62">
        <v>700</v>
      </c>
      <c r="L62">
        <v>260</v>
      </c>
      <c r="M62" s="2">
        <f t="shared" si="3"/>
        <v>126.66666666666666</v>
      </c>
      <c r="N62">
        <v>0.86</v>
      </c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 t="s">
        <v>118</v>
      </c>
      <c r="AA62" s="10"/>
      <c r="AB62" s="10"/>
      <c r="AC62" s="10"/>
      <c r="AD62" s="10"/>
      <c r="AE62" s="10"/>
      <c r="AF62" s="10"/>
      <c r="AG62" s="10"/>
      <c r="AH62" s="10"/>
      <c r="AI62" s="10"/>
      <c r="AJ62" s="10"/>
    </row>
    <row r="63" spans="2:36" x14ac:dyDescent="0.2">
      <c r="B63" s="10"/>
      <c r="C63" s="10"/>
      <c r="D63" s="10"/>
      <c r="E63" s="10"/>
      <c r="F63" s="10"/>
      <c r="G63" s="10"/>
      <c r="H63" s="10"/>
      <c r="I63" s="10"/>
      <c r="J63" s="10"/>
      <c r="K63">
        <v>800</v>
      </c>
      <c r="L63">
        <v>255</v>
      </c>
      <c r="M63" s="2">
        <f t="shared" si="3"/>
        <v>123.88888888888889</v>
      </c>
      <c r="N63">
        <v>0.875</v>
      </c>
      <c r="P63" s="10"/>
      <c r="Q63" s="10"/>
      <c r="R63" s="10"/>
      <c r="S63" s="10"/>
      <c r="T63" s="10"/>
      <c r="U63" s="10"/>
      <c r="V63" s="10"/>
      <c r="W63" s="10"/>
      <c r="X63" s="10"/>
      <c r="Y63" s="10">
        <f>+Y55</f>
        <v>0.4</v>
      </c>
      <c r="Z63" s="10">
        <f t="shared" ref="Z63:Z68" si="4">+Z$53*$Z55</f>
        <v>6.25</v>
      </c>
      <c r="AA63" s="10">
        <f t="shared" ref="AA63:AG64" si="5">+AA$53*AA55</f>
        <v>20</v>
      </c>
      <c r="AB63" s="10">
        <f t="shared" si="5"/>
        <v>39</v>
      </c>
      <c r="AC63" s="10">
        <f t="shared" si="5"/>
        <v>80</v>
      </c>
      <c r="AD63" s="10">
        <f t="shared" si="5"/>
        <v>126</v>
      </c>
      <c r="AE63" s="10">
        <f t="shared" si="5"/>
        <v>229.99999999999997</v>
      </c>
      <c r="AF63" s="10">
        <f t="shared" si="5"/>
        <v>364</v>
      </c>
      <c r="AG63" s="10">
        <f t="shared" si="5"/>
        <v>792.2</v>
      </c>
      <c r="AH63" s="10"/>
      <c r="AI63" s="10"/>
      <c r="AJ63" s="10"/>
    </row>
    <row r="64" spans="2:36" x14ac:dyDescent="0.2">
      <c r="B64" s="10"/>
      <c r="C64" s="10"/>
      <c r="D64" s="10"/>
      <c r="E64" s="10"/>
      <c r="F64" s="10"/>
      <c r="G64" s="10"/>
      <c r="H64" s="10"/>
      <c r="I64" s="10"/>
      <c r="J64" s="10"/>
      <c r="K64">
        <v>900</v>
      </c>
      <c r="L64">
        <v>245</v>
      </c>
      <c r="M64" s="2">
        <f t="shared" si="3"/>
        <v>118.33333333333333</v>
      </c>
      <c r="N64">
        <v>0.89</v>
      </c>
      <c r="P64" s="10"/>
      <c r="Q64" s="10"/>
      <c r="R64" s="10"/>
      <c r="S64" s="10"/>
      <c r="T64" s="10"/>
      <c r="U64" s="10"/>
      <c r="V64" s="10"/>
      <c r="W64" s="10"/>
      <c r="X64" s="10"/>
      <c r="Y64" s="10">
        <f t="shared" ref="Y64:Y67" si="6">+Y56</f>
        <v>0.6</v>
      </c>
      <c r="Z64" s="10">
        <f t="shared" si="4"/>
        <v>6.25</v>
      </c>
      <c r="AA64" s="10">
        <f t="shared" si="5"/>
        <v>20</v>
      </c>
      <c r="AB64" s="10">
        <f t="shared" si="5"/>
        <v>39</v>
      </c>
      <c r="AC64" s="10">
        <f t="shared" si="5"/>
        <v>80</v>
      </c>
      <c r="AD64" s="10">
        <f t="shared" si="5"/>
        <v>123.2</v>
      </c>
      <c r="AE64" s="10">
        <f t="shared" si="5"/>
        <v>200</v>
      </c>
      <c r="AF64" s="10">
        <f t="shared" si="5"/>
        <v>299</v>
      </c>
      <c r="AG64" s="10">
        <f t="shared" si="5"/>
        <v>595</v>
      </c>
      <c r="AH64" s="10"/>
      <c r="AI64" s="10"/>
      <c r="AJ64" s="10"/>
    </row>
    <row r="65" spans="2:36" x14ac:dyDescent="0.2">
      <c r="B65" s="10"/>
      <c r="C65" s="10"/>
      <c r="D65" s="10"/>
      <c r="E65" s="10"/>
      <c r="F65" s="10"/>
      <c r="G65" s="10"/>
      <c r="H65" s="10"/>
      <c r="I65" s="10"/>
      <c r="J65" s="10"/>
      <c r="K65">
        <v>1000</v>
      </c>
      <c r="L65">
        <v>240</v>
      </c>
      <c r="M65" s="2">
        <f t="shared" si="3"/>
        <v>115.55555555555556</v>
      </c>
      <c r="N65">
        <v>0.9</v>
      </c>
      <c r="P65" s="10"/>
      <c r="Q65" s="10"/>
      <c r="R65" s="10"/>
      <c r="S65" s="10"/>
      <c r="T65" s="10"/>
      <c r="U65" s="10"/>
      <c r="V65" s="10"/>
      <c r="W65" s="10"/>
      <c r="X65" s="10"/>
      <c r="Y65" s="10">
        <f t="shared" si="6"/>
        <v>0.8</v>
      </c>
      <c r="Z65" s="10">
        <f t="shared" si="4"/>
        <v>11.25</v>
      </c>
      <c r="AA65" s="10">
        <f>+AA$53*$AA57</f>
        <v>26</v>
      </c>
      <c r="AB65" s="10">
        <f t="shared" ref="AB65:AG68" si="7">+AB$53*AB57</f>
        <v>42</v>
      </c>
      <c r="AC65" s="10">
        <f t="shared" si="7"/>
        <v>85</v>
      </c>
      <c r="AD65" s="10">
        <f t="shared" si="7"/>
        <v>126</v>
      </c>
      <c r="AE65" s="10">
        <f t="shared" si="7"/>
        <v>190</v>
      </c>
      <c r="AF65" s="10">
        <f t="shared" si="7"/>
        <v>267.8</v>
      </c>
      <c r="AG65" s="10">
        <f t="shared" si="7"/>
        <v>442</v>
      </c>
      <c r="AH65" s="10"/>
      <c r="AI65" s="10"/>
      <c r="AJ65" s="10"/>
    </row>
    <row r="66" spans="2:36" x14ac:dyDescent="0.2">
      <c r="B66" s="10"/>
      <c r="C66" s="10"/>
      <c r="D66" s="10"/>
      <c r="E66" s="10"/>
      <c r="F66" s="10"/>
      <c r="G66" s="10"/>
      <c r="H66" s="10"/>
      <c r="I66" s="10"/>
      <c r="J66" s="10"/>
      <c r="K66">
        <v>2000</v>
      </c>
      <c r="L66">
        <v>200</v>
      </c>
      <c r="M66" s="2">
        <f t="shared" si="3"/>
        <v>93.333333333333329</v>
      </c>
      <c r="N66">
        <v>0.96499999999999997</v>
      </c>
      <c r="P66" s="10"/>
      <c r="Q66" s="10"/>
      <c r="R66" s="10"/>
      <c r="S66" s="10"/>
      <c r="T66" s="10"/>
      <c r="U66" s="10"/>
      <c r="V66" s="10"/>
      <c r="W66" s="10"/>
      <c r="X66" s="10"/>
      <c r="Y66" s="10">
        <f t="shared" si="6"/>
        <v>1</v>
      </c>
      <c r="Z66" s="10">
        <f t="shared" si="4"/>
        <v>25</v>
      </c>
      <c r="AA66" s="10">
        <f>+AA$53*$AA58</f>
        <v>40</v>
      </c>
      <c r="AB66" s="10">
        <f t="shared" si="7"/>
        <v>60</v>
      </c>
      <c r="AC66" s="10">
        <f t="shared" si="7"/>
        <v>100</v>
      </c>
      <c r="AD66" s="10">
        <f t="shared" si="7"/>
        <v>140</v>
      </c>
      <c r="AE66" s="10">
        <f t="shared" si="7"/>
        <v>200</v>
      </c>
      <c r="AF66" s="10">
        <f t="shared" si="7"/>
        <v>260</v>
      </c>
      <c r="AG66" s="10">
        <f t="shared" si="7"/>
        <v>340</v>
      </c>
      <c r="AH66" s="10"/>
      <c r="AI66" s="10"/>
      <c r="AJ66" s="10"/>
    </row>
    <row r="67" spans="2:36" x14ac:dyDescent="0.2">
      <c r="B67" s="10"/>
      <c r="C67" s="10"/>
      <c r="D67" s="10"/>
      <c r="E67" s="10"/>
      <c r="F67" s="10"/>
      <c r="G67" s="10"/>
      <c r="H67" s="10"/>
      <c r="I67" s="10"/>
      <c r="J67" s="10"/>
      <c r="K67">
        <v>3000</v>
      </c>
      <c r="L67">
        <v>185</v>
      </c>
      <c r="M67" s="2">
        <f t="shared" si="3"/>
        <v>85</v>
      </c>
      <c r="N67">
        <v>1</v>
      </c>
      <c r="P67" s="10"/>
      <c r="Q67" s="10"/>
      <c r="R67" s="10"/>
      <c r="S67" s="10"/>
      <c r="T67" s="10"/>
      <c r="U67" s="10"/>
      <c r="V67" s="10"/>
      <c r="W67" s="10"/>
      <c r="X67" s="10"/>
      <c r="Y67" s="10">
        <f t="shared" si="6"/>
        <v>1.1000000000000001</v>
      </c>
      <c r="Z67" s="10">
        <f t="shared" si="4"/>
        <v>37.5</v>
      </c>
      <c r="AA67" s="10">
        <f>+AA$53*$AA59</f>
        <v>54</v>
      </c>
      <c r="AB67" s="10">
        <f t="shared" si="7"/>
        <v>75</v>
      </c>
      <c r="AC67" s="10">
        <f t="shared" si="7"/>
        <v>115.99999999999999</v>
      </c>
      <c r="AD67" s="10">
        <f t="shared" si="7"/>
        <v>158.19999999999999</v>
      </c>
      <c r="AE67" s="10">
        <f t="shared" si="7"/>
        <v>218.00000000000003</v>
      </c>
      <c r="AF67" s="10">
        <f t="shared" si="7"/>
        <v>280.8</v>
      </c>
      <c r="AG67" s="10">
        <f t="shared" si="7"/>
        <v>390.99999999999994</v>
      </c>
      <c r="AH67" s="10"/>
      <c r="AI67" s="10"/>
      <c r="AJ67" s="10"/>
    </row>
    <row r="68" spans="2:36" x14ac:dyDescent="0.2">
      <c r="B68" s="10"/>
      <c r="C68" s="10"/>
      <c r="D68" s="10"/>
      <c r="E68" s="10"/>
      <c r="F68" s="10"/>
      <c r="G68" s="10"/>
      <c r="H68" s="10"/>
      <c r="I68" s="10"/>
      <c r="J68" s="10"/>
      <c r="K68">
        <v>4000</v>
      </c>
      <c r="L68">
        <v>165</v>
      </c>
      <c r="M68" s="2">
        <f t="shared" si="3"/>
        <v>73.888888888888886</v>
      </c>
      <c r="N68">
        <v>1</v>
      </c>
      <c r="P68" s="10"/>
      <c r="Q68" s="10"/>
      <c r="R68" s="10"/>
      <c r="S68" s="10"/>
      <c r="T68" s="10"/>
      <c r="U68" s="10"/>
      <c r="V68" s="10"/>
      <c r="W68" s="10"/>
      <c r="X68" s="10"/>
      <c r="Y68" s="10">
        <v>1.2</v>
      </c>
      <c r="Z68" s="10">
        <f t="shared" si="4"/>
        <v>50</v>
      </c>
      <c r="AA68" s="10">
        <f>+AA$53*$AA60</f>
        <v>68</v>
      </c>
      <c r="AB68" s="10">
        <f t="shared" si="7"/>
        <v>90</v>
      </c>
      <c r="AC68" s="10">
        <f t="shared" si="7"/>
        <v>140</v>
      </c>
      <c r="AD68" s="10">
        <f t="shared" si="7"/>
        <v>182</v>
      </c>
      <c r="AE68" s="10">
        <f t="shared" si="7"/>
        <v>250</v>
      </c>
      <c r="AF68" s="10">
        <f t="shared" si="7"/>
        <v>312</v>
      </c>
      <c r="AG68" s="10">
        <f t="shared" si="7"/>
        <v>459.00000000000006</v>
      </c>
      <c r="AH68" s="10"/>
      <c r="AI68" s="10"/>
      <c r="AJ68" s="10"/>
    </row>
    <row r="69" spans="2:36" x14ac:dyDescent="0.2">
      <c r="B69" s="10"/>
      <c r="C69" s="10"/>
      <c r="D69" s="10"/>
      <c r="E69" s="10"/>
      <c r="F69" s="10"/>
      <c r="G69" s="10"/>
      <c r="H69" s="10"/>
      <c r="I69" s="10"/>
      <c r="J69" s="10"/>
      <c r="K69">
        <v>5000</v>
      </c>
      <c r="L69">
        <v>155</v>
      </c>
      <c r="M69" s="2">
        <f t="shared" si="3"/>
        <v>68.333333333333329</v>
      </c>
      <c r="N69">
        <v>1</v>
      </c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</row>
    <row r="70" spans="2:36" x14ac:dyDescent="0.2">
      <c r="B70" s="10"/>
      <c r="C70" s="10"/>
      <c r="D70" s="10"/>
      <c r="E70" s="10"/>
      <c r="F70" s="10"/>
      <c r="G70" s="10"/>
      <c r="H70" s="10"/>
      <c r="I70" s="10"/>
      <c r="J70" s="10"/>
      <c r="K70">
        <v>6000</v>
      </c>
      <c r="L70">
        <v>147</v>
      </c>
      <c r="M70" s="2">
        <f t="shared" si="3"/>
        <v>63.888888888888886</v>
      </c>
      <c r="N70">
        <v>1</v>
      </c>
      <c r="P70" s="10"/>
      <c r="Q70" s="10"/>
      <c r="R70" s="10"/>
      <c r="S70" s="10"/>
      <c r="T70" s="10"/>
      <c r="U70" s="10"/>
      <c r="V70" s="10"/>
      <c r="W70" s="10"/>
      <c r="X70" s="10"/>
      <c r="Y70" s="10" t="s">
        <v>119</v>
      </c>
      <c r="Z70" s="10" t="s">
        <v>120</v>
      </c>
      <c r="AA70" s="10"/>
      <c r="AB70" s="10"/>
      <c r="AC70" s="10"/>
      <c r="AD70" s="10"/>
      <c r="AE70" s="10"/>
      <c r="AF70" s="10"/>
      <c r="AG70" s="10"/>
      <c r="AH70" s="10"/>
      <c r="AI70" s="10"/>
      <c r="AJ70" s="10"/>
    </row>
    <row r="71" spans="2:36" x14ac:dyDescent="0.2">
      <c r="B71" s="10"/>
      <c r="C71" s="10"/>
      <c r="D71" s="10"/>
      <c r="E71" s="10"/>
      <c r="F71" s="10"/>
      <c r="G71" s="10"/>
      <c r="H71" s="10"/>
      <c r="I71" s="10"/>
      <c r="J71" s="10"/>
      <c r="K71">
        <v>8000</v>
      </c>
      <c r="L71">
        <v>135</v>
      </c>
      <c r="M71" s="2">
        <f t="shared" si="3"/>
        <v>57.222222222222221</v>
      </c>
      <c r="N71">
        <v>1</v>
      </c>
      <c r="P71" s="10"/>
      <c r="Q71" s="10"/>
      <c r="R71" s="10"/>
      <c r="S71" s="10"/>
      <c r="T71" s="10"/>
      <c r="U71" s="10"/>
      <c r="V71" s="10"/>
      <c r="W71" s="10"/>
      <c r="X71" s="11" t="s">
        <v>100</v>
      </c>
      <c r="Y71" s="11" t="s">
        <v>18</v>
      </c>
      <c r="Z71" s="10">
        <v>40</v>
      </c>
      <c r="AA71" s="10">
        <v>60</v>
      </c>
      <c r="AB71" s="10">
        <v>80</v>
      </c>
      <c r="AC71" s="10">
        <v>110</v>
      </c>
      <c r="AD71" s="10">
        <v>130</v>
      </c>
      <c r="AE71" s="10"/>
      <c r="AF71" s="10"/>
      <c r="AG71" s="10"/>
      <c r="AH71" s="10"/>
      <c r="AI71" s="10"/>
      <c r="AJ71" s="10"/>
    </row>
    <row r="72" spans="2:36" x14ac:dyDescent="0.2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P72" s="10"/>
      <c r="Q72" s="10"/>
      <c r="R72" s="10"/>
      <c r="S72" s="10"/>
      <c r="T72" s="10"/>
      <c r="U72" s="10"/>
      <c r="V72" s="10"/>
      <c r="W72" s="10"/>
      <c r="X72" s="10">
        <f>+Z53</f>
        <v>25</v>
      </c>
      <c r="Y72" s="10">
        <v>7.62</v>
      </c>
      <c r="Z72" s="10">
        <f>+Z55</f>
        <v>0.25</v>
      </c>
      <c r="AA72" s="10">
        <f>+Z56</f>
        <v>0.25</v>
      </c>
      <c r="AB72" s="10">
        <f>+Z57</f>
        <v>0.45</v>
      </c>
      <c r="AC72" s="10">
        <f>+Z59</f>
        <v>1.5</v>
      </c>
      <c r="AD72" s="10">
        <f>+Z60</f>
        <v>2</v>
      </c>
      <c r="AE72" s="10"/>
      <c r="AF72" s="10"/>
      <c r="AG72" s="10"/>
      <c r="AH72" s="10"/>
      <c r="AI72" s="10"/>
      <c r="AJ72" s="10"/>
    </row>
    <row r="73" spans="2:36" x14ac:dyDescent="0.2">
      <c r="B73" s="10"/>
      <c r="C73" s="10"/>
      <c r="D73" s="10"/>
      <c r="E73" s="10"/>
      <c r="F73" s="10"/>
      <c r="G73" s="10"/>
      <c r="H73" s="10"/>
      <c r="I73" s="10"/>
      <c r="J73" s="10"/>
      <c r="K73" s="8" t="s">
        <v>30</v>
      </c>
      <c r="N73" s="8" t="s">
        <v>115</v>
      </c>
      <c r="P73" s="10"/>
      <c r="Q73" s="10"/>
      <c r="R73" s="10"/>
      <c r="S73" s="10"/>
      <c r="T73" s="10"/>
      <c r="U73" s="10"/>
      <c r="V73" s="10"/>
      <c r="W73" s="10"/>
      <c r="X73" s="10">
        <v>40</v>
      </c>
      <c r="Y73" s="10">
        <v>12.192</v>
      </c>
      <c r="Z73" s="10">
        <f>+AA55</f>
        <v>0.5</v>
      </c>
      <c r="AA73" s="10">
        <f>+AA56</f>
        <v>0.5</v>
      </c>
      <c r="AB73" s="10">
        <f>+AA57</f>
        <v>0.65</v>
      </c>
      <c r="AC73" s="10">
        <f>+AA59</f>
        <v>1.35</v>
      </c>
      <c r="AD73" s="10">
        <f>+AA60</f>
        <v>1.7</v>
      </c>
      <c r="AE73" s="10"/>
      <c r="AF73" s="12" t="s">
        <v>18</v>
      </c>
      <c r="AG73" s="10"/>
      <c r="AH73" s="10"/>
      <c r="AI73" s="10"/>
      <c r="AJ73" s="10"/>
    </row>
    <row r="74" spans="2:36" x14ac:dyDescent="0.2">
      <c r="B74" s="10"/>
      <c r="C74" s="10"/>
      <c r="D74" s="10"/>
      <c r="E74" s="10"/>
      <c r="F74" s="10"/>
      <c r="G74" s="10"/>
      <c r="H74" s="10"/>
      <c r="I74" s="10"/>
      <c r="J74" s="10"/>
      <c r="K74" s="8" t="s">
        <v>121</v>
      </c>
      <c r="L74" s="8"/>
      <c r="M74" s="8"/>
      <c r="N74">
        <v>200</v>
      </c>
      <c r="P74" s="10"/>
      <c r="Q74" s="10"/>
      <c r="R74" s="10"/>
      <c r="S74" s="10"/>
      <c r="T74" s="10"/>
      <c r="U74" s="10"/>
      <c r="V74" s="10"/>
      <c r="W74" s="10"/>
      <c r="X74" s="10">
        <v>60</v>
      </c>
      <c r="Y74" s="10">
        <v>18.288</v>
      </c>
      <c r="Z74" s="10">
        <f>+AB55</f>
        <v>0.65</v>
      </c>
      <c r="AA74" s="10">
        <f>+AB56</f>
        <v>0.65</v>
      </c>
      <c r="AB74" s="10">
        <f>+AB57</f>
        <v>0.7</v>
      </c>
      <c r="AC74" s="10">
        <f>+AB59</f>
        <v>1.25</v>
      </c>
      <c r="AD74" s="10">
        <f>+AB60</f>
        <v>1.5</v>
      </c>
      <c r="AE74" s="10"/>
      <c r="AF74" s="23" t="s">
        <v>43</v>
      </c>
      <c r="AG74" s="23" t="s">
        <v>122</v>
      </c>
      <c r="AH74" s="23" t="s">
        <v>123</v>
      </c>
      <c r="AI74" s="23" t="s">
        <v>124</v>
      </c>
      <c r="AJ74" s="10"/>
    </row>
    <row r="75" spans="2:36" x14ac:dyDescent="0.2">
      <c r="B75" s="10"/>
      <c r="C75" s="10"/>
      <c r="D75" s="10"/>
      <c r="E75" s="10"/>
      <c r="F75" s="10"/>
      <c r="G75" s="10"/>
      <c r="H75" s="10"/>
      <c r="I75" s="10"/>
      <c r="J75" s="10"/>
      <c r="K75" s="8" t="s">
        <v>125</v>
      </c>
      <c r="L75" s="8"/>
      <c r="N75">
        <v>220</v>
      </c>
      <c r="P75" s="10"/>
      <c r="Q75" s="10"/>
      <c r="R75" s="10"/>
      <c r="S75" s="10"/>
      <c r="T75" s="10"/>
      <c r="U75" s="10"/>
      <c r="V75" s="10"/>
      <c r="W75" s="10"/>
      <c r="X75" s="10">
        <v>100</v>
      </c>
      <c r="Y75" s="10">
        <v>30.48</v>
      </c>
      <c r="Z75" s="10">
        <f>+AC55</f>
        <v>0.8</v>
      </c>
      <c r="AA75" s="10">
        <f>+AC56</f>
        <v>0.8</v>
      </c>
      <c r="AB75" s="10">
        <f>+AC57</f>
        <v>0.85</v>
      </c>
      <c r="AC75" s="10">
        <f>+AC59</f>
        <v>1.1599999999999999</v>
      </c>
      <c r="AD75" s="10">
        <f>+AC60</f>
        <v>1.4</v>
      </c>
      <c r="AE75" s="10"/>
      <c r="AF75" s="18">
        <f>0.4*Input_Output!$G$47</f>
        <v>361.46310345107702</v>
      </c>
      <c r="AG75" s="18">
        <f>+(Z84+Z85*$AG$78+Z86*$AG$78^2+Z87*$AG$78^3)*AG78</f>
        <v>1.3177714296122336</v>
      </c>
      <c r="AH75" s="18">
        <f>+(AB113+AB114*$AG$78+AB115*$AG$78^2)*AG78</f>
        <v>8.4160093711633923</v>
      </c>
      <c r="AI75" s="24">
        <f>+AVERAGE(AG75:AH75)</f>
        <v>4.8668904003878133</v>
      </c>
      <c r="AJ75" s="10"/>
    </row>
    <row r="76" spans="2:36" x14ac:dyDescent="0.2">
      <c r="B76" s="10"/>
      <c r="C76" s="10"/>
      <c r="D76" s="10"/>
      <c r="E76" s="10"/>
      <c r="F76" s="10"/>
      <c r="G76" s="10"/>
      <c r="H76" s="10"/>
      <c r="I76" s="10"/>
      <c r="J76" s="10"/>
      <c r="K76" s="8" t="s">
        <v>126</v>
      </c>
      <c r="N76">
        <v>250</v>
      </c>
      <c r="P76" s="10"/>
      <c r="Q76" s="10"/>
      <c r="R76" s="10"/>
      <c r="S76" s="10"/>
      <c r="T76" s="10"/>
      <c r="U76" s="10"/>
      <c r="V76" s="10"/>
      <c r="W76" s="10"/>
      <c r="X76" s="10">
        <v>140</v>
      </c>
      <c r="Y76" s="10">
        <v>42.672000000000004</v>
      </c>
      <c r="Z76" s="10">
        <f>+AD55</f>
        <v>0.9</v>
      </c>
      <c r="AA76" s="10">
        <f>+AD56</f>
        <v>0.88</v>
      </c>
      <c r="AB76" s="10">
        <f>+AD57</f>
        <v>0.9</v>
      </c>
      <c r="AC76" s="10">
        <f>+AD59</f>
        <v>1.1299999999999999</v>
      </c>
      <c r="AD76" s="10">
        <f>+AD60</f>
        <v>1.3</v>
      </c>
      <c r="AE76" s="10"/>
      <c r="AF76" s="18">
        <f>0.6*Input_Output!$G$47</f>
        <v>542.19465517661547</v>
      </c>
      <c r="AG76" s="18">
        <f>+(AA84+AA85*$AG$78+AA86*$AG$78^2+AA87*$AG$78^3)*AG78</f>
        <v>1.2960618400138071</v>
      </c>
      <c r="AH76" s="18">
        <f>+(AC113+AC114*$AG$78+AC115*$AG$78^2)*AG78</f>
        <v>6.7411733291524802</v>
      </c>
      <c r="AI76" s="24">
        <f t="shared" ref="AI76:AI80" si="8">+AVERAGE(AG76:AH76)</f>
        <v>4.0186175845831436</v>
      </c>
      <c r="AJ76" s="10"/>
    </row>
    <row r="77" spans="2:36" x14ac:dyDescent="0.2">
      <c r="B77" s="10"/>
      <c r="C77" s="10"/>
      <c r="D77" s="10"/>
      <c r="E77" s="10"/>
      <c r="F77" s="10"/>
      <c r="G77" s="10"/>
      <c r="H77" s="10"/>
      <c r="I77" s="10"/>
      <c r="J77" s="10"/>
      <c r="K77" s="8" t="s">
        <v>127</v>
      </c>
      <c r="N77">
        <v>250</v>
      </c>
      <c r="P77" s="10"/>
      <c r="Q77" s="10"/>
      <c r="R77" s="10"/>
      <c r="S77" s="10"/>
      <c r="T77" s="10"/>
      <c r="U77" s="10"/>
      <c r="V77" s="10"/>
      <c r="W77" s="10"/>
      <c r="X77" s="10">
        <v>200</v>
      </c>
      <c r="Y77" s="10">
        <v>60.96</v>
      </c>
      <c r="Z77" s="10">
        <f>+AE55</f>
        <v>1.1499999999999999</v>
      </c>
      <c r="AA77" s="10">
        <f>+AE56</f>
        <v>1</v>
      </c>
      <c r="AB77" s="10">
        <f>+AE57</f>
        <v>0.95</v>
      </c>
      <c r="AC77" s="10">
        <f>+AE59</f>
        <v>1.0900000000000001</v>
      </c>
      <c r="AD77" s="10">
        <f>+AE60</f>
        <v>1.25</v>
      </c>
      <c r="AE77" s="10"/>
      <c r="AF77" s="18">
        <f>0.8*Input_Output!$G$47</f>
        <v>722.92620690215404</v>
      </c>
      <c r="AG77" s="18">
        <f>+(AB84+AB85*$AG$78+AB86*$AG$78^2+AB87*$AG$78^3)*AG78</f>
        <v>2.4833580737357934</v>
      </c>
      <c r="AH77" s="18">
        <f>+(AD113+AD114*$AG$78+AD115*$AG$78^2)*AG78</f>
        <v>5.9062880630775521</v>
      </c>
      <c r="AI77" s="24">
        <f t="shared" si="8"/>
        <v>4.1948230684066727</v>
      </c>
      <c r="AJ77" s="10"/>
    </row>
    <row r="78" spans="2:36" x14ac:dyDescent="0.2">
      <c r="B78" s="10"/>
      <c r="C78" s="10"/>
      <c r="D78" s="10"/>
      <c r="E78" s="10"/>
      <c r="F78" s="10"/>
      <c r="G78" s="10"/>
      <c r="H78" s="10"/>
      <c r="I78" s="10"/>
      <c r="J78" s="10"/>
      <c r="K78" s="8" t="s">
        <v>128</v>
      </c>
      <c r="N78">
        <v>290</v>
      </c>
      <c r="P78" s="10"/>
      <c r="Q78" s="10"/>
      <c r="R78" s="10"/>
      <c r="S78" s="10"/>
      <c r="T78" s="10"/>
      <c r="U78" s="10"/>
      <c r="V78" s="10"/>
      <c r="W78" s="10"/>
      <c r="X78" s="10">
        <v>260</v>
      </c>
      <c r="Y78" s="10">
        <v>79.248000000000005</v>
      </c>
      <c r="Z78" s="10">
        <f>+AF55</f>
        <v>1.4</v>
      </c>
      <c r="AA78" s="10">
        <f>+AF56</f>
        <v>1.1499999999999999</v>
      </c>
      <c r="AB78" s="10">
        <f>+AF57</f>
        <v>1.03</v>
      </c>
      <c r="AC78" s="10">
        <f>+AF59</f>
        <v>1.08</v>
      </c>
      <c r="AD78" s="10">
        <f>+AF60</f>
        <v>1.2</v>
      </c>
      <c r="AE78" s="10"/>
      <c r="AF78" s="18">
        <f>1*Input_Output!$G$47</f>
        <v>903.65775862769249</v>
      </c>
      <c r="AG78" s="18">
        <f>+Input_Output!H47</f>
        <v>5.6141956637991299</v>
      </c>
      <c r="AH78" s="18">
        <f>+AG78</f>
        <v>5.6141956637991299</v>
      </c>
      <c r="AI78" s="24">
        <f t="shared" si="8"/>
        <v>5.6141956637991299</v>
      </c>
      <c r="AJ78" s="10"/>
    </row>
    <row r="79" spans="2:36" x14ac:dyDescent="0.2">
      <c r="B79" s="10"/>
      <c r="C79" s="10"/>
      <c r="D79" s="10"/>
      <c r="E79" s="10"/>
      <c r="F79" s="10"/>
      <c r="G79" s="10"/>
      <c r="H79" s="10"/>
      <c r="I79" s="10"/>
      <c r="J79" s="10"/>
      <c r="K79" s="8" t="s">
        <v>33</v>
      </c>
      <c r="M79" s="8"/>
      <c r="N79">
        <v>200</v>
      </c>
      <c r="P79" s="10"/>
      <c r="Q79" s="10"/>
      <c r="R79" s="10"/>
      <c r="S79" s="10"/>
      <c r="T79" s="10"/>
      <c r="U79" s="10"/>
      <c r="V79" s="10"/>
      <c r="W79" s="10"/>
      <c r="X79" s="10">
        <v>340</v>
      </c>
      <c r="Y79" s="10">
        <v>103.63200000000001</v>
      </c>
      <c r="Z79" s="10">
        <f>+AG55</f>
        <v>2.33</v>
      </c>
      <c r="AA79" s="10">
        <f>+AG56</f>
        <v>1.75</v>
      </c>
      <c r="AB79" s="10">
        <f>+AG57</f>
        <v>1.3</v>
      </c>
      <c r="AC79" s="10">
        <f>+AG59</f>
        <v>1.1499999999999999</v>
      </c>
      <c r="AD79" s="10">
        <f>+AG60</f>
        <v>1.35</v>
      </c>
      <c r="AE79" s="10"/>
      <c r="AF79" s="18">
        <f>1.1*Input_Output!$G$47</f>
        <v>994.02353449046177</v>
      </c>
      <c r="AG79" s="18">
        <f>+(AC84+AC85*$AG$78+AC86*$AG$78^2+AC87*$AG$78^3)*AG78</f>
        <v>8.4021492705377145</v>
      </c>
      <c r="AH79" s="18">
        <f>+(AE113+AE114*$AG$78+AE115*$AG$78^2)*AG78</f>
        <v>5.9062880630775521</v>
      </c>
      <c r="AI79" s="24">
        <f t="shared" si="8"/>
        <v>7.1542186668076333</v>
      </c>
      <c r="AJ79" s="10"/>
    </row>
    <row r="80" spans="2:36" x14ac:dyDescent="0.2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8">
        <f>1.2*Input_Output!$G$47</f>
        <v>1084.3893103532309</v>
      </c>
      <c r="AG80" s="18">
        <f>+(AD84+AD85*$AG$78+AD86*$AG$78^2+AD87*$AG$78^3)*AG78</f>
        <v>11.071713349958832</v>
      </c>
      <c r="AH80" s="18">
        <f>+(AF113+AF114*$AG$78+AF115*$AG$78^2)*AG78</f>
        <v>7.0459943001080836</v>
      </c>
      <c r="AI80" s="24">
        <f t="shared" si="8"/>
        <v>9.0588538250334576</v>
      </c>
      <c r="AJ80" s="10"/>
    </row>
    <row r="81" spans="2:36" x14ac:dyDescent="0.2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P81" s="10"/>
      <c r="Q81" s="10"/>
      <c r="R81" s="10"/>
      <c r="S81" s="10"/>
      <c r="T81" s="10"/>
      <c r="U81" s="10"/>
      <c r="V81" s="10"/>
      <c r="W81" s="10"/>
      <c r="X81" s="10"/>
      <c r="Y81" s="10" t="s">
        <v>129</v>
      </c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</row>
    <row r="82" spans="2:36" x14ac:dyDescent="0.2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2" t="s">
        <v>100</v>
      </c>
      <c r="AG82" s="10"/>
      <c r="AH82" s="10"/>
      <c r="AI82" s="10"/>
      <c r="AJ82" s="10"/>
    </row>
    <row r="83" spans="2:36" x14ac:dyDescent="0.2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P83" s="10"/>
      <c r="Q83" s="10"/>
      <c r="R83" s="10"/>
      <c r="S83" s="10"/>
      <c r="T83" s="10"/>
      <c r="U83" s="10"/>
      <c r="V83" s="10"/>
      <c r="W83" s="10"/>
      <c r="X83" s="10"/>
      <c r="Y83" s="11" t="s">
        <v>18</v>
      </c>
      <c r="Z83" s="10">
        <v>40</v>
      </c>
      <c r="AA83" s="10">
        <v>60</v>
      </c>
      <c r="AB83" s="10">
        <v>80</v>
      </c>
      <c r="AC83" s="10">
        <v>110</v>
      </c>
      <c r="AD83" s="10">
        <v>120</v>
      </c>
      <c r="AE83" s="10"/>
      <c r="AF83" s="23" t="s">
        <v>43</v>
      </c>
      <c r="AG83" s="23" t="s">
        <v>122</v>
      </c>
      <c r="AH83" s="23" t="s">
        <v>123</v>
      </c>
      <c r="AI83" s="23" t="s">
        <v>124</v>
      </c>
      <c r="AJ83" s="10"/>
    </row>
    <row r="84" spans="2:36" x14ac:dyDescent="0.2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P84" s="10"/>
      <c r="Q84" s="10"/>
      <c r="R84" s="10"/>
      <c r="S84" s="10"/>
      <c r="T84" s="10"/>
      <c r="U84" s="10"/>
      <c r="V84" s="10"/>
      <c r="W84" s="10"/>
      <c r="X84" s="10"/>
      <c r="Y84" s="10" t="s">
        <v>130</v>
      </c>
      <c r="Z84" s="16">
        <v>5.3845000000000004E-3</v>
      </c>
      <c r="AA84" s="16">
        <v>-7.0577000000000001E-3</v>
      </c>
      <c r="AB84" s="16">
        <v>0.28111000000000003</v>
      </c>
      <c r="AC84" s="16">
        <v>1.6188</v>
      </c>
      <c r="AD84" s="17">
        <v>2.1886000000000001</v>
      </c>
      <c r="AE84" s="16"/>
      <c r="AF84" s="18">
        <f>0.4*Input_Output!$G$47</f>
        <v>361.46310345107702</v>
      </c>
      <c r="AG84" s="18">
        <f>+(Z90+Z91*$AG$87+Z92*$AG$87^2+Z93*$AG$87^3)*AG87</f>
        <v>0.4496187237371741</v>
      </c>
      <c r="AH84" s="18">
        <f>+(AB118+AB119*$AG$87+AB120*$AG$87^2)*AG87</f>
        <v>8.4137447120935338</v>
      </c>
      <c r="AI84" s="24">
        <f>+AVERAGE(AG84:AH84)</f>
        <v>4.431681717915354</v>
      </c>
      <c r="AJ84" s="10"/>
    </row>
    <row r="85" spans="2:36" x14ac:dyDescent="0.2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P85" s="10"/>
      <c r="Q85" s="10"/>
      <c r="R85" s="10"/>
      <c r="S85" s="10"/>
      <c r="T85" s="10"/>
      <c r="U85" s="10"/>
      <c r="V85" s="10"/>
      <c r="W85" s="10"/>
      <c r="X85" s="10"/>
      <c r="Y85" s="10" t="s">
        <v>131</v>
      </c>
      <c r="Z85" s="16">
        <v>4.4935000000000003E-2</v>
      </c>
      <c r="AA85" s="16">
        <v>4.6706999999999999E-2</v>
      </c>
      <c r="AB85" s="16">
        <v>3.1517999999999997E-2</v>
      </c>
      <c r="AC85" s="16">
        <v>-2.3536999999999999E-2</v>
      </c>
      <c r="AD85" s="17">
        <v>-4.1638000000000001E-2</v>
      </c>
      <c r="AE85" s="16"/>
      <c r="AF85" s="18">
        <f>0.6*Input_Output!$G$47</f>
        <v>542.19465517661547</v>
      </c>
      <c r="AG85" s="18">
        <f>+(AA90+AA91*$AG$87+AA92*$AG$87^2+AA93*$AG$87^3)*AG87</f>
        <v>0.39608713201392809</v>
      </c>
      <c r="AH85" s="18">
        <f>+(AC118+AC119*$AG$87+AC120*$AG$87^2)*AG87</f>
        <v>6.7315589866775625</v>
      </c>
      <c r="AI85" s="24">
        <f t="shared" ref="AI85:AI89" si="9">+AVERAGE(AG85:AH85)</f>
        <v>3.5638230593457454</v>
      </c>
      <c r="AJ85" s="10"/>
    </row>
    <row r="86" spans="2:36" x14ac:dyDescent="0.2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P86" s="10"/>
      <c r="Q86" s="10"/>
      <c r="R86" s="10"/>
      <c r="S86" s="10"/>
      <c r="T86" s="10"/>
      <c r="U86" s="10"/>
      <c r="V86" s="10"/>
      <c r="W86" s="10"/>
      <c r="X86" s="10"/>
      <c r="Y86" s="10" t="s">
        <v>132</v>
      </c>
      <c r="Z86" s="16">
        <v>-7.5697000000000004E-4</v>
      </c>
      <c r="AA86" s="16">
        <v>-7.9903999999999999E-4</v>
      </c>
      <c r="AB86" s="16">
        <v>-5.1544000000000004E-4</v>
      </c>
      <c r="AC86" s="16">
        <v>3.2267E-4</v>
      </c>
      <c r="AD86" s="16">
        <v>5.6039999999999996E-4</v>
      </c>
      <c r="AE86" s="16"/>
      <c r="AF86" s="18">
        <f>0.8*Input_Output!$G$47</f>
        <v>722.92620690215404</v>
      </c>
      <c r="AG86" s="18">
        <f>+(AB90+AB91*$AG$87+AB92*$AG$87^2+AB93*$AG$87^3)*AG87</f>
        <v>1.8726146918283939</v>
      </c>
      <c r="AH86" s="18">
        <f>+(AD118+AD119*$AG$87+AD120*$AG$87^2)*AG87</f>
        <v>5.8907578468440018</v>
      </c>
      <c r="AI86" s="24">
        <f t="shared" si="9"/>
        <v>3.881686269336198</v>
      </c>
      <c r="AJ86" s="10"/>
    </row>
    <row r="87" spans="2:36" x14ac:dyDescent="0.2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P87" s="10"/>
      <c r="Q87" s="10"/>
      <c r="R87" s="10"/>
      <c r="S87" s="10"/>
      <c r="T87" s="10"/>
      <c r="U87" s="10"/>
      <c r="V87" s="10"/>
      <c r="W87" s="10"/>
      <c r="X87" s="10"/>
      <c r="Y87" s="10" t="s">
        <v>133</v>
      </c>
      <c r="Z87" s="17">
        <v>5.2105000000000003E-6</v>
      </c>
      <c r="AA87" s="10">
        <f xml:space="preserve"> 0.0000049446</f>
        <v>4.9446000000000001E-6</v>
      </c>
      <c r="AB87" s="10">
        <f xml:space="preserve"> 0.0000029586</f>
        <v>2.9585999999999999E-6</v>
      </c>
      <c r="AC87" s="10">
        <f xml:space="preserve"> -0.0000013503</f>
        <v>-1.3503E-6</v>
      </c>
      <c r="AD87" s="10">
        <f xml:space="preserve"> -0.0000022997</f>
        <v>-2.2997000000000002E-6</v>
      </c>
      <c r="AE87" s="10"/>
      <c r="AF87" s="18">
        <f>1*Input_Output!$G$47</f>
        <v>903.65775862769249</v>
      </c>
      <c r="AG87" s="18">
        <f>+Input_Output!$H$47</f>
        <v>5.6141956637991299</v>
      </c>
      <c r="AH87" s="18">
        <f>+AG87</f>
        <v>5.6141956637991299</v>
      </c>
      <c r="AI87" s="24">
        <f t="shared" si="9"/>
        <v>5.6141956637991299</v>
      </c>
      <c r="AJ87" s="10"/>
    </row>
    <row r="88" spans="2:36" x14ac:dyDescent="0.2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8">
        <f>1.1*Input_Output!$G$47</f>
        <v>994.02353449046177</v>
      </c>
      <c r="AG88" s="18">
        <f>+(AC90+AC91*$AG$87+AC92*$AG$87^2+AC93*$AG$87^3)*AG87</f>
        <v>8.867410992860755</v>
      </c>
      <c r="AH88" s="18">
        <f>+(AE118+AE119*$AG$87+AE120*$AG$87^2)*AG87</f>
        <v>5.8907578468440018</v>
      </c>
      <c r="AI88" s="24">
        <f t="shared" si="9"/>
        <v>7.3790844198523784</v>
      </c>
      <c r="AJ88" s="10"/>
    </row>
    <row r="89" spans="2:36" x14ac:dyDescent="0.2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P89" s="10"/>
      <c r="Q89" s="10"/>
      <c r="R89" s="10"/>
      <c r="S89" s="10"/>
      <c r="T89" s="10"/>
      <c r="U89" s="10"/>
      <c r="V89" s="10"/>
      <c r="W89" s="10"/>
      <c r="X89" s="10"/>
      <c r="Y89" s="11" t="s">
        <v>100</v>
      </c>
      <c r="Z89" s="16"/>
      <c r="AA89" s="10"/>
      <c r="AB89" s="10"/>
      <c r="AC89" s="10"/>
      <c r="AD89" s="10"/>
      <c r="AE89" s="10"/>
      <c r="AF89" s="18">
        <f>1.2*Input_Output!$G$47</f>
        <v>1084.3893103532309</v>
      </c>
      <c r="AG89" s="18">
        <f>+(AD90+AD91*$AG$87+AD92*$AG$87^2+AD93*$AG$87^3)*AG87</f>
        <v>11.896366660778845</v>
      </c>
      <c r="AH89" s="18">
        <f>+(AF118+AF119*$AG$87+AF120*$AG$87^2)*AG87</f>
        <v>7.0081170524050957</v>
      </c>
      <c r="AI89" s="24">
        <f t="shared" si="9"/>
        <v>9.4522418565919715</v>
      </c>
      <c r="AJ89" s="10"/>
    </row>
    <row r="90" spans="2:36" x14ac:dyDescent="0.2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P90" s="10"/>
      <c r="Q90" s="10"/>
      <c r="R90" s="10"/>
      <c r="S90" s="10"/>
      <c r="T90" s="10"/>
      <c r="U90" s="10"/>
      <c r="V90" s="10"/>
      <c r="W90" s="10"/>
      <c r="X90" s="10"/>
      <c r="Y90" s="10" t="s">
        <v>130</v>
      </c>
      <c r="Z90" s="16">
        <v>5.3845000000000004E-3</v>
      </c>
      <c r="AA90" s="17">
        <v>-7.0577000000000001E-3</v>
      </c>
      <c r="AB90" s="17">
        <v>0.28111000000000003</v>
      </c>
      <c r="AC90" s="17">
        <v>1.6188</v>
      </c>
      <c r="AD90" s="17">
        <v>2.1886000000000001</v>
      </c>
      <c r="AE90" s="10"/>
      <c r="AF90" s="10"/>
      <c r="AG90" s="10"/>
      <c r="AH90" s="10"/>
      <c r="AI90" s="10"/>
      <c r="AJ90" s="10"/>
    </row>
    <row r="91" spans="2:36" x14ac:dyDescent="0.2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P91" s="10"/>
      <c r="Q91" s="10"/>
      <c r="R91" s="10"/>
      <c r="S91" s="10"/>
      <c r="T91" s="10"/>
      <c r="U91" s="10"/>
      <c r="V91" s="10"/>
      <c r="W91" s="10"/>
      <c r="X91" s="10"/>
      <c r="Y91" s="10" t="s">
        <v>131</v>
      </c>
      <c r="Z91" s="16">
        <v>1.3696E-2</v>
      </c>
      <c r="AA91" s="17">
        <v>1.4236E-2</v>
      </c>
      <c r="AB91" s="17">
        <v>9.6068000000000004E-3</v>
      </c>
      <c r="AC91" s="17">
        <v>-7.1739000000000004E-3</v>
      </c>
      <c r="AD91" s="17">
        <v>-1.2690999999999999E-2</v>
      </c>
      <c r="AE91" s="10"/>
      <c r="AF91" s="10"/>
      <c r="AG91" s="10"/>
      <c r="AH91" s="10"/>
      <c r="AI91" s="10"/>
      <c r="AJ91" s="10"/>
    </row>
    <row r="92" spans="2:36" x14ac:dyDescent="0.2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P92" s="10"/>
      <c r="Q92" s="10"/>
      <c r="R92" s="10"/>
      <c r="S92" s="10"/>
      <c r="T92" s="10"/>
      <c r="U92" s="10"/>
      <c r="V92" s="10"/>
      <c r="W92" s="10"/>
      <c r="X92" s="10"/>
      <c r="Y92" s="10" t="s">
        <v>132</v>
      </c>
      <c r="Z92" s="16">
        <v>-7.0325000000000002E-5</v>
      </c>
      <c r="AA92" s="17">
        <v>-7.4233000000000006E-5</v>
      </c>
      <c r="AB92" s="17">
        <v>-4.7886000000000002E-5</v>
      </c>
      <c r="AC92" s="17">
        <v>2.9977000000000001E-5</v>
      </c>
      <c r="AD92" s="17">
        <v>5.2062999999999999E-5</v>
      </c>
      <c r="AE92" s="10"/>
      <c r="AF92" s="10"/>
      <c r="AG92" s="10"/>
      <c r="AH92" s="11" t="s">
        <v>18</v>
      </c>
      <c r="AI92" s="11" t="s">
        <v>100</v>
      </c>
      <c r="AJ92" s="10"/>
    </row>
    <row r="93" spans="2:36" x14ac:dyDescent="0.2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P93" s="10"/>
      <c r="Q93" s="10"/>
      <c r="R93" s="10"/>
      <c r="S93" s="10"/>
      <c r="T93" s="10"/>
      <c r="U93" s="10"/>
      <c r="V93" s="10"/>
      <c r="W93" s="10"/>
      <c r="X93" s="10"/>
      <c r="Y93" s="10" t="s">
        <v>133</v>
      </c>
      <c r="Z93" s="17">
        <v>1.4754000000000001E-7</v>
      </c>
      <c r="AA93" s="17">
        <v>1.4002000000000001E-7</v>
      </c>
      <c r="AB93" s="10">
        <f xml:space="preserve"> 0.000000083777</f>
        <v>8.3776999999999996E-8</v>
      </c>
      <c r="AC93" s="17">
        <v>-3.8237E-8</v>
      </c>
      <c r="AD93" s="17">
        <v>-6.5121000000000005E-8</v>
      </c>
      <c r="AE93" s="10"/>
      <c r="AF93" s="10"/>
      <c r="AG93" s="10" t="s">
        <v>43</v>
      </c>
      <c r="AH93" s="10" t="s">
        <v>134</v>
      </c>
      <c r="AI93" s="10" t="s">
        <v>134</v>
      </c>
      <c r="AJ93" s="10"/>
    </row>
    <row r="94" spans="2:36" x14ac:dyDescent="0.2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>
        <v>-200</v>
      </c>
      <c r="M94" s="2">
        <f t="shared" ref="M94" si="10">+(L94-32)/(9/5)</f>
        <v>-128.88888888888889</v>
      </c>
      <c r="N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21" t="s">
        <v>54</v>
      </c>
      <c r="AG94" s="22">
        <f>+Input_Output!G48</f>
        <v>823.7</v>
      </c>
      <c r="AH94" s="66">
        <f>+IF(AG94&gt;AF78,_xlfn.FORECAST.LINEAR(AG94,AI78:AI80,AF78:AF80),_xlfn.FORECAST.LINEAR(AG94,AI75:AI78,AF75:AF78))</f>
        <v>4.929369348563883</v>
      </c>
      <c r="AI94" s="66">
        <f>+IF(AG94&gt;AF87,_xlfn.FORECAST.LINEAR(AG94,AI87:AI89,AF87:AF89),_xlfn.FORECAST.LINEAR(AG94,AI84:AI87,AF84:AF87))</f>
        <v>4.7816473809685096</v>
      </c>
      <c r="AJ94" s="10"/>
    </row>
    <row r="95" spans="2:36" x14ac:dyDescent="0.2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21" t="s">
        <v>56</v>
      </c>
      <c r="AG95" s="22">
        <f>+Input_Output!G49</f>
        <v>875.5</v>
      </c>
      <c r="AH95" s="66">
        <f>+IF(AG95&gt;AF79,_xlfn.FORECAST.LINEAR(AG95,AI78:AI80,AF78:AF80),_xlfn.FORECAST.LINEAR(AG95,AI75:AI78,AF75:AF78))</f>
        <v>4.9986758314664348</v>
      </c>
      <c r="AI95" s="66">
        <f>+IF(AG95&gt;AF87,_xlfn.FORECAST.LINEAR(AG95,AI87:AI89,AF87:AF89),_xlfn.FORECAST.LINEAR(AG95,AI84:AI87,AF84:AF87))</f>
        <v>4.8924348884934332</v>
      </c>
      <c r="AJ95" s="10"/>
    </row>
    <row r="96" spans="2:36" x14ac:dyDescent="0.2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</row>
    <row r="97" spans="2:36" x14ac:dyDescent="0.2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7" t="s">
        <v>135</v>
      </c>
      <c r="AB97" s="20"/>
      <c r="AC97" s="20"/>
      <c r="AD97" s="20"/>
      <c r="AE97" s="20"/>
      <c r="AF97" s="20"/>
      <c r="AG97" s="20"/>
      <c r="AH97" s="20"/>
      <c r="AI97" s="20"/>
      <c r="AJ97" s="20"/>
    </row>
    <row r="98" spans="2:36" x14ac:dyDescent="0.2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 t="s">
        <v>119</v>
      </c>
      <c r="AB98" s="10" t="s">
        <v>120</v>
      </c>
      <c r="AC98" s="10"/>
      <c r="AD98" s="10"/>
      <c r="AE98" s="10"/>
      <c r="AF98" s="10"/>
      <c r="AG98" s="10"/>
      <c r="AH98" s="10"/>
      <c r="AI98" s="10"/>
      <c r="AJ98" s="10"/>
    </row>
    <row r="99" spans="2:36" x14ac:dyDescent="0.2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64" t="s">
        <v>100</v>
      </c>
      <c r="AA99" s="65" t="s">
        <v>18</v>
      </c>
      <c r="AB99" s="10">
        <v>40</v>
      </c>
      <c r="AC99" s="10">
        <v>60</v>
      </c>
      <c r="AD99" s="10">
        <v>80</v>
      </c>
      <c r="AE99" s="10">
        <v>100</v>
      </c>
      <c r="AF99" s="10">
        <v>110</v>
      </c>
      <c r="AG99" s="10">
        <v>120</v>
      </c>
      <c r="AH99" s="10">
        <v>130</v>
      </c>
      <c r="AI99" s="10"/>
      <c r="AJ99" s="10"/>
    </row>
    <row r="100" spans="2:36" x14ac:dyDescent="0.2"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9">
        <f>+AA100/0.3048</f>
        <v>3.280839895013123</v>
      </c>
      <c r="AA100" s="10">
        <v>1</v>
      </c>
      <c r="AB100" s="10">
        <v>1.5</v>
      </c>
      <c r="AC100" s="10">
        <v>1.2</v>
      </c>
      <c r="AD100" s="10">
        <v>1.05</v>
      </c>
      <c r="AE100" s="10">
        <v>1</v>
      </c>
      <c r="AF100" s="10">
        <v>1.05</v>
      </c>
      <c r="AG100" s="10">
        <v>1.25</v>
      </c>
      <c r="AH100" s="10">
        <v>1.65</v>
      </c>
      <c r="AI100" s="10"/>
      <c r="AJ100" s="10"/>
    </row>
    <row r="101" spans="2:36" x14ac:dyDescent="0.2"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9">
        <f t="shared" ref="Z101:Z107" si="11">+AA101/0.3048</f>
        <v>16.404199475065617</v>
      </c>
      <c r="AA101" s="10">
        <v>5</v>
      </c>
      <c r="AB101" s="10">
        <v>1.5</v>
      </c>
      <c r="AC101" s="10">
        <v>1.2</v>
      </c>
      <c r="AD101" s="10">
        <v>1.05</v>
      </c>
      <c r="AE101" s="10">
        <v>1</v>
      </c>
      <c r="AF101" s="10">
        <v>1.05</v>
      </c>
      <c r="AG101" s="10">
        <v>1.25</v>
      </c>
      <c r="AH101" s="10">
        <v>1.65</v>
      </c>
      <c r="AI101" s="10"/>
      <c r="AJ101" s="10"/>
    </row>
    <row r="102" spans="2:36" x14ac:dyDescent="0.2"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9">
        <f t="shared" si="11"/>
        <v>32.808398950131235</v>
      </c>
      <c r="AA102" s="10">
        <v>10</v>
      </c>
      <c r="AB102" s="10">
        <v>1.5</v>
      </c>
      <c r="AC102" s="10">
        <v>1.202</v>
      </c>
      <c r="AD102" s="10">
        <v>1.0549999999999999</v>
      </c>
      <c r="AE102" s="10">
        <v>1</v>
      </c>
      <c r="AF102" s="10">
        <v>1.0549999999999999</v>
      </c>
      <c r="AG102" s="10">
        <v>1.26</v>
      </c>
      <c r="AH102" s="10">
        <v>1.66</v>
      </c>
      <c r="AI102" s="10"/>
      <c r="AJ102" s="10"/>
    </row>
    <row r="103" spans="2:36" x14ac:dyDescent="0.2"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9">
        <f t="shared" si="11"/>
        <v>39.370078740157481</v>
      </c>
      <c r="AA103" s="10">
        <v>12</v>
      </c>
      <c r="AB103" s="10">
        <v>1.5049999999999999</v>
      </c>
      <c r="AC103" s="10">
        <v>1.2050000000000001</v>
      </c>
      <c r="AD103" s="10">
        <v>1.0549999999999999</v>
      </c>
      <c r="AE103" s="10">
        <v>1</v>
      </c>
      <c r="AF103" s="10">
        <v>1.0549999999999999</v>
      </c>
      <c r="AG103" s="10">
        <v>1.2649999999999999</v>
      </c>
      <c r="AH103" s="10">
        <v>1.67</v>
      </c>
      <c r="AI103" s="10"/>
      <c r="AJ103" s="10"/>
    </row>
    <row r="104" spans="2:36" x14ac:dyDescent="0.2"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9">
        <f t="shared" si="11"/>
        <v>49.212598425196845</v>
      </c>
      <c r="AA104" s="10">
        <v>15</v>
      </c>
      <c r="AB104" s="10">
        <v>1.5149999999999999</v>
      </c>
      <c r="AC104" s="10">
        <v>1.21</v>
      </c>
      <c r="AD104" s="10">
        <v>1.06</v>
      </c>
      <c r="AE104" s="10">
        <v>1</v>
      </c>
      <c r="AF104" s="10">
        <v>1.06</v>
      </c>
      <c r="AG104" s="10">
        <v>1.27</v>
      </c>
      <c r="AH104" s="10">
        <v>1.68</v>
      </c>
      <c r="AI104" s="10"/>
      <c r="AJ104" s="10"/>
    </row>
    <row r="105" spans="2:36" x14ac:dyDescent="0.2"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9">
        <f t="shared" si="11"/>
        <v>65.616797900262469</v>
      </c>
      <c r="AA105" s="10">
        <v>20</v>
      </c>
      <c r="AB105" s="10">
        <v>1.53</v>
      </c>
      <c r="AC105" s="10">
        <v>1.22</v>
      </c>
      <c r="AD105" s="10">
        <v>1.06</v>
      </c>
      <c r="AE105" s="10">
        <v>1</v>
      </c>
      <c r="AF105" s="10">
        <v>1.06</v>
      </c>
      <c r="AG105" s="10">
        <v>1.2749999999999999</v>
      </c>
      <c r="AH105" s="10">
        <v>1.68</v>
      </c>
      <c r="AI105" s="10"/>
      <c r="AJ105" s="10"/>
    </row>
    <row r="106" spans="2:36" x14ac:dyDescent="0.2"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9">
        <f t="shared" si="11"/>
        <v>82.020997375328079</v>
      </c>
      <c r="AA106" s="10">
        <v>25</v>
      </c>
      <c r="AB106" s="10">
        <v>1.55</v>
      </c>
      <c r="AC106" s="10">
        <v>1.23</v>
      </c>
      <c r="AD106" s="10">
        <v>1.0649999999999999</v>
      </c>
      <c r="AE106" s="10">
        <v>1</v>
      </c>
      <c r="AF106" s="10">
        <v>1.0649999999999999</v>
      </c>
      <c r="AG106" s="10">
        <v>1.278</v>
      </c>
      <c r="AH106" s="10">
        <v>1.68</v>
      </c>
      <c r="AI106" s="10"/>
      <c r="AJ106" s="10"/>
    </row>
    <row r="107" spans="2:36" x14ac:dyDescent="0.2"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9">
        <f t="shared" si="11"/>
        <v>98.425196850393689</v>
      </c>
      <c r="AA107" s="10">
        <v>30</v>
      </c>
      <c r="AB107" s="10">
        <v>1.57</v>
      </c>
      <c r="AC107" s="10">
        <v>1.24</v>
      </c>
      <c r="AD107" s="10">
        <v>1.0649999999999999</v>
      </c>
      <c r="AE107" s="10">
        <v>1</v>
      </c>
      <c r="AF107" s="10">
        <v>1.0649999999999999</v>
      </c>
      <c r="AG107" s="10">
        <v>1.28</v>
      </c>
      <c r="AH107" s="10">
        <v>1.68</v>
      </c>
      <c r="AI107" s="10"/>
      <c r="AJ107" s="10"/>
    </row>
    <row r="108" spans="2:36" x14ac:dyDescent="0.2"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</row>
    <row r="109" spans="2:36" x14ac:dyDescent="0.2"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</row>
    <row r="110" spans="2:36" x14ac:dyDescent="0.2"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 t="s">
        <v>129</v>
      </c>
      <c r="AB110" s="10"/>
      <c r="AC110" s="10"/>
      <c r="AD110" s="10"/>
      <c r="AE110" s="10"/>
      <c r="AF110" s="10"/>
      <c r="AG110" s="10"/>
      <c r="AH110" s="10"/>
      <c r="AI110" s="10"/>
      <c r="AJ110" s="10"/>
    </row>
    <row r="111" spans="2:36" x14ac:dyDescent="0.2"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</row>
    <row r="112" spans="2:36" x14ac:dyDescent="0.2"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1" t="s">
        <v>18</v>
      </c>
      <c r="AB112" s="10">
        <v>40</v>
      </c>
      <c r="AC112" s="10">
        <v>60</v>
      </c>
      <c r="AD112" s="10">
        <v>80</v>
      </c>
      <c r="AE112" s="10">
        <v>110</v>
      </c>
      <c r="AF112" s="10">
        <v>120</v>
      </c>
      <c r="AG112" s="10"/>
      <c r="AH112" s="11" t="s">
        <v>43</v>
      </c>
      <c r="AI112" s="11" t="s">
        <v>136</v>
      </c>
      <c r="AJ112" s="10"/>
    </row>
    <row r="113" spans="16:36" x14ac:dyDescent="0.2"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 t="s">
        <v>130</v>
      </c>
      <c r="AB113" s="16">
        <v>1.4990000000000001</v>
      </c>
      <c r="AC113" s="16">
        <f xml:space="preserve">  + 1.199</f>
        <v>1.1990000000000001</v>
      </c>
      <c r="AD113" s="16">
        <v>1.048</v>
      </c>
      <c r="AE113" s="16">
        <v>1.048</v>
      </c>
      <c r="AF113" s="17">
        <v>1.2451000000000001</v>
      </c>
      <c r="AG113" s="10"/>
      <c r="AH113" s="16">
        <f>+IF(Input_Output!$E$10='Support data'!$Z$3,'Support data'!AF75,'Support data'!AF84)</f>
        <v>361.46310345107702</v>
      </c>
      <c r="AI113" s="10">
        <f>+IF(Input_Output!$E$10='Support data'!$Z$3,'Support data'!AI75,'Support data'!AI84)</f>
        <v>4.8668904003878133</v>
      </c>
      <c r="AJ113" s="10"/>
    </row>
    <row r="114" spans="16:36" x14ac:dyDescent="0.2"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 t="s">
        <v>131</v>
      </c>
      <c r="AB114" s="16">
        <f>- 0.0005464</f>
        <v>-5.4640000000000005E-4</v>
      </c>
      <c r="AC114" s="16">
        <f xml:space="preserve"> + 0.00005319</f>
        <v>5.3189999999999997E-5</v>
      </c>
      <c r="AD114" s="16">
        <v>7.4567999999999998E-4</v>
      </c>
      <c r="AE114" s="16">
        <v>7.4567999999999998E-4</v>
      </c>
      <c r="AF114" s="16">
        <v>1.9017999999999999E-3</v>
      </c>
      <c r="AG114" s="10"/>
      <c r="AH114" s="16">
        <f>+IF(Input_Output!$E$10='Support data'!$Z$3,'Support data'!AF76,'Support data'!AF85)</f>
        <v>542.19465517661547</v>
      </c>
      <c r="AI114" s="10">
        <f>+IF(Input_Output!$E$10='Support data'!$Z$3,'Support data'!AI76,'Support data'!AI85)</f>
        <v>4.0186175845831436</v>
      </c>
      <c r="AJ114" s="10"/>
    </row>
    <row r="115" spans="16:36" x14ac:dyDescent="0.2"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 t="s">
        <v>132</v>
      </c>
      <c r="AB115" s="16">
        <f>0.00009919</f>
        <v>9.9190000000000004E-5</v>
      </c>
      <c r="AC115" s="16">
        <f xml:space="preserve"> 0.00004564</f>
        <v>4.5639999999999997E-5</v>
      </c>
      <c r="AD115" s="16">
        <v>-5.0421000000000004E-6</v>
      </c>
      <c r="AE115" s="16">
        <v>-5.0421000000000004E-6</v>
      </c>
      <c r="AF115" s="16">
        <f xml:space="preserve"> -0.000023644</f>
        <v>-2.3643999999999999E-5</v>
      </c>
      <c r="AG115" s="10"/>
      <c r="AH115" s="16">
        <f>+IF(Input_Output!$E$10='Support data'!$Z$3,'Support data'!AF77,'Support data'!AF86)</f>
        <v>722.92620690215404</v>
      </c>
      <c r="AI115" s="10">
        <f>+IF(Input_Output!$E$10='Support data'!$Z$3,'Support data'!AI77,'Support data'!AI86)</f>
        <v>4.1948230684066727</v>
      </c>
      <c r="AJ115" s="10"/>
    </row>
    <row r="116" spans="16:36" x14ac:dyDescent="0.2"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6">
        <f>+IF(Input_Output!$E$10='Support data'!$Z$3,'Support data'!AF78,'Support data'!AF87)</f>
        <v>903.65775862769249</v>
      </c>
      <c r="AI116" s="10">
        <f>+IF(Input_Output!$E$10='Support data'!$Z$3,'Support data'!AI78,'Support data'!AI87)</f>
        <v>5.6141956637991299</v>
      </c>
      <c r="AJ116" s="10"/>
    </row>
    <row r="117" spans="16:36" x14ac:dyDescent="0.2"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1" t="s">
        <v>100</v>
      </c>
      <c r="AB117" s="10"/>
      <c r="AC117" s="10"/>
      <c r="AD117" s="10"/>
      <c r="AE117" s="10"/>
      <c r="AF117" s="10"/>
      <c r="AG117" s="10"/>
      <c r="AH117" s="16">
        <f>+IF(Input_Output!$E$10='Support data'!$Z$3,'Support data'!AF79,'Support data'!AF88)</f>
        <v>994.02353449046177</v>
      </c>
      <c r="AI117" s="10">
        <f>+IF(Input_Output!$E$10='Support data'!$Z$3,'Support data'!AI79,'Support data'!AI88)</f>
        <v>7.1542186668076333</v>
      </c>
      <c r="AJ117" s="10"/>
    </row>
    <row r="118" spans="16:36" x14ac:dyDescent="0.2"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1" t="s">
        <v>130</v>
      </c>
      <c r="AB118" s="17">
        <v>1.4993000000000001</v>
      </c>
      <c r="AC118" s="17">
        <v>1.1988000000000001</v>
      </c>
      <c r="AD118" s="17">
        <v>1.048</v>
      </c>
      <c r="AE118" s="17">
        <v>1.048</v>
      </c>
      <c r="AF118" s="17">
        <v>1.2451000000000001</v>
      </c>
      <c r="AG118" s="10"/>
      <c r="AH118" s="16">
        <f>+IF(Input_Output!$E$10='Support data'!$Z$3,'Support data'!AF80,'Support data'!AF89)</f>
        <v>1084.3893103532309</v>
      </c>
      <c r="AI118" s="10">
        <f>+IF(Input_Output!$E$10='Support data'!$Z$3,'Support data'!AI80,'Support data'!AI89)</f>
        <v>9.0588538250334576</v>
      </c>
      <c r="AJ118" s="10"/>
    </row>
    <row r="119" spans="16:36" x14ac:dyDescent="0.2"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1" t="s">
        <v>131</v>
      </c>
      <c r="AB119" s="17">
        <v>-1.6655000000000001E-4</v>
      </c>
      <c r="AC119" s="17">
        <v>1.6212E-5</v>
      </c>
      <c r="AD119" s="17">
        <v>2.2728000000000001E-4</v>
      </c>
      <c r="AE119" s="17">
        <v>2.2728000000000001E-4</v>
      </c>
      <c r="AF119" s="17">
        <v>5.7967000000000001E-4</v>
      </c>
      <c r="AG119" s="10"/>
      <c r="AH119" s="16"/>
      <c r="AI119" s="10"/>
      <c r="AJ119" s="10"/>
    </row>
    <row r="120" spans="16:36" x14ac:dyDescent="0.2"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1" t="s">
        <v>132</v>
      </c>
      <c r="AB120" s="17">
        <v>9.2151999999999995E-6</v>
      </c>
      <c r="AC120" s="17">
        <v>4.2397000000000003E-6</v>
      </c>
      <c r="AD120" s="17">
        <v>-4.6843000000000002E-7</v>
      </c>
      <c r="AE120" s="17">
        <v>-4.6843000000000002E-7</v>
      </c>
      <c r="AF120" s="17">
        <v>-2.1965999999999999E-6</v>
      </c>
      <c r="AG120" s="10"/>
      <c r="AH120" s="16"/>
      <c r="AI120" s="10"/>
      <c r="AJ120" s="10"/>
    </row>
    <row r="121" spans="16:36" x14ac:dyDescent="0.2"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</row>
    <row r="122" spans="16:36" x14ac:dyDescent="0.2"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</row>
    <row r="123" spans="16:36" x14ac:dyDescent="0.2"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</row>
    <row r="124" spans="16:36" x14ac:dyDescent="0.2"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</row>
    <row r="125" spans="16:36" x14ac:dyDescent="0.2"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</row>
    <row r="126" spans="16:36" x14ac:dyDescent="0.2"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</row>
    <row r="127" spans="16:36" x14ac:dyDescent="0.2"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</row>
    <row r="128" spans="16:36" x14ac:dyDescent="0.2"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</row>
    <row r="129" spans="16:36" x14ac:dyDescent="0.2"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</row>
    <row r="130" spans="16:36" x14ac:dyDescent="0.2"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</row>
    <row r="131" spans="16:36" x14ac:dyDescent="0.2"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</row>
    <row r="132" spans="16:36" x14ac:dyDescent="0.2"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</row>
    <row r="133" spans="16:36" x14ac:dyDescent="0.2"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</row>
    <row r="134" spans="16:36" x14ac:dyDescent="0.2"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</row>
    <row r="135" spans="16:36" x14ac:dyDescent="0.2"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</row>
    <row r="136" spans="16:36" x14ac:dyDescent="0.2"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</row>
    <row r="137" spans="16:36" x14ac:dyDescent="0.2"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</row>
    <row r="138" spans="16:36" x14ac:dyDescent="0.2"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</row>
    <row r="139" spans="16:36" x14ac:dyDescent="0.2"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</row>
    <row r="140" spans="16:36" x14ac:dyDescent="0.2"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</row>
    <row r="141" spans="16:36" x14ac:dyDescent="0.2"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</row>
  </sheetData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098DE5-6FF4-4227-B3D4-609AB9ECB21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F783324-E8C3-4207-8EC7-A128539D5539}"/>
</file>

<file path=customXml/itemProps3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3</vt:i4>
      </vt:variant>
    </vt:vector>
  </HeadingPairs>
  <TitlesOfParts>
    <vt:vector size="6" baseType="lpstr">
      <vt:lpstr>Cover</vt:lpstr>
      <vt:lpstr>Input_Output</vt:lpstr>
      <vt:lpstr>Support data</vt:lpstr>
      <vt:lpstr>Cover!Area_stampa</vt:lpstr>
      <vt:lpstr>Input_Output!Area_stampa</vt:lpstr>
      <vt:lpstr>Input_Output!Suction_Diameter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Carmine Delli Quadri</cp:lastModifiedBy>
  <cp:revision/>
  <dcterms:created xsi:type="dcterms:W3CDTF">2005-04-18T17:50:19Z</dcterms:created>
  <dcterms:modified xsi:type="dcterms:W3CDTF">2023-12-21T09:22:45Z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