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Documentale\# Nuovo Documentale\Area di lavoro HSEQ\"/>
    </mc:Choice>
  </mc:AlternateContent>
  <xr:revisionPtr revIDLastSave="0" documentId="13_ncr:1_{F65CFCC0-2BB6-4D89-A9B5-FCE232A8BD81}" xr6:coauthVersionLast="47" xr6:coauthVersionMax="47" xr10:uidLastSave="{00000000-0000-0000-0000-000000000000}"/>
  <bookViews>
    <workbookView xWindow="-120" yWindow="-120" windowWidth="19440" windowHeight="15000" tabRatio="686" xr2:uid="{00000000-000D-0000-FFFF-FFFF00000000}"/>
  </bookViews>
  <sheets>
    <sheet name="Cover" sheetId="7" r:id="rId1"/>
    <sheet name="Input_Output" sheetId="5" r:id="rId2"/>
    <sheet name="Metric_Conversion" sheetId="13" state="hidden" r:id="rId3"/>
    <sheet name="EnergyLevel" sheetId="15" state="hidden" r:id="rId4"/>
    <sheet name="API610-12ed-preview" sheetId="16" state="hidden" r:id="rId5"/>
    <sheet name="Gulich" sheetId="17" state="hidden" r:id="rId6"/>
    <sheet name="St-Wk-Bradshaw" sheetId="18" state="hidden" r:id="rId7"/>
    <sheet name="Foglio2" sheetId="20" state="hidden" r:id="rId8"/>
    <sheet name="setup" sheetId="6" state="hidden" r:id="rId9"/>
  </sheets>
  <functionGroups builtInGroupCount="19"/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bga2">#REF!</definedName>
    <definedName name="_Col1" localSheetId="3">#REF!</definedName>
    <definedName name="_Col1">#REF!</definedName>
    <definedName name="_Col2" localSheetId="3">#REF!</definedName>
    <definedName name="_Col2">#REF!</definedName>
    <definedName name="_Col3" localSheetId="3">#REF!</definedName>
    <definedName name="_Col3">#REF!</definedName>
    <definedName name="_Col4">#REF!</definedName>
    <definedName name="_xlnm._FilterDatabase" localSheetId="3" hidden="1">EnergyLevel!$B$53:$AP$307</definedName>
    <definedName name="a">#REF!</definedName>
    <definedName name="Ac">#REF!</definedName>
    <definedName name="adsv">#REF!</definedName>
    <definedName name="_xlnm.Print_Area" localSheetId="0">Cover!$A$1:$AD$48</definedName>
    <definedName name="_xlnm.Print_Area" localSheetId="1">Input_Output!$B$3:$K$50</definedName>
    <definedName name="_xlnm.Print_Area" localSheetId="2">Metric_Conversion!$B$3:$K$45</definedName>
    <definedName name="asdfg">[1]DAF!$F$17:$F$20</definedName>
    <definedName name="bga">#REF!</definedName>
    <definedName name="bp">#REF!</definedName>
    <definedName name="CARATTERISTICHE" localSheetId="3">#REF!</definedName>
    <definedName name="CARATTERISTICHE">#REF!</definedName>
    <definedName name="CK">#REF!</definedName>
    <definedName name="CURVA_RIFERIMENTO" localSheetId="3">#REF!</definedName>
    <definedName name="CURVA_RIFERIMENTO">#REF!</definedName>
    <definedName name="d">#REF!</definedName>
    <definedName name="das">#REF!</definedName>
    <definedName name="DATA">[2]Bearings!$B$6:$Z$14</definedName>
    <definedName name="ddd">'[3]From RPI'!$AB$90</definedName>
    <definedName name="DEN">'[4] '!$C$5:$C$37</definedName>
    <definedName name="Doc_type">#REF!</definedName>
    <definedName name="DOCID">[5]listes!$C$2:$C$150</definedName>
    <definedName name="dpt_code">#REF!</definedName>
    <definedName name="EQPT_LIST_UNIT_31">#REF!</definedName>
    <definedName name="FACTORS">#REF!</definedName>
    <definedName name="fm">#REF!</definedName>
    <definedName name="Impeller_Eye_Area" localSheetId="0">#REF!</definedName>
    <definedName name="Impeller_Eye_Area" localSheetId="1">Input_Output!#REF!</definedName>
    <definedName name="Impeller_Eye_Area" localSheetId="2">Metric_Conversion!#REF!</definedName>
    <definedName name="Impeller_Eye_Area">#REF!</definedName>
    <definedName name="Impeller_Eye_Diameter" localSheetId="0">#REF!</definedName>
    <definedName name="Impeller_Eye_Diameter" localSheetId="1">Input_Output!#REF!</definedName>
    <definedName name="Impeller_Eye_Diameter" localSheetId="2">Metric_Conversion!#REF!</definedName>
    <definedName name="Impeller_Eye_Diameter">#REF!</definedName>
    <definedName name="Impeller_Hub_Diameter" localSheetId="0">#REF!</definedName>
    <definedName name="Impeller_Hub_Diameter" localSheetId="1">Input_Output!#REF!</definedName>
    <definedName name="Impeller_Hub_Diameter" localSheetId="2">Metric_Conversion!#REF!</definedName>
    <definedName name="Impeller_Hub_Diameter">#REF!</definedName>
    <definedName name="Impeller_Inlet_Diameter" localSheetId="0">#REF!</definedName>
    <definedName name="Impeller_Inlet_Diameter" localSheetId="1">Input_Output!#REF!</definedName>
    <definedName name="Impeller_Inlet_Diameter" localSheetId="2">Metric_Conversion!#REF!</definedName>
    <definedName name="Impeller_Inlet_Diameter">#REF!</definedName>
    <definedName name="indx" localSheetId="3">#REF!</definedName>
    <definedName name="indx">#REF!</definedName>
    <definedName name="INT_DIAM">#REF!</definedName>
    <definedName name="Items" localSheetId="3">#REF!</definedName>
    <definedName name="Items">#REF!</definedName>
    <definedName name="kl">#REF!</definedName>
    <definedName name="KR">#REF!</definedName>
    <definedName name="LAG" localSheetId="3">#REF!</definedName>
    <definedName name="LAG">#REF!</definedName>
    <definedName name="Language">#REF!</definedName>
    <definedName name="Larghezza">#REF!</definedName>
    <definedName name="LENGHTS">#REF!</definedName>
    <definedName name="LINE_LIST_UNIT_31">#REF!</definedName>
    <definedName name="ListIndex">#REF!</definedName>
    <definedName name="MAT">#REF!</definedName>
    <definedName name="Number">#REF!</definedName>
    <definedName name="pipesize">#REF!</definedName>
    <definedName name="Portata">#REF!</definedName>
    <definedName name="portatacalcolo">'[6]Basi di progetto'!$D$16</definedName>
    <definedName name="portataminima">'[6]Basi di progetto'!$D$10</definedName>
    <definedName name="portatanera">'[6]Basi di progetto'!$D$14</definedName>
    <definedName name="portcalcolo">#REF!</definedName>
    <definedName name="portnera">#REF!</definedName>
    <definedName name="Print_Area_MI">#REF!</definedName>
    <definedName name="prtpioggia">'[6]Basi di progetto'!$D$12</definedName>
    <definedName name="pump">#REF!</definedName>
    <definedName name="PUMPCALC">'[7]PUMP CALCULATION'!$J$4</definedName>
    <definedName name="PUMPDATA">'[7]PUMP CALCULATION'!$J$12</definedName>
    <definedName name="q">#REF!</definedName>
    <definedName name="references">#REF!</definedName>
    <definedName name="rev">#REF!</definedName>
    <definedName name="RevTable">#REF!</definedName>
    <definedName name="Rgas">#REF!</definedName>
    <definedName name="rhokl">#REF!</definedName>
    <definedName name="ROUGHNESS">#REF!</definedName>
    <definedName name="RPM">#REF!</definedName>
    <definedName name="s">'[3]From RPI'!$AB$88</definedName>
    <definedName name="solub">#REF!</definedName>
    <definedName name="Speed">[8]Utility!$A$3</definedName>
    <definedName name="Suction_Diameter" localSheetId="0">#REF!</definedName>
    <definedName name="Suction_Diameter" localSheetId="1">Input_Output!#REF!</definedName>
    <definedName name="Suction_Diameter" localSheetId="2">Metric_Conversion!$M$16</definedName>
    <definedName name="Suction_Diameter">#REF!</definedName>
    <definedName name="Sup">#REF!</definedName>
    <definedName name="title">#REF!</definedName>
    <definedName name="TRASPORTA" localSheetId="3">#REF!</definedName>
    <definedName name="TRASPORTA">#REF!</definedName>
    <definedName name="uh">#REF!</definedName>
    <definedName name="UNIT">[5]listes!$D$2:$D$150</definedName>
    <definedName name="Unit_number">#REF!</definedName>
    <definedName name="units">#REF!</definedName>
    <definedName name="Values" localSheetId="3">#REF!</definedName>
    <definedName name="Values">#REF!</definedName>
    <definedName name="velocita_di_progetto">#REF!</definedName>
    <definedName name="velocità_di_progetto">#REF!</definedName>
    <definedName name="velocitamassima">#REF!</definedName>
    <definedName name="velocitaminima">#REF!</definedName>
    <definedName name="VH">#REF!</definedName>
    <definedName name="vt">#REF!</definedName>
    <definedName name="WC">[5]listes!$A$2:$A$25</definedName>
    <definedName name="work_center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15" l="1"/>
  <c r="H11" i="15"/>
  <c r="L5" i="16"/>
  <c r="K5" i="16"/>
  <c r="I5" i="16"/>
  <c r="I6" i="16"/>
  <c r="I7" i="16"/>
  <c r="I8" i="16"/>
  <c r="I9" i="16"/>
  <c r="I10" i="16"/>
  <c r="I11" i="16"/>
  <c r="I12" i="16"/>
  <c r="I4" i="16"/>
  <c r="B32" i="15"/>
  <c r="B31" i="15"/>
  <c r="D12" i="16"/>
  <c r="D5" i="16"/>
  <c r="D6" i="16"/>
  <c r="D7" i="16"/>
  <c r="D8" i="16"/>
  <c r="D9" i="16"/>
  <c r="D10" i="16"/>
  <c r="D11" i="16"/>
  <c r="D4" i="16"/>
  <c r="F53" i="13" l="1"/>
  <c r="F53" i="5" s="1"/>
  <c r="F54" i="5" s="1"/>
  <c r="AW20" i="15"/>
  <c r="AX20" i="15"/>
  <c r="AY20" i="15"/>
  <c r="AZ20" i="15"/>
  <c r="AW21" i="15"/>
  <c r="AX21" i="15"/>
  <c r="AY21" i="15"/>
  <c r="AZ21" i="15"/>
  <c r="AW22" i="15"/>
  <c r="AX22" i="15"/>
  <c r="AY22" i="15"/>
  <c r="AZ22" i="15"/>
  <c r="AW23" i="15"/>
  <c r="AX23" i="15"/>
  <c r="AY23" i="15"/>
  <c r="AZ23" i="15"/>
  <c r="AW24" i="15"/>
  <c r="AX24" i="15"/>
  <c r="AY24" i="15"/>
  <c r="AZ24" i="15"/>
  <c r="AW25" i="15"/>
  <c r="AX25" i="15"/>
  <c r="AY25" i="15"/>
  <c r="AZ25" i="15"/>
  <c r="AW26" i="15"/>
  <c r="AX26" i="15"/>
  <c r="AY26" i="15"/>
  <c r="AZ26" i="15"/>
  <c r="AW27" i="15"/>
  <c r="AX27" i="15"/>
  <c r="AY27" i="15"/>
  <c r="AZ27" i="15"/>
  <c r="AW28" i="15"/>
  <c r="AX28" i="15"/>
  <c r="AY28" i="15"/>
  <c r="AZ28" i="15"/>
  <c r="AW29" i="15"/>
  <c r="AX29" i="15"/>
  <c r="AY29" i="15"/>
  <c r="AZ29" i="15"/>
  <c r="AW30" i="15"/>
  <c r="AX30" i="15"/>
  <c r="AY30" i="15"/>
  <c r="AZ30" i="15"/>
  <c r="AW31" i="15"/>
  <c r="AX31" i="15"/>
  <c r="AY31" i="15"/>
  <c r="AZ31" i="15"/>
  <c r="AW32" i="15"/>
  <c r="AX32" i="15"/>
  <c r="AY32" i="15"/>
  <c r="AZ32" i="15"/>
  <c r="AW33" i="15"/>
  <c r="AX33" i="15"/>
  <c r="AY33" i="15"/>
  <c r="AZ33" i="15"/>
  <c r="AW34" i="15"/>
  <c r="AX34" i="15"/>
  <c r="AY34" i="15"/>
  <c r="AZ34" i="15"/>
  <c r="AW35" i="15"/>
  <c r="AX35" i="15"/>
  <c r="AY35" i="15"/>
  <c r="AZ35" i="15"/>
  <c r="AW36" i="15"/>
  <c r="AX36" i="15"/>
  <c r="AY36" i="15"/>
  <c r="AZ36" i="15"/>
  <c r="AW37" i="15"/>
  <c r="AX37" i="15"/>
  <c r="AY37" i="15"/>
  <c r="AZ37" i="15"/>
  <c r="AW38" i="15"/>
  <c r="AX38" i="15"/>
  <c r="AY38" i="15"/>
  <c r="AZ38" i="15"/>
  <c r="AW39" i="15"/>
  <c r="AX39" i="15"/>
  <c r="AY39" i="15"/>
  <c r="AZ39" i="15"/>
  <c r="AW40" i="15"/>
  <c r="AX40" i="15"/>
  <c r="AY40" i="15"/>
  <c r="AZ40" i="15"/>
  <c r="AW41" i="15"/>
  <c r="AX41" i="15"/>
  <c r="AY41" i="15"/>
  <c r="AZ41" i="15"/>
  <c r="AW42" i="15"/>
  <c r="AX42" i="15"/>
  <c r="AY42" i="15"/>
  <c r="AZ42" i="15"/>
  <c r="AW43" i="15"/>
  <c r="AX43" i="15"/>
  <c r="AY43" i="15"/>
  <c r="AZ43" i="15"/>
  <c r="AW44" i="15"/>
  <c r="AX44" i="15"/>
  <c r="AY44" i="15"/>
  <c r="AZ44" i="15"/>
  <c r="AW45" i="15"/>
  <c r="AX45" i="15"/>
  <c r="AY45" i="15"/>
  <c r="AZ45" i="15"/>
  <c r="AW46" i="15"/>
  <c r="AX46" i="15"/>
  <c r="AY46" i="15"/>
  <c r="AZ46" i="15"/>
  <c r="AX19" i="15"/>
  <c r="AY19" i="15"/>
  <c r="AZ19" i="15"/>
  <c r="AW19" i="15"/>
  <c r="AV20" i="15"/>
  <c r="AV21" i="15"/>
  <c r="AV22" i="15"/>
  <c r="AV23" i="15"/>
  <c r="AV24" i="15"/>
  <c r="AV25" i="15"/>
  <c r="AV26" i="15"/>
  <c r="AV27" i="15"/>
  <c r="AV28" i="15"/>
  <c r="AV29" i="15"/>
  <c r="AV30" i="15"/>
  <c r="AV31" i="15"/>
  <c r="AV32" i="15"/>
  <c r="AV33" i="15"/>
  <c r="AV34" i="15"/>
  <c r="AV35" i="15"/>
  <c r="AV36" i="15"/>
  <c r="AV37" i="15"/>
  <c r="AV38" i="15"/>
  <c r="AV39" i="15"/>
  <c r="AV40" i="15"/>
  <c r="AV41" i="15"/>
  <c r="AV42" i="15"/>
  <c r="AV43" i="15"/>
  <c r="AV44" i="15"/>
  <c r="AV45" i="15"/>
  <c r="AV46" i="15"/>
  <c r="AV19" i="15"/>
  <c r="AU46" i="15"/>
  <c r="AS46" i="15"/>
  <c r="AU45" i="15"/>
  <c r="AS45" i="15"/>
  <c r="AU44" i="15"/>
  <c r="AS44" i="15"/>
  <c r="AU43" i="15"/>
  <c r="AS43" i="15"/>
  <c r="AU42" i="15"/>
  <c r="AS42" i="15"/>
  <c r="AU41" i="15"/>
  <c r="AS41" i="15"/>
  <c r="AU40" i="15"/>
  <c r="AS40" i="15"/>
  <c r="AU39" i="15"/>
  <c r="AS39" i="15"/>
  <c r="AU38" i="15"/>
  <c r="AS38" i="15"/>
  <c r="AU37" i="15"/>
  <c r="AS37" i="15"/>
  <c r="AU36" i="15"/>
  <c r="AS36" i="15"/>
  <c r="AU35" i="15"/>
  <c r="AS35" i="15"/>
  <c r="AU34" i="15"/>
  <c r="AS34" i="15"/>
  <c r="AU33" i="15"/>
  <c r="AS33" i="15"/>
  <c r="AU32" i="15"/>
  <c r="AS32" i="15"/>
  <c r="AU31" i="15"/>
  <c r="AS31" i="15"/>
  <c r="AU30" i="15"/>
  <c r="AS30" i="15"/>
  <c r="AU29" i="15"/>
  <c r="AS29" i="15"/>
  <c r="AU28" i="15"/>
  <c r="AS28" i="15"/>
  <c r="AU27" i="15"/>
  <c r="AS27" i="15"/>
  <c r="AU26" i="15"/>
  <c r="AS26" i="15"/>
  <c r="AU25" i="15"/>
  <c r="AS25" i="15"/>
  <c r="AU24" i="15"/>
  <c r="AS24" i="15"/>
  <c r="AU23" i="15"/>
  <c r="AS23" i="15"/>
  <c r="AU22" i="15"/>
  <c r="AS22" i="15"/>
  <c r="AU21" i="15"/>
  <c r="AS21" i="15"/>
  <c r="AU20" i="15"/>
  <c r="AS20" i="15"/>
  <c r="AU19" i="15"/>
  <c r="AS19" i="15"/>
  <c r="AO20" i="15"/>
  <c r="AO21" i="15"/>
  <c r="AO22" i="15"/>
  <c r="AO23" i="15"/>
  <c r="AO24" i="15"/>
  <c r="AO25" i="15"/>
  <c r="AO26" i="15"/>
  <c r="AO27" i="15"/>
  <c r="AO28" i="15"/>
  <c r="AO29" i="15"/>
  <c r="AO30" i="15"/>
  <c r="AO31" i="15"/>
  <c r="AO32" i="15"/>
  <c r="AO33" i="15"/>
  <c r="AO34" i="15"/>
  <c r="AO35" i="15"/>
  <c r="AO36" i="15"/>
  <c r="AO37" i="15"/>
  <c r="AO38" i="15"/>
  <c r="AO39" i="15"/>
  <c r="AO40" i="15"/>
  <c r="AO41" i="15"/>
  <c r="AO42" i="15"/>
  <c r="AO43" i="15"/>
  <c r="AO44" i="15"/>
  <c r="AO45" i="15"/>
  <c r="AO46" i="15"/>
  <c r="AO19" i="15"/>
  <c r="H47" i="5"/>
  <c r="H46" i="5"/>
  <c r="H45" i="5"/>
  <c r="H29" i="18"/>
  <c r="G29" i="18"/>
  <c r="D29" i="18"/>
  <c r="C29" i="18"/>
  <c r="B29" i="18"/>
  <c r="D28" i="18"/>
  <c r="C28" i="18"/>
  <c r="B28" i="18"/>
  <c r="H28" i="18" s="1"/>
  <c r="H27" i="18"/>
  <c r="G27" i="18"/>
  <c r="D27" i="18"/>
  <c r="C27" i="18"/>
  <c r="B27" i="18"/>
  <c r="D26" i="18"/>
  <c r="C26" i="18"/>
  <c r="B26" i="18"/>
  <c r="H26" i="18" s="1"/>
  <c r="G25" i="18"/>
  <c r="D25" i="18"/>
  <c r="C25" i="18"/>
  <c r="B25" i="18"/>
  <c r="H25" i="18" s="1"/>
  <c r="D24" i="18"/>
  <c r="C24" i="18"/>
  <c r="B24" i="18"/>
  <c r="H24" i="18" s="1"/>
  <c r="H23" i="18"/>
  <c r="G23" i="18"/>
  <c r="D23" i="18"/>
  <c r="C23" i="18"/>
  <c r="B23" i="18"/>
  <c r="D22" i="18"/>
  <c r="C22" i="18"/>
  <c r="B22" i="18"/>
  <c r="H22" i="18" s="1"/>
  <c r="G21" i="18"/>
  <c r="D21" i="18"/>
  <c r="C21" i="18"/>
  <c r="B21" i="18"/>
  <c r="H21" i="18" s="1"/>
  <c r="H20" i="18"/>
  <c r="D20" i="18"/>
  <c r="C20" i="18"/>
  <c r="B20" i="18"/>
  <c r="G20" i="18" s="1"/>
  <c r="H14" i="18"/>
  <c r="G14" i="18"/>
  <c r="H13" i="18"/>
  <c r="G13" i="18"/>
  <c r="H12" i="18"/>
  <c r="G12" i="18"/>
  <c r="H11" i="18"/>
  <c r="G11" i="18"/>
  <c r="H10" i="18"/>
  <c r="G10" i="18"/>
  <c r="H9" i="18"/>
  <c r="G9" i="18"/>
  <c r="H8" i="18"/>
  <c r="G8" i="18"/>
  <c r="H7" i="18"/>
  <c r="G7" i="18"/>
  <c r="H6" i="18"/>
  <c r="G6" i="18"/>
  <c r="H5" i="18"/>
  <c r="G5" i="18"/>
  <c r="G12" i="16"/>
  <c r="F12" i="16"/>
  <c r="H12" i="16" s="1"/>
  <c r="C12" i="16"/>
  <c r="G11" i="16"/>
  <c r="F11" i="16"/>
  <c r="H11" i="16" s="1"/>
  <c r="C11" i="16"/>
  <c r="G10" i="16"/>
  <c r="F10" i="16"/>
  <c r="H10" i="16" s="1"/>
  <c r="C10" i="16"/>
  <c r="G9" i="16"/>
  <c r="F9" i="16"/>
  <c r="H9" i="16" s="1"/>
  <c r="C9" i="16"/>
  <c r="G8" i="16"/>
  <c r="F8" i="16"/>
  <c r="H8" i="16" s="1"/>
  <c r="C8" i="16"/>
  <c r="G7" i="16"/>
  <c r="F7" i="16"/>
  <c r="H7" i="16" s="1"/>
  <c r="C7" i="16"/>
  <c r="G6" i="16"/>
  <c r="F6" i="16"/>
  <c r="H6" i="16" s="1"/>
  <c r="C6" i="16"/>
  <c r="G5" i="16"/>
  <c r="F5" i="16"/>
  <c r="H5" i="16" s="1"/>
  <c r="C5" i="16"/>
  <c r="G4" i="16"/>
  <c r="F4" i="16"/>
  <c r="H4" i="16" s="1"/>
  <c r="C4" i="16"/>
  <c r="G28" i="18" l="1"/>
  <c r="G26" i="18"/>
  <c r="G24" i="18"/>
  <c r="G22" i="18"/>
  <c r="O19" i="15" l="1"/>
  <c r="BA19" i="15" s="1"/>
  <c r="D10" i="13"/>
  <c r="F10" i="13"/>
  <c r="F9" i="13"/>
  <c r="C8" i="13"/>
  <c r="D8" i="13"/>
  <c r="E8" i="13"/>
  <c r="F8" i="13"/>
  <c r="B7" i="13"/>
  <c r="B8" i="13"/>
  <c r="B9" i="13"/>
  <c r="B6" i="13"/>
  <c r="F9" i="5"/>
  <c r="J12" i="13"/>
  <c r="C10" i="13" l="1"/>
  <c r="B10" i="13"/>
  <c r="E10" i="13"/>
  <c r="I8" i="13"/>
  <c r="I7" i="13"/>
  <c r="E7" i="13"/>
  <c r="I41" i="13" s="1"/>
  <c r="J11" i="13"/>
  <c r="J10" i="13"/>
  <c r="D9" i="13"/>
  <c r="C9" i="13"/>
  <c r="I10" i="5"/>
  <c r="I11" i="5"/>
  <c r="J11" i="5"/>
  <c r="J10" i="5"/>
  <c r="F54" i="15" l="1"/>
  <c r="AV52" i="15" s="1"/>
  <c r="I47" i="5"/>
  <c r="I14" i="13"/>
  <c r="I11" i="13"/>
  <c r="I10" i="13"/>
  <c r="N54" i="15"/>
  <c r="M54" i="15"/>
  <c r="U50" i="15"/>
  <c r="V46" i="15"/>
  <c r="BH46" i="15" s="1"/>
  <c r="U46" i="15"/>
  <c r="Q46" i="15"/>
  <c r="BC46" i="15" s="1"/>
  <c r="P46" i="15"/>
  <c r="BB46" i="15" s="1"/>
  <c r="O46" i="15"/>
  <c r="BA46" i="15" s="1"/>
  <c r="F46" i="15"/>
  <c r="AR46" i="15" s="1"/>
  <c r="E46" i="15"/>
  <c r="AQ46" i="15" s="1"/>
  <c r="D46" i="15"/>
  <c r="AP46" i="15" s="1"/>
  <c r="X45" i="15"/>
  <c r="BJ45" i="15" s="1"/>
  <c r="U45" i="15"/>
  <c r="T45" i="15"/>
  <c r="S45" i="15"/>
  <c r="R45" i="15"/>
  <c r="BD45" i="15" s="1"/>
  <c r="Q45" i="15"/>
  <c r="BC45" i="15" s="1"/>
  <c r="P45" i="15"/>
  <c r="BB45" i="15" s="1"/>
  <c r="O45" i="15"/>
  <c r="BA45" i="15" s="1"/>
  <c r="F45" i="15"/>
  <c r="AR45" i="15" s="1"/>
  <c r="E45" i="15"/>
  <c r="AQ45" i="15" s="1"/>
  <c r="D45" i="15"/>
  <c r="AP45" i="15" s="1"/>
  <c r="U44" i="15"/>
  <c r="T44" i="15"/>
  <c r="BF44" i="15" s="1"/>
  <c r="S44" i="15"/>
  <c r="BE44" i="15" s="1"/>
  <c r="R44" i="15"/>
  <c r="BD44" i="15" s="1"/>
  <c r="Q44" i="15"/>
  <c r="BC44" i="15" s="1"/>
  <c r="P44" i="15"/>
  <c r="BB44" i="15" s="1"/>
  <c r="O44" i="15"/>
  <c r="BA44" i="15" s="1"/>
  <c r="F44" i="15"/>
  <c r="AR44" i="15" s="1"/>
  <c r="E44" i="15"/>
  <c r="AQ44" i="15" s="1"/>
  <c r="D44" i="15"/>
  <c r="AP44" i="15" s="1"/>
  <c r="U43" i="15"/>
  <c r="BG43" i="15" s="1"/>
  <c r="T43" i="15"/>
  <c r="BF43" i="15" s="1"/>
  <c r="S43" i="15"/>
  <c r="BE43" i="15" s="1"/>
  <c r="R43" i="15"/>
  <c r="BD43" i="15" s="1"/>
  <c r="Q43" i="15"/>
  <c r="BC43" i="15" s="1"/>
  <c r="P43" i="15"/>
  <c r="BB43" i="15" s="1"/>
  <c r="O43" i="15"/>
  <c r="BA43" i="15" s="1"/>
  <c r="F43" i="15"/>
  <c r="AR43" i="15" s="1"/>
  <c r="E43" i="15"/>
  <c r="AQ43" i="15" s="1"/>
  <c r="D43" i="15"/>
  <c r="AP43" i="15" s="1"/>
  <c r="U42" i="15"/>
  <c r="T42" i="15"/>
  <c r="BF42" i="15" s="1"/>
  <c r="S42" i="15"/>
  <c r="BE42" i="15" s="1"/>
  <c r="R42" i="15"/>
  <c r="BD42" i="15" s="1"/>
  <c r="Q42" i="15"/>
  <c r="BC42" i="15" s="1"/>
  <c r="P42" i="15"/>
  <c r="BB42" i="15" s="1"/>
  <c r="O42" i="15"/>
  <c r="BA42" i="15" s="1"/>
  <c r="F42" i="15"/>
  <c r="AR42" i="15" s="1"/>
  <c r="E42" i="15"/>
  <c r="AQ42" i="15" s="1"/>
  <c r="D42" i="15"/>
  <c r="AP42" i="15" s="1"/>
  <c r="U41" i="15"/>
  <c r="T41" i="15"/>
  <c r="BF41" i="15" s="1"/>
  <c r="S41" i="15"/>
  <c r="BE41" i="15" s="1"/>
  <c r="R41" i="15"/>
  <c r="BD41" i="15" s="1"/>
  <c r="Q41" i="15"/>
  <c r="BC41" i="15" s="1"/>
  <c r="P41" i="15"/>
  <c r="BB41" i="15" s="1"/>
  <c r="O41" i="15"/>
  <c r="BA41" i="15" s="1"/>
  <c r="F41" i="15"/>
  <c r="AR41" i="15" s="1"/>
  <c r="E41" i="15"/>
  <c r="AQ41" i="15" s="1"/>
  <c r="D41" i="15"/>
  <c r="AP41" i="15" s="1"/>
  <c r="U40" i="15"/>
  <c r="T40" i="15"/>
  <c r="BF40" i="15" s="1"/>
  <c r="S40" i="15"/>
  <c r="BE40" i="15" s="1"/>
  <c r="R40" i="15"/>
  <c r="BD40" i="15" s="1"/>
  <c r="Q40" i="15"/>
  <c r="BC40" i="15" s="1"/>
  <c r="P40" i="15"/>
  <c r="BB40" i="15" s="1"/>
  <c r="O40" i="15"/>
  <c r="BA40" i="15" s="1"/>
  <c r="F40" i="15"/>
  <c r="AR40" i="15" s="1"/>
  <c r="E40" i="15"/>
  <c r="AQ40" i="15" s="1"/>
  <c r="D40" i="15"/>
  <c r="AP40" i="15" s="1"/>
  <c r="W39" i="15"/>
  <c r="BI39" i="15" s="1"/>
  <c r="V39" i="15"/>
  <c r="BH39" i="15" s="1"/>
  <c r="U39" i="15"/>
  <c r="BG39" i="15" s="1"/>
  <c r="T39" i="15"/>
  <c r="BF39" i="15" s="1"/>
  <c r="S39" i="15"/>
  <c r="BE39" i="15" s="1"/>
  <c r="R39" i="15"/>
  <c r="BD39" i="15" s="1"/>
  <c r="Q39" i="15"/>
  <c r="BC39" i="15" s="1"/>
  <c r="P39" i="15"/>
  <c r="BB39" i="15" s="1"/>
  <c r="O39" i="15"/>
  <c r="BA39" i="15" s="1"/>
  <c r="F39" i="15"/>
  <c r="AR39" i="15" s="1"/>
  <c r="E39" i="15"/>
  <c r="AQ39" i="15" s="1"/>
  <c r="D39" i="15"/>
  <c r="AP39" i="15" s="1"/>
  <c r="U38" i="15"/>
  <c r="T38" i="15"/>
  <c r="BF38" i="15" s="1"/>
  <c r="S38" i="15"/>
  <c r="BE38" i="15" s="1"/>
  <c r="R38" i="15"/>
  <c r="BD38" i="15" s="1"/>
  <c r="Q38" i="15"/>
  <c r="BC38" i="15" s="1"/>
  <c r="P38" i="15"/>
  <c r="BB38" i="15" s="1"/>
  <c r="O38" i="15"/>
  <c r="BA38" i="15" s="1"/>
  <c r="F38" i="15"/>
  <c r="AR38" i="15" s="1"/>
  <c r="E38" i="15"/>
  <c r="AQ38" i="15" s="1"/>
  <c r="D38" i="15"/>
  <c r="AP38" i="15" s="1"/>
  <c r="V37" i="15"/>
  <c r="BH37" i="15" s="1"/>
  <c r="U37" i="15"/>
  <c r="T37" i="15"/>
  <c r="BF37" i="15" s="1"/>
  <c r="S37" i="15"/>
  <c r="BE37" i="15" s="1"/>
  <c r="R37" i="15"/>
  <c r="BD37" i="15" s="1"/>
  <c r="Q37" i="15"/>
  <c r="BC37" i="15" s="1"/>
  <c r="P37" i="15"/>
  <c r="BB37" i="15" s="1"/>
  <c r="O37" i="15"/>
  <c r="BA37" i="15" s="1"/>
  <c r="F37" i="15"/>
  <c r="AR37" i="15" s="1"/>
  <c r="E37" i="15"/>
  <c r="AQ37" i="15" s="1"/>
  <c r="D37" i="15"/>
  <c r="AP37" i="15" s="1"/>
  <c r="X36" i="15"/>
  <c r="BJ36" i="15" s="1"/>
  <c r="U36" i="15"/>
  <c r="T36" i="15"/>
  <c r="BF36" i="15" s="1"/>
  <c r="S36" i="15"/>
  <c r="BE36" i="15" s="1"/>
  <c r="R36" i="15"/>
  <c r="BD36" i="15" s="1"/>
  <c r="Q36" i="15"/>
  <c r="BC36" i="15" s="1"/>
  <c r="P36" i="15"/>
  <c r="BB36" i="15" s="1"/>
  <c r="O36" i="15"/>
  <c r="BA36" i="15" s="1"/>
  <c r="F36" i="15"/>
  <c r="AR36" i="15" s="1"/>
  <c r="E36" i="15"/>
  <c r="AQ36" i="15" s="1"/>
  <c r="D36" i="15"/>
  <c r="AP36" i="15" s="1"/>
  <c r="U35" i="15"/>
  <c r="T35" i="15"/>
  <c r="BF35" i="15" s="1"/>
  <c r="S35" i="15"/>
  <c r="BE35" i="15" s="1"/>
  <c r="R35" i="15"/>
  <c r="BD35" i="15" s="1"/>
  <c r="Q35" i="15"/>
  <c r="BC35" i="15" s="1"/>
  <c r="P35" i="15"/>
  <c r="BB35" i="15" s="1"/>
  <c r="O35" i="15"/>
  <c r="BA35" i="15" s="1"/>
  <c r="F35" i="15"/>
  <c r="AR35" i="15" s="1"/>
  <c r="E35" i="15"/>
  <c r="AQ35" i="15" s="1"/>
  <c r="D35" i="15"/>
  <c r="AP35" i="15" s="1"/>
  <c r="U34" i="15"/>
  <c r="T34" i="15"/>
  <c r="BF34" i="15" s="1"/>
  <c r="S34" i="15"/>
  <c r="BE34" i="15" s="1"/>
  <c r="R34" i="15"/>
  <c r="BD34" i="15" s="1"/>
  <c r="Q34" i="15"/>
  <c r="BC34" i="15" s="1"/>
  <c r="P34" i="15"/>
  <c r="BB34" i="15" s="1"/>
  <c r="O34" i="15"/>
  <c r="BA34" i="15" s="1"/>
  <c r="F34" i="15"/>
  <c r="AR34" i="15" s="1"/>
  <c r="E34" i="15"/>
  <c r="AQ34" i="15" s="1"/>
  <c r="D34" i="15"/>
  <c r="AP34" i="15" s="1"/>
  <c r="U33" i="15"/>
  <c r="T33" i="15"/>
  <c r="BF33" i="15" s="1"/>
  <c r="S33" i="15"/>
  <c r="BE33" i="15" s="1"/>
  <c r="R33" i="15"/>
  <c r="BD33" i="15" s="1"/>
  <c r="Q33" i="15"/>
  <c r="BC33" i="15" s="1"/>
  <c r="P33" i="15"/>
  <c r="BB33" i="15" s="1"/>
  <c r="O33" i="15"/>
  <c r="BA33" i="15" s="1"/>
  <c r="F33" i="15"/>
  <c r="AR33" i="15" s="1"/>
  <c r="E33" i="15"/>
  <c r="AQ33" i="15" s="1"/>
  <c r="D33" i="15"/>
  <c r="AP33" i="15" s="1"/>
  <c r="X32" i="15"/>
  <c r="BJ32" i="15" s="1"/>
  <c r="W32" i="15"/>
  <c r="BI32" i="15" s="1"/>
  <c r="U32" i="15"/>
  <c r="T32" i="15"/>
  <c r="BF32" i="15" s="1"/>
  <c r="S32" i="15"/>
  <c r="BE32" i="15" s="1"/>
  <c r="R32" i="15"/>
  <c r="BD32" i="15" s="1"/>
  <c r="Q32" i="15"/>
  <c r="BC32" i="15" s="1"/>
  <c r="P32" i="15"/>
  <c r="BB32" i="15" s="1"/>
  <c r="O32" i="15"/>
  <c r="BA32" i="15" s="1"/>
  <c r="F32" i="15"/>
  <c r="AR32" i="15" s="1"/>
  <c r="E32" i="15"/>
  <c r="AQ32" i="15" s="1"/>
  <c r="D32" i="15"/>
  <c r="AP32" i="15" s="1"/>
  <c r="U31" i="15"/>
  <c r="T31" i="15"/>
  <c r="BF31" i="15" s="1"/>
  <c r="S31" i="15"/>
  <c r="BE31" i="15" s="1"/>
  <c r="R31" i="15"/>
  <c r="BD31" i="15" s="1"/>
  <c r="Q31" i="15"/>
  <c r="BC31" i="15" s="1"/>
  <c r="P31" i="15"/>
  <c r="BB31" i="15" s="1"/>
  <c r="O31" i="15"/>
  <c r="BA31" i="15" s="1"/>
  <c r="F31" i="15"/>
  <c r="AR31" i="15" s="1"/>
  <c r="E31" i="15"/>
  <c r="AQ31" i="15" s="1"/>
  <c r="D31" i="15"/>
  <c r="AP31" i="15" s="1"/>
  <c r="U30" i="15"/>
  <c r="T30" i="15"/>
  <c r="BF30" i="15" s="1"/>
  <c r="S30" i="15"/>
  <c r="BE30" i="15" s="1"/>
  <c r="R30" i="15"/>
  <c r="BD30" i="15" s="1"/>
  <c r="Q30" i="15"/>
  <c r="BC30" i="15" s="1"/>
  <c r="P30" i="15"/>
  <c r="BB30" i="15" s="1"/>
  <c r="O30" i="15"/>
  <c r="BA30" i="15" s="1"/>
  <c r="F30" i="15"/>
  <c r="AR30" i="15" s="1"/>
  <c r="E30" i="15"/>
  <c r="AQ30" i="15" s="1"/>
  <c r="D30" i="15"/>
  <c r="AP30" i="15" s="1"/>
  <c r="U29" i="15"/>
  <c r="T29" i="15"/>
  <c r="BF29" i="15" s="1"/>
  <c r="S29" i="15"/>
  <c r="BE29" i="15" s="1"/>
  <c r="R29" i="15"/>
  <c r="BD29" i="15" s="1"/>
  <c r="Q29" i="15"/>
  <c r="BC29" i="15" s="1"/>
  <c r="P29" i="15"/>
  <c r="BB29" i="15" s="1"/>
  <c r="O29" i="15"/>
  <c r="BA29" i="15" s="1"/>
  <c r="F29" i="15"/>
  <c r="AR29" i="15" s="1"/>
  <c r="E29" i="15"/>
  <c r="AQ29" i="15" s="1"/>
  <c r="D29" i="15"/>
  <c r="AP29" i="15" s="1"/>
  <c r="U28" i="15"/>
  <c r="T28" i="15"/>
  <c r="BF28" i="15" s="1"/>
  <c r="S28" i="15"/>
  <c r="BE28" i="15" s="1"/>
  <c r="R28" i="15"/>
  <c r="BD28" i="15" s="1"/>
  <c r="Q28" i="15"/>
  <c r="BC28" i="15" s="1"/>
  <c r="P28" i="15"/>
  <c r="BB28" i="15" s="1"/>
  <c r="O28" i="15"/>
  <c r="BA28" i="15" s="1"/>
  <c r="F28" i="15"/>
  <c r="AR28" i="15" s="1"/>
  <c r="E28" i="15"/>
  <c r="AQ28" i="15" s="1"/>
  <c r="D28" i="15"/>
  <c r="AP28" i="15" s="1"/>
  <c r="U27" i="15"/>
  <c r="T27" i="15"/>
  <c r="BF27" i="15" s="1"/>
  <c r="S27" i="15"/>
  <c r="BE27" i="15" s="1"/>
  <c r="R27" i="15"/>
  <c r="BD27" i="15" s="1"/>
  <c r="Q27" i="15"/>
  <c r="BC27" i="15" s="1"/>
  <c r="P27" i="15"/>
  <c r="BB27" i="15" s="1"/>
  <c r="O27" i="15"/>
  <c r="BA27" i="15" s="1"/>
  <c r="F27" i="15"/>
  <c r="AR27" i="15" s="1"/>
  <c r="E27" i="15"/>
  <c r="AQ27" i="15" s="1"/>
  <c r="D27" i="15"/>
  <c r="AP27" i="15" s="1"/>
  <c r="X26" i="15"/>
  <c r="BJ26" i="15" s="1"/>
  <c r="V26" i="15"/>
  <c r="BH26" i="15" s="1"/>
  <c r="U26" i="15"/>
  <c r="BG26" i="15" s="1"/>
  <c r="T26" i="15"/>
  <c r="BF26" i="15" s="1"/>
  <c r="S26" i="15"/>
  <c r="BE26" i="15" s="1"/>
  <c r="R26" i="15"/>
  <c r="BD26" i="15" s="1"/>
  <c r="Q26" i="15"/>
  <c r="BC26" i="15" s="1"/>
  <c r="P26" i="15"/>
  <c r="BB26" i="15" s="1"/>
  <c r="O26" i="15"/>
  <c r="BA26" i="15" s="1"/>
  <c r="F26" i="15"/>
  <c r="AR26" i="15" s="1"/>
  <c r="E26" i="15"/>
  <c r="AQ26" i="15" s="1"/>
  <c r="D26" i="15"/>
  <c r="AP26" i="15" s="1"/>
  <c r="X25" i="15"/>
  <c r="BJ25" i="15" s="1"/>
  <c r="U25" i="15"/>
  <c r="T25" i="15"/>
  <c r="BF25" i="15" s="1"/>
  <c r="S25" i="15"/>
  <c r="BE25" i="15" s="1"/>
  <c r="R25" i="15"/>
  <c r="BD25" i="15" s="1"/>
  <c r="Q25" i="15"/>
  <c r="BC25" i="15" s="1"/>
  <c r="P25" i="15"/>
  <c r="BB25" i="15" s="1"/>
  <c r="O25" i="15"/>
  <c r="BA25" i="15" s="1"/>
  <c r="F25" i="15"/>
  <c r="AR25" i="15" s="1"/>
  <c r="E25" i="15"/>
  <c r="AQ25" i="15" s="1"/>
  <c r="D25" i="15"/>
  <c r="AP25" i="15" s="1"/>
  <c r="U24" i="15"/>
  <c r="T24" i="15"/>
  <c r="BF24" i="15" s="1"/>
  <c r="S24" i="15"/>
  <c r="BE24" i="15" s="1"/>
  <c r="R24" i="15"/>
  <c r="BD24" i="15" s="1"/>
  <c r="Q24" i="15"/>
  <c r="BC24" i="15" s="1"/>
  <c r="P24" i="15"/>
  <c r="BB24" i="15" s="1"/>
  <c r="O24" i="15"/>
  <c r="BA24" i="15" s="1"/>
  <c r="F24" i="15"/>
  <c r="AR24" i="15" s="1"/>
  <c r="E24" i="15"/>
  <c r="AQ24" i="15" s="1"/>
  <c r="D24" i="15"/>
  <c r="AP24" i="15" s="1"/>
  <c r="U23" i="15"/>
  <c r="T23" i="15"/>
  <c r="BF23" i="15" s="1"/>
  <c r="S23" i="15"/>
  <c r="BE23" i="15" s="1"/>
  <c r="R23" i="15"/>
  <c r="BD23" i="15" s="1"/>
  <c r="Q23" i="15"/>
  <c r="BC23" i="15" s="1"/>
  <c r="P23" i="15"/>
  <c r="BB23" i="15" s="1"/>
  <c r="O23" i="15"/>
  <c r="BA23" i="15" s="1"/>
  <c r="F23" i="15"/>
  <c r="AR23" i="15" s="1"/>
  <c r="E23" i="15"/>
  <c r="AQ23" i="15" s="1"/>
  <c r="D23" i="15"/>
  <c r="AP23" i="15" s="1"/>
  <c r="U22" i="15"/>
  <c r="T22" i="15"/>
  <c r="BF22" i="15" s="1"/>
  <c r="S22" i="15"/>
  <c r="BE22" i="15" s="1"/>
  <c r="R22" i="15"/>
  <c r="BD22" i="15" s="1"/>
  <c r="Q22" i="15"/>
  <c r="BC22" i="15" s="1"/>
  <c r="P22" i="15"/>
  <c r="BB22" i="15" s="1"/>
  <c r="O22" i="15"/>
  <c r="BA22" i="15" s="1"/>
  <c r="F22" i="15"/>
  <c r="AR22" i="15" s="1"/>
  <c r="E22" i="15"/>
  <c r="AQ22" i="15" s="1"/>
  <c r="D22" i="15"/>
  <c r="AP22" i="15" s="1"/>
  <c r="U21" i="15"/>
  <c r="X21" i="15" s="1"/>
  <c r="BJ21" i="15" s="1"/>
  <c r="T21" i="15"/>
  <c r="BF21" i="15" s="1"/>
  <c r="S21" i="15"/>
  <c r="BE21" i="15" s="1"/>
  <c r="R21" i="15"/>
  <c r="BD21" i="15" s="1"/>
  <c r="Q21" i="15"/>
  <c r="BC21" i="15" s="1"/>
  <c r="P21" i="15"/>
  <c r="BB21" i="15" s="1"/>
  <c r="O21" i="15"/>
  <c r="BA21" i="15" s="1"/>
  <c r="F21" i="15"/>
  <c r="AR21" i="15" s="1"/>
  <c r="E21" i="15"/>
  <c r="AQ21" i="15" s="1"/>
  <c r="D21" i="15"/>
  <c r="AP21" i="15" s="1"/>
  <c r="U20" i="15"/>
  <c r="T20" i="15"/>
  <c r="BF20" i="15" s="1"/>
  <c r="S20" i="15"/>
  <c r="BE20" i="15" s="1"/>
  <c r="R20" i="15"/>
  <c r="BD20" i="15" s="1"/>
  <c r="Q20" i="15"/>
  <c r="BC20" i="15" s="1"/>
  <c r="P20" i="15"/>
  <c r="BB20" i="15" s="1"/>
  <c r="O20" i="15"/>
  <c r="BA20" i="15" s="1"/>
  <c r="F20" i="15"/>
  <c r="AR20" i="15" s="1"/>
  <c r="E20" i="15"/>
  <c r="AQ20" i="15" s="1"/>
  <c r="D20" i="15"/>
  <c r="AP20" i="15" s="1"/>
  <c r="U19" i="15"/>
  <c r="T19" i="15"/>
  <c r="BF19" i="15" s="1"/>
  <c r="S19" i="15"/>
  <c r="BE19" i="15" s="1"/>
  <c r="R19" i="15"/>
  <c r="BD19" i="15" s="1"/>
  <c r="Q19" i="15"/>
  <c r="BC19" i="15" s="1"/>
  <c r="P19" i="15"/>
  <c r="BB19" i="15" s="1"/>
  <c r="F19" i="15"/>
  <c r="AR19" i="15" s="1"/>
  <c r="E19" i="15"/>
  <c r="AQ19" i="15" s="1"/>
  <c r="D19" i="15"/>
  <c r="AP19" i="15" s="1"/>
  <c r="I12" i="13" l="1"/>
  <c r="D53" i="13" s="1"/>
  <c r="D53" i="5" s="1"/>
  <c r="H24" i="15"/>
  <c r="AT24" i="15" s="1"/>
  <c r="H25" i="15"/>
  <c r="AT25" i="15" s="1"/>
  <c r="H26" i="15"/>
  <c r="AT26" i="15" s="1"/>
  <c r="H27" i="15"/>
  <c r="AT27" i="15" s="1"/>
  <c r="H28" i="15"/>
  <c r="AT28" i="15" s="1"/>
  <c r="H31" i="15"/>
  <c r="AT31" i="15" s="1"/>
  <c r="H20" i="15"/>
  <c r="AT20" i="15" s="1"/>
  <c r="H19" i="15"/>
  <c r="AT19" i="15" s="1"/>
  <c r="H23" i="15"/>
  <c r="AT23" i="15" s="1"/>
  <c r="H29" i="15"/>
  <c r="AT29" i="15" s="1"/>
  <c r="H21" i="15"/>
  <c r="AT21" i="15" s="1"/>
  <c r="H30" i="15"/>
  <c r="AT30" i="15" s="1"/>
  <c r="H32" i="15"/>
  <c r="AT32" i="15" s="1"/>
  <c r="H22" i="15"/>
  <c r="AT22" i="15" s="1"/>
  <c r="E54" i="15"/>
  <c r="Y54" i="15" s="1"/>
  <c r="AT34" i="15"/>
  <c r="AT37" i="15"/>
  <c r="AT38" i="15"/>
  <c r="AT39" i="15"/>
  <c r="AT41" i="15"/>
  <c r="AT42" i="15"/>
  <c r="AT40" i="15"/>
  <c r="AT43" i="15"/>
  <c r="AT44" i="15"/>
  <c r="AT33" i="15"/>
  <c r="AT45" i="15"/>
  <c r="AT46" i="15"/>
  <c r="AT35" i="15"/>
  <c r="AT36" i="15"/>
  <c r="X22" i="15"/>
  <c r="BJ22" i="15" s="1"/>
  <c r="BG22" i="15"/>
  <c r="R46" i="15"/>
  <c r="BD46" i="15" s="1"/>
  <c r="X20" i="15"/>
  <c r="BJ20" i="15" s="1"/>
  <c r="BG20" i="15"/>
  <c r="S46" i="15"/>
  <c r="BE46" i="15" s="1"/>
  <c r="BE45" i="15"/>
  <c r="X46" i="15"/>
  <c r="BJ46" i="15" s="1"/>
  <c r="BG46" i="15"/>
  <c r="T46" i="15"/>
  <c r="BF46" i="15" s="1"/>
  <c r="BF45" i="15"/>
  <c r="X42" i="15"/>
  <c r="BJ42" i="15" s="1"/>
  <c r="BG42" i="15"/>
  <c r="V43" i="15"/>
  <c r="BH43" i="15" s="1"/>
  <c r="W45" i="15"/>
  <c r="BI45" i="15" s="1"/>
  <c r="BG45" i="15"/>
  <c r="W46" i="15"/>
  <c r="BI46" i="15" s="1"/>
  <c r="W36" i="15"/>
  <c r="BI36" i="15" s="1"/>
  <c r="BG36" i="15"/>
  <c r="X37" i="15"/>
  <c r="BJ37" i="15" s="1"/>
  <c r="BG37" i="15"/>
  <c r="X38" i="15"/>
  <c r="BJ38" i="15" s="1"/>
  <c r="BG38" i="15"/>
  <c r="W41" i="15"/>
  <c r="BI41" i="15" s="1"/>
  <c r="BG41" i="15"/>
  <c r="W43" i="15"/>
  <c r="BI43" i="15" s="1"/>
  <c r="W44" i="15"/>
  <c r="BI44" i="15" s="1"/>
  <c r="BG44" i="15"/>
  <c r="X19" i="15"/>
  <c r="BJ19" i="15" s="1"/>
  <c r="BG19" i="15"/>
  <c r="W40" i="15"/>
  <c r="BI40" i="15" s="1"/>
  <c r="BG40" i="15"/>
  <c r="V32" i="15"/>
  <c r="BH32" i="15" s="1"/>
  <c r="BG32" i="15"/>
  <c r="X34" i="15"/>
  <c r="BJ34" i="15" s="1"/>
  <c r="BG34" i="15"/>
  <c r="X39" i="15"/>
  <c r="BJ39" i="15" s="1"/>
  <c r="V31" i="15"/>
  <c r="BH31" i="15" s="1"/>
  <c r="BG31" i="15"/>
  <c r="W33" i="15"/>
  <c r="BI33" i="15" s="1"/>
  <c r="BG33" i="15"/>
  <c r="W35" i="15"/>
  <c r="BI35" i="15" s="1"/>
  <c r="BG35" i="15"/>
  <c r="X43" i="15"/>
  <c r="BJ43" i="15" s="1"/>
  <c r="W30" i="15"/>
  <c r="BI30" i="15" s="1"/>
  <c r="BG30" i="15"/>
  <c r="W21" i="15"/>
  <c r="BI21" i="15" s="1"/>
  <c r="BG21" i="15"/>
  <c r="W25" i="15"/>
  <c r="BI25" i="15" s="1"/>
  <c r="BG25" i="15"/>
  <c r="W29" i="15"/>
  <c r="BI29" i="15" s="1"/>
  <c r="BG29" i="15"/>
  <c r="W24" i="15"/>
  <c r="BI24" i="15" s="1"/>
  <c r="BG24" i="15"/>
  <c r="X28" i="15"/>
  <c r="BJ28" i="15" s="1"/>
  <c r="BG28" i="15"/>
  <c r="V23" i="15"/>
  <c r="BH23" i="15" s="1"/>
  <c r="BG23" i="15"/>
  <c r="W26" i="15"/>
  <c r="BI26" i="15" s="1"/>
  <c r="V27" i="15"/>
  <c r="BH27" i="15" s="1"/>
  <c r="BG27" i="15"/>
  <c r="V40" i="15"/>
  <c r="BH40" i="15" s="1"/>
  <c r="W27" i="15"/>
  <c r="BI27" i="15" s="1"/>
  <c r="W31" i="15"/>
  <c r="BI31" i="15" s="1"/>
  <c r="X44" i="15"/>
  <c r="BJ44" i="15" s="1"/>
  <c r="V45" i="15"/>
  <c r="BH45" i="15" s="1"/>
  <c r="X27" i="15"/>
  <c r="BJ27" i="15" s="1"/>
  <c r="X31" i="15"/>
  <c r="BJ31" i="15" s="1"/>
  <c r="V33" i="15"/>
  <c r="BH33" i="15" s="1"/>
  <c r="V20" i="15"/>
  <c r="BH20" i="15" s="1"/>
  <c r="X33" i="15"/>
  <c r="BJ33" i="15" s="1"/>
  <c r="W37" i="15"/>
  <c r="BI37" i="15" s="1"/>
  <c r="V19" i="15"/>
  <c r="BH19" i="15" s="1"/>
  <c r="V34" i="15"/>
  <c r="BH34" i="15" s="1"/>
  <c r="W20" i="15"/>
  <c r="BI20" i="15" s="1"/>
  <c r="V38" i="15"/>
  <c r="BH38" i="15" s="1"/>
  <c r="V21" i="15"/>
  <c r="BH21" i="15" s="1"/>
  <c r="X24" i="15"/>
  <c r="BJ24" i="15" s="1"/>
  <c r="V25" i="15"/>
  <c r="BH25" i="15" s="1"/>
  <c r="W38" i="15"/>
  <c r="BI38" i="15" s="1"/>
  <c r="W19" i="15"/>
  <c r="BI19" i="15" s="1"/>
  <c r="V44" i="15"/>
  <c r="BH44" i="15" s="1"/>
  <c r="X30" i="15"/>
  <c r="BJ30" i="15" s="1"/>
  <c r="D51" i="13"/>
  <c r="D51" i="5" s="1"/>
  <c r="D54" i="15"/>
  <c r="I15" i="13"/>
  <c r="I39" i="13"/>
  <c r="W22" i="15"/>
  <c r="BI22" i="15" s="1"/>
  <c r="W28" i="15"/>
  <c r="BI28" i="15" s="1"/>
  <c r="X23" i="15"/>
  <c r="BJ23" i="15" s="1"/>
  <c r="V24" i="15"/>
  <c r="BH24" i="15" s="1"/>
  <c r="X29" i="15"/>
  <c r="BJ29" i="15" s="1"/>
  <c r="V30" i="15"/>
  <c r="BH30" i="15" s="1"/>
  <c r="X35" i="15"/>
  <c r="BJ35" i="15" s="1"/>
  <c r="V36" i="15"/>
  <c r="BH36" i="15" s="1"/>
  <c r="X41" i="15"/>
  <c r="BJ41" i="15" s="1"/>
  <c r="V42" i="15"/>
  <c r="BH42" i="15" s="1"/>
  <c r="W23" i="15"/>
  <c r="BI23" i="15" s="1"/>
  <c r="W42" i="15"/>
  <c r="BI42" i="15" s="1"/>
  <c r="V28" i="15"/>
  <c r="BH28" i="15" s="1"/>
  <c r="V22" i="15"/>
  <c r="BH22" i="15" s="1"/>
  <c r="W34" i="15"/>
  <c r="BI34" i="15" s="1"/>
  <c r="V29" i="15"/>
  <c r="BH29" i="15" s="1"/>
  <c r="V35" i="15"/>
  <c r="BH35" i="15" s="1"/>
  <c r="X40" i="15"/>
  <c r="BJ40" i="15" s="1"/>
  <c r="V41" i="15"/>
  <c r="BH41" i="15" s="1"/>
  <c r="D54" i="5" l="1"/>
  <c r="AS52" i="15"/>
  <c r="K54" i="15"/>
  <c r="C48" i="13" s="1"/>
  <c r="L54" i="15"/>
  <c r="D48" i="13" s="1"/>
  <c r="I45" i="5"/>
  <c r="I40" i="13"/>
  <c r="I46" i="5" s="1"/>
  <c r="B54" i="15"/>
  <c r="AU52" i="15"/>
  <c r="C54" i="15"/>
  <c r="J54" i="15" l="1"/>
  <c r="V54" i="15" s="1"/>
  <c r="E51" i="13"/>
  <c r="E51" i="5" s="1"/>
  <c r="E54" i="5" s="1"/>
  <c r="AR52" i="15"/>
  <c r="AC54" i="15"/>
  <c r="AT52" i="15"/>
  <c r="G54" i="15"/>
  <c r="H54" i="15"/>
  <c r="I54" i="15"/>
  <c r="T54" i="15"/>
  <c r="Q54" i="15"/>
  <c r="S54" i="15"/>
  <c r="P54" i="15"/>
  <c r="O54" i="15"/>
  <c r="R54" i="15"/>
  <c r="B9" i="5"/>
  <c r="C9" i="5"/>
  <c r="D9" i="5"/>
  <c r="F45" i="13" l="1"/>
  <c r="I45" i="13"/>
  <c r="G45" i="13"/>
  <c r="J45" i="13"/>
  <c r="B45" i="13"/>
  <c r="C46" i="13"/>
  <c r="C51" i="13" s="1"/>
  <c r="D45" i="13"/>
  <c r="C45" i="13"/>
  <c r="AB54" i="15"/>
  <c r="AA54" i="15"/>
  <c r="H45" i="13"/>
  <c r="Z54" i="15"/>
  <c r="E45" i="13"/>
  <c r="C51" i="5" l="1"/>
  <c r="C54" i="5" s="1"/>
  <c r="B53" i="13"/>
  <c r="B53" i="5" s="1"/>
  <c r="B51" i="13"/>
  <c r="B52" i="13"/>
  <c r="B52" i="5" s="1"/>
  <c r="B51" i="5" l="1"/>
  <c r="B54" i="5" s="1"/>
  <c r="I50" i="13"/>
  <c r="I50" i="5" s="1"/>
  <c r="X54" i="15"/>
  <c r="W54" i="15"/>
  <c r="U54" i="15" s="1"/>
</calcChain>
</file>

<file path=xl/sharedStrings.xml><?xml version="1.0" encoding="utf-8"?>
<sst xmlns="http://schemas.openxmlformats.org/spreadsheetml/2006/main" count="346" uniqueCount="139">
  <si>
    <t>First issue</t>
  </si>
  <si>
    <t>R&amp;D - L.DeFranco</t>
  </si>
  <si>
    <t>QA/HSEM C.Delli Quadri - M.Tremolada</t>
  </si>
  <si>
    <t>R&amp;D Manager / M.Borghetti</t>
  </si>
  <si>
    <t>Rev.</t>
  </si>
  <si>
    <t>Date</t>
  </si>
  <si>
    <t>Description</t>
  </si>
  <si>
    <t>Prepared</t>
  </si>
  <si>
    <t>Checked</t>
  </si>
  <si>
    <t>Approved</t>
  </si>
  <si>
    <t>High-Medium-Low Energy pumps categorization</t>
  </si>
  <si>
    <t>INPUT DATA</t>
  </si>
  <si>
    <t>unit system</t>
  </si>
  <si>
    <t>SI</t>
  </si>
  <si>
    <t>pump name</t>
  </si>
  <si>
    <t>85C1PP95</t>
  </si>
  <si>
    <t>Pump speed</t>
  </si>
  <si>
    <t>RPM</t>
  </si>
  <si>
    <t>number of stages</t>
  </si>
  <si>
    <t>Q</t>
  </si>
  <si>
    <t>Hpump</t>
  </si>
  <si>
    <t>Power</t>
  </si>
  <si>
    <t>ETA</t>
  </si>
  <si>
    <t>D2</t>
  </si>
  <si>
    <t>number of suction</t>
  </si>
  <si>
    <t>%</t>
  </si>
  <si>
    <t>BEP</t>
  </si>
  <si>
    <t>Q/side</t>
  </si>
  <si>
    <t>H/stage</t>
  </si>
  <si>
    <t>customer request of ARAMCO std. ?</t>
  </si>
  <si>
    <t>n</t>
  </si>
  <si>
    <t>OUTPUT DATA</t>
  </si>
  <si>
    <t>LEGEND</t>
  </si>
  <si>
    <t>En.lev.</t>
  </si>
  <si>
    <t>Low</t>
  </si>
  <si>
    <t>Mid</t>
  </si>
  <si>
    <t>High</t>
  </si>
  <si>
    <t>Rank</t>
  </si>
  <si>
    <t>Range</t>
  </si>
  <si>
    <t>&lt;G3</t>
  </si>
  <si>
    <t>G3-G2</t>
  </si>
  <si>
    <t>&gt;G2</t>
  </si>
  <si>
    <t>RANK</t>
  </si>
  <si>
    <t>Gulich</t>
  </si>
  <si>
    <t>API.610-12th ed</t>
  </si>
  <si>
    <t>API.610 11th ed</t>
  </si>
  <si>
    <t>internal</t>
  </si>
  <si>
    <t>ARAMCO</t>
  </si>
  <si>
    <t>CALCULATED ENERGY LEVEL</t>
  </si>
  <si>
    <t>Hstage</t>
  </si>
  <si>
    <t>U2</t>
  </si>
  <si>
    <t>tot</t>
  </si>
  <si>
    <t>numbero of stages</t>
  </si>
  <si>
    <t>Useful Power stage</t>
  </si>
  <si>
    <t>S.G.</t>
  </si>
  <si>
    <t>Hstage*SG</t>
  </si>
  <si>
    <t>LOW</t>
  </si>
  <si>
    <t>Nq</t>
  </si>
  <si>
    <t>curve</t>
  </si>
  <si>
    <t>Ns</t>
  </si>
  <si>
    <t>m/s</t>
  </si>
  <si>
    <t>G3</t>
  </si>
  <si>
    <t>G2</t>
  </si>
  <si>
    <t>G1</t>
  </si>
  <si>
    <t>API.610-12ed</t>
  </si>
  <si>
    <t>API.610-old</t>
  </si>
  <si>
    <t>power</t>
  </si>
  <si>
    <t>GULICH</t>
  </si>
  <si>
    <t>API-Preview</t>
  </si>
  <si>
    <t>API</t>
  </si>
  <si>
    <t>SB+GAB-stw</t>
  </si>
  <si>
    <t>H</t>
  </si>
  <si>
    <t>C0</t>
  </si>
  <si>
    <t>C1</t>
  </si>
  <si>
    <t>C2</t>
  </si>
  <si>
    <t>C3</t>
  </si>
  <si>
    <t>D0</t>
  </si>
  <si>
    <t>E0</t>
  </si>
  <si>
    <t>E1</t>
  </si>
  <si>
    <t>C4</t>
  </si>
  <si>
    <t>C5</t>
  </si>
  <si>
    <t>C6</t>
  </si>
  <si>
    <t>Power [kW]</t>
  </si>
  <si>
    <t>Aramco Std</t>
  </si>
  <si>
    <t>RTD</t>
  </si>
  <si>
    <t>Hst.SG</t>
  </si>
  <si>
    <t>Hst</t>
  </si>
  <si>
    <t>(Hst-Hgul)</t>
  </si>
  <si>
    <t>(Hst-Hapi.new)</t>
  </si>
  <si>
    <t>(Hst- SB)</t>
  </si>
  <si>
    <t>P-Papi.old</t>
  </si>
  <si>
    <t>H-Hapi.old</t>
  </si>
  <si>
    <t>(u2-u2gul)</t>
  </si>
  <si>
    <t>Power-gulich</t>
  </si>
  <si>
    <t>CLASSIFICATION</t>
  </si>
  <si>
    <t>Hst*SG</t>
  </si>
  <si>
    <t>u2</t>
  </si>
  <si>
    <t>hst.gul</t>
  </si>
  <si>
    <t>hst-api-new</t>
  </si>
  <si>
    <t>Hst-SB</t>
  </si>
  <si>
    <t>Hst-API.old</t>
  </si>
  <si>
    <t>Power.API</t>
  </si>
  <si>
    <t>u2.gul</t>
  </si>
  <si>
    <t>Power.gul</t>
  </si>
  <si>
    <t>US</t>
  </si>
  <si>
    <t>METRIC</t>
  </si>
  <si>
    <t>ns</t>
  </si>
  <si>
    <t>Hst [psi]</t>
  </si>
  <si>
    <t>H [m]</t>
  </si>
  <si>
    <t>Nq.ref</t>
  </si>
  <si>
    <t>Hst-HIEN-curve1</t>
  </si>
  <si>
    <t>Hst-HIEN-curve2</t>
  </si>
  <si>
    <t>Hst-HIEN-curve3</t>
  </si>
  <si>
    <t>SG*Hst</t>
  </si>
  <si>
    <t>curve1</t>
  </si>
  <si>
    <t>curve2</t>
  </si>
  <si>
    <t>curve3</t>
  </si>
  <si>
    <t>Nq&lt;26</t>
  </si>
  <si>
    <t>Cx</t>
  </si>
  <si>
    <t>Cx2</t>
  </si>
  <si>
    <t>Cx3</t>
  </si>
  <si>
    <t>26&lt;Nq&lt;32</t>
  </si>
  <si>
    <t>Nq&gt;32</t>
  </si>
  <si>
    <t>EXP</t>
  </si>
  <si>
    <t>y=C*x^m</t>
  </si>
  <si>
    <t>BHP/st</t>
  </si>
  <si>
    <t>TDH/st</t>
  </si>
  <si>
    <t>C</t>
  </si>
  <si>
    <t>[HP]</t>
  </si>
  <si>
    <t>[ft]</t>
  </si>
  <si>
    <t>m</t>
  </si>
  <si>
    <t>Metric</t>
  </si>
  <si>
    <t>power/st</t>
  </si>
  <si>
    <t>[kW]</t>
  </si>
  <si>
    <t>[m]</t>
  </si>
  <si>
    <t>setup for selection</t>
  </si>
  <si>
    <t>y</t>
  </si>
  <si>
    <t>Mod.469-0</t>
  </si>
  <si>
    <t>High-Medium-Low Energy pumps categorization
(linked to SOP-489)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</si>
</sst>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General_)"/>
    <numFmt numFmtId="166" formatCode="&quot;$&quot;#,##0.00;[Red]\-&quot;$&quot;#,##0.00"/>
    <numFmt numFmtId="167" formatCode="0.000000"/>
    <numFmt numFmtId="168" formatCode="0.00000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name val="TradeGothic"/>
    </font>
    <font>
      <sz val="10"/>
      <name val="TradeGothic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b/>
      <sz val="10"/>
      <name val="TradeGothic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8"/>
      <name val="TradeGothic"/>
    </font>
  </fonts>
  <fills count="1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9">
    <xf numFmtId="0" fontId="0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165" fontId="5" fillId="0" borderId="0"/>
    <xf numFmtId="166" fontId="11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200">
    <xf numFmtId="0" fontId="0" fillId="0" borderId="0" xfId="0"/>
    <xf numFmtId="1" fontId="0" fillId="0" borderId="1" xfId="1" applyNumberFormat="1" applyFont="1" applyBorder="1" applyAlignment="1" applyProtection="1">
      <alignment horizontal="center"/>
    </xf>
    <xf numFmtId="1" fontId="0" fillId="0" borderId="11" xfId="1" applyNumberFormat="1" applyFont="1" applyBorder="1" applyAlignment="1" applyProtection="1">
      <alignment horizontal="center"/>
    </xf>
    <xf numFmtId="0" fontId="2" fillId="0" borderId="0" xfId="2"/>
    <xf numFmtId="0" fontId="2" fillId="0" borderId="0" xfId="2" applyAlignment="1">
      <alignment wrapText="1"/>
    </xf>
    <xf numFmtId="164" fontId="2" fillId="0" borderId="10" xfId="2" applyNumberFormat="1" applyBorder="1" applyAlignment="1">
      <alignment horizontal="center"/>
    </xf>
    <xf numFmtId="0" fontId="2" fillId="0" borderId="12" xfId="2" applyBorder="1"/>
    <xf numFmtId="0" fontId="2" fillId="0" borderId="0" xfId="0" applyFont="1"/>
    <xf numFmtId="0" fontId="2" fillId="3" borderId="0" xfId="2" applyFill="1"/>
    <xf numFmtId="0" fontId="2" fillId="3" borderId="0" xfId="2" applyFill="1" applyAlignment="1">
      <alignment wrapText="1"/>
    </xf>
    <xf numFmtId="0" fontId="2" fillId="3" borderId="6" xfId="2" applyFill="1" applyBorder="1" applyAlignment="1">
      <alignment wrapText="1"/>
    </xf>
    <xf numFmtId="0" fontId="4" fillId="3" borderId="0" xfId="2" applyFont="1" applyFill="1"/>
    <xf numFmtId="0" fontId="4" fillId="3" borderId="6" xfId="2" applyFont="1" applyFill="1" applyBorder="1"/>
    <xf numFmtId="0" fontId="4" fillId="2" borderId="2" xfId="2" applyFont="1" applyFill="1" applyBorder="1"/>
    <xf numFmtId="0" fontId="4" fillId="2" borderId="3" xfId="2" applyFont="1" applyFill="1" applyBorder="1"/>
    <xf numFmtId="0" fontId="4" fillId="2" borderId="4" xfId="2" applyFont="1" applyFill="1" applyBorder="1"/>
    <xf numFmtId="0" fontId="2" fillId="0" borderId="0" xfId="2" quotePrefix="1"/>
    <xf numFmtId="0" fontId="2" fillId="0" borderId="0" xfId="2" applyAlignment="1">
      <alignment horizontal="center" vertical="center"/>
    </xf>
    <xf numFmtId="0" fontId="2" fillId="0" borderId="16" xfId="3" applyBorder="1" applyAlignment="1">
      <alignment horizontal="center" vertical="center"/>
    </xf>
    <xf numFmtId="0" fontId="2" fillId="0" borderId="17" xfId="3" applyBorder="1" applyAlignment="1">
      <alignment horizontal="center" vertical="center"/>
    </xf>
    <xf numFmtId="0" fontId="2" fillId="0" borderId="18" xfId="3" applyBorder="1" applyAlignment="1">
      <alignment horizontal="center" vertical="center"/>
    </xf>
    <xf numFmtId="165" fontId="5" fillId="0" borderId="0" xfId="4"/>
    <xf numFmtId="0" fontId="2" fillId="0" borderId="19" xfId="3" applyBorder="1" applyAlignment="1">
      <alignment horizontal="center" vertical="center"/>
    </xf>
    <xf numFmtId="0" fontId="2" fillId="0" borderId="0" xfId="3" applyAlignment="1">
      <alignment horizontal="center" vertical="center"/>
    </xf>
    <xf numFmtId="0" fontId="2" fillId="0" borderId="20" xfId="3" applyBorder="1" applyAlignment="1">
      <alignment horizontal="center" vertical="center"/>
    </xf>
    <xf numFmtId="0" fontId="6" fillId="0" borderId="0" xfId="3" applyFont="1" applyAlignment="1">
      <alignment horizontal="center" vertical="top"/>
    </xf>
    <xf numFmtId="0" fontId="2" fillId="0" borderId="0" xfId="3" applyAlignment="1">
      <alignment horizontal="center"/>
    </xf>
    <xf numFmtId="0" fontId="7" fillId="0" borderId="0" xfId="3" applyFont="1" applyAlignment="1">
      <alignment horizontal="center" vertical="top"/>
    </xf>
    <xf numFmtId="0" fontId="8" fillId="0" borderId="20" xfId="3" applyFont="1" applyBorder="1" applyAlignment="1">
      <alignment horizontal="center" vertical="top"/>
    </xf>
    <xf numFmtId="0" fontId="9" fillId="0" borderId="19" xfId="3" applyFont="1" applyBorder="1" applyAlignment="1">
      <alignment horizontal="center" vertical="center"/>
    </xf>
    <xf numFmtId="0" fontId="9" fillId="0" borderId="0" xfId="3" applyFont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9" fillId="0" borderId="20" xfId="3" applyFont="1" applyBorder="1" applyAlignment="1">
      <alignment horizontal="center" vertical="center"/>
    </xf>
    <xf numFmtId="0" fontId="4" fillId="2" borderId="1" xfId="2" applyFont="1" applyFill="1" applyBorder="1"/>
    <xf numFmtId="0" fontId="3" fillId="5" borderId="0" xfId="2" applyFont="1" applyFill="1"/>
    <xf numFmtId="0" fontId="3" fillId="5" borderId="7" xfId="2" applyFont="1" applyFill="1" applyBorder="1"/>
    <xf numFmtId="0" fontId="2" fillId="4" borderId="6" xfId="2" applyFill="1" applyBorder="1" applyAlignment="1">
      <alignment wrapText="1"/>
    </xf>
    <xf numFmtId="0" fontId="3" fillId="5" borderId="0" xfId="2" applyFont="1" applyFill="1" applyAlignment="1">
      <alignment horizontal="center"/>
    </xf>
    <xf numFmtId="0" fontId="3" fillId="5" borderId="6" xfId="2" applyFont="1" applyFill="1" applyBorder="1" applyAlignment="1">
      <alignment horizontal="center"/>
    </xf>
    <xf numFmtId="0" fontId="1" fillId="0" borderId="0" xfId="7" applyAlignment="1">
      <alignment horizontal="center"/>
    </xf>
    <xf numFmtId="0" fontId="1" fillId="0" borderId="0" xfId="7"/>
    <xf numFmtId="0" fontId="1" fillId="0" borderId="19" xfId="7" applyBorder="1"/>
    <xf numFmtId="0" fontId="1" fillId="0" borderId="20" xfId="7" applyBorder="1"/>
    <xf numFmtId="0" fontId="1" fillId="0" borderId="37" xfId="7" applyBorder="1"/>
    <xf numFmtId="0" fontId="1" fillId="0" borderId="1" xfId="7" applyBorder="1"/>
    <xf numFmtId="0" fontId="1" fillId="0" borderId="2" xfId="7" applyBorder="1"/>
    <xf numFmtId="0" fontId="1" fillId="0" borderId="38" xfId="7" applyBorder="1"/>
    <xf numFmtId="0" fontId="1" fillId="0" borderId="3" xfId="7" applyBorder="1"/>
    <xf numFmtId="0" fontId="1" fillId="0" borderId="7" xfId="7" applyBorder="1"/>
    <xf numFmtId="0" fontId="1" fillId="0" borderId="39" xfId="7" applyBorder="1"/>
    <xf numFmtId="0" fontId="1" fillId="0" borderId="40" xfId="7" applyBorder="1"/>
    <xf numFmtId="0" fontId="1" fillId="0" borderId="29" xfId="7" applyBorder="1"/>
    <xf numFmtId="9" fontId="0" fillId="0" borderId="0" xfId="8" applyFont="1"/>
    <xf numFmtId="2" fontId="0" fillId="0" borderId="0" xfId="8" applyNumberFormat="1" applyFont="1"/>
    <xf numFmtId="0" fontId="1" fillId="0" borderId="31" xfId="7" applyBorder="1"/>
    <xf numFmtId="0" fontId="1" fillId="0" borderId="41" xfId="7" applyBorder="1"/>
    <xf numFmtId="0" fontId="1" fillId="0" borderId="42" xfId="7" applyBorder="1"/>
    <xf numFmtId="0" fontId="1" fillId="0" borderId="33" xfId="7" applyBorder="1"/>
    <xf numFmtId="0" fontId="1" fillId="0" borderId="43" xfId="7" applyBorder="1"/>
    <xf numFmtId="0" fontId="1" fillId="0" borderId="34" xfId="7" applyBorder="1"/>
    <xf numFmtId="0" fontId="1" fillId="0" borderId="11" xfId="7" applyBorder="1"/>
    <xf numFmtId="2" fontId="1" fillId="0" borderId="0" xfId="7" applyNumberFormat="1"/>
    <xf numFmtId="164" fontId="1" fillId="0" borderId="0" xfId="7" applyNumberFormat="1"/>
    <xf numFmtId="17" fontId="1" fillId="0" borderId="0" xfId="7" quotePrefix="1" applyNumberFormat="1"/>
    <xf numFmtId="164" fontId="4" fillId="6" borderId="1" xfId="1" applyNumberFormat="1" applyFont="1" applyFill="1" applyBorder="1" applyAlignment="1" applyProtection="1">
      <alignment horizontal="center"/>
      <protection locked="0"/>
    </xf>
    <xf numFmtId="164" fontId="4" fillId="6" borderId="2" xfId="2" applyNumberFormat="1" applyFont="1" applyFill="1" applyBorder="1" applyAlignment="1" applyProtection="1">
      <alignment horizontal="center"/>
      <protection locked="0"/>
    </xf>
    <xf numFmtId="0" fontId="4" fillId="6" borderId="2" xfId="2" applyFont="1" applyFill="1" applyBorder="1" applyProtection="1">
      <protection locked="0"/>
    </xf>
    <xf numFmtId="0" fontId="4" fillId="6" borderId="2" xfId="2" applyFont="1" applyFill="1" applyBorder="1" applyAlignment="1" applyProtection="1">
      <alignment horizontal="center"/>
      <protection locked="0"/>
    </xf>
    <xf numFmtId="1" fontId="4" fillId="6" borderId="4" xfId="1" applyNumberFormat="1" applyFont="1" applyFill="1" applyBorder="1" applyAlignment="1" applyProtection="1">
      <alignment horizontal="center"/>
      <protection locked="0"/>
    </xf>
    <xf numFmtId="1" fontId="4" fillId="6" borderId="1" xfId="1" applyNumberFormat="1" applyFont="1" applyFill="1" applyBorder="1" applyAlignment="1" applyProtection="1">
      <alignment horizontal="center"/>
      <protection locked="0"/>
    </xf>
    <xf numFmtId="0" fontId="4" fillId="6" borderId="4" xfId="2" applyFont="1" applyFill="1" applyBorder="1" applyProtection="1">
      <protection locked="0"/>
    </xf>
    <xf numFmtId="2" fontId="4" fillId="6" borderId="1" xfId="1" applyNumberFormat="1" applyFont="1" applyFill="1" applyBorder="1" applyAlignment="1" applyProtection="1">
      <alignment horizontal="center"/>
      <protection locked="0"/>
    </xf>
    <xf numFmtId="0" fontId="1" fillId="0" borderId="0" xfId="7" applyAlignment="1">
      <alignment textRotation="90"/>
    </xf>
    <xf numFmtId="0" fontId="1" fillId="7" borderId="17" xfId="7" applyFill="1" applyBorder="1"/>
    <xf numFmtId="0" fontId="1" fillId="7" borderId="0" xfId="7" applyFill="1"/>
    <xf numFmtId="0" fontId="1" fillId="0" borderId="8" xfId="7" applyBorder="1"/>
    <xf numFmtId="0" fontId="1" fillId="0" borderId="13" xfId="7" applyBorder="1"/>
    <xf numFmtId="0" fontId="1" fillId="8" borderId="36" xfId="7" applyFill="1" applyBorder="1"/>
    <xf numFmtId="0" fontId="1" fillId="9" borderId="0" xfId="7" applyFill="1"/>
    <xf numFmtId="0" fontId="1" fillId="10" borderId="36" xfId="7" applyFill="1" applyBorder="1"/>
    <xf numFmtId="0" fontId="1" fillId="11" borderId="0" xfId="7" applyFill="1"/>
    <xf numFmtId="0" fontId="1" fillId="0" borderId="5" xfId="7" applyBorder="1"/>
    <xf numFmtId="11" fontId="1" fillId="0" borderId="0" xfId="7" applyNumberFormat="1"/>
    <xf numFmtId="0" fontId="1" fillId="11" borderId="22" xfId="7" applyFill="1" applyBorder="1"/>
    <xf numFmtId="0" fontId="2" fillId="6" borderId="1" xfId="2" applyFill="1" applyBorder="1"/>
    <xf numFmtId="0" fontId="4" fillId="2" borderId="2" xfId="2" applyFont="1" applyFill="1" applyBorder="1" applyAlignment="1">
      <alignment vertical="center"/>
    </xf>
    <xf numFmtId="0" fontId="4" fillId="6" borderId="2" xfId="2" applyFont="1" applyFill="1" applyBorder="1" applyAlignment="1">
      <alignment vertical="center"/>
    </xf>
    <xf numFmtId="0" fontId="4" fillId="4" borderId="6" xfId="2" applyFont="1" applyFill="1" applyBorder="1"/>
    <xf numFmtId="0" fontId="2" fillId="4" borderId="7" xfId="2" applyFill="1" applyBorder="1"/>
    <xf numFmtId="0" fontId="2" fillId="4" borderId="6" xfId="2" applyFill="1" applyBorder="1"/>
    <xf numFmtId="0" fontId="2" fillId="4" borderId="7" xfId="2" applyFill="1" applyBorder="1" applyAlignment="1">
      <alignment wrapText="1"/>
    </xf>
    <xf numFmtId="168" fontId="1" fillId="0" borderId="0" xfId="7" applyNumberFormat="1"/>
    <xf numFmtId="167" fontId="1" fillId="0" borderId="0" xfId="7" applyNumberFormat="1"/>
    <xf numFmtId="0" fontId="16" fillId="12" borderId="1" xfId="0" applyFont="1" applyFill="1" applyBorder="1" applyAlignment="1">
      <alignment horizontal="center" vertical="center"/>
    </xf>
    <xf numFmtId="0" fontId="16" fillId="12" borderId="2" xfId="0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16" fillId="12" borderId="4" xfId="0" applyFont="1" applyFill="1" applyBorder="1" applyAlignment="1">
      <alignment horizontal="center" vertical="center"/>
    </xf>
    <xf numFmtId="0" fontId="15" fillId="13" borderId="45" xfId="0" applyFont="1" applyFill="1" applyBorder="1" applyAlignment="1">
      <alignment horizontal="center" vertical="center"/>
    </xf>
    <xf numFmtId="0" fontId="15" fillId="13" borderId="46" xfId="0" applyFont="1" applyFill="1" applyBorder="1" applyAlignment="1">
      <alignment horizontal="center" vertical="center"/>
    </xf>
    <xf numFmtId="0" fontId="2" fillId="0" borderId="1" xfId="2" applyBorder="1"/>
    <xf numFmtId="0" fontId="2" fillId="0" borderId="8" xfId="2" applyBorder="1"/>
    <xf numFmtId="0" fontId="2" fillId="0" borderId="5" xfId="2" applyBorder="1"/>
    <xf numFmtId="0" fontId="2" fillId="0" borderId="11" xfId="2" applyBorder="1"/>
    <xf numFmtId="164" fontId="4" fillId="0" borderId="1" xfId="1" applyNumberFormat="1" applyFont="1" applyFill="1" applyBorder="1" applyAlignment="1" applyProtection="1">
      <alignment horizontal="center"/>
      <protection locked="0"/>
    </xf>
    <xf numFmtId="0" fontId="17" fillId="14" borderId="45" xfId="0" applyFont="1" applyFill="1" applyBorder="1" applyAlignment="1" applyProtection="1">
      <alignment horizontal="center" vertical="center"/>
      <protection locked="0"/>
    </xf>
    <xf numFmtId="0" fontId="15" fillId="13" borderId="45" xfId="0" applyFont="1" applyFill="1" applyBorder="1" applyAlignment="1">
      <alignment horizontal="center" vertical="center" wrapText="1"/>
    </xf>
    <xf numFmtId="0" fontId="2" fillId="4" borderId="0" xfId="2" applyFill="1"/>
    <xf numFmtId="0" fontId="4" fillId="4" borderId="0" xfId="2" applyFont="1" applyFill="1"/>
    <xf numFmtId="0" fontId="2" fillId="4" borderId="0" xfId="2" applyFill="1" applyAlignment="1">
      <alignment wrapText="1"/>
    </xf>
    <xf numFmtId="0" fontId="17" fillId="0" borderId="45" xfId="0" applyFont="1" applyBorder="1" applyAlignment="1" applyProtection="1">
      <alignment horizontal="center" vertical="center"/>
      <protection locked="0"/>
    </xf>
    <xf numFmtId="0" fontId="18" fillId="4" borderId="1" xfId="0" applyFont="1" applyFill="1" applyBorder="1" applyAlignment="1">
      <alignment horizontal="right"/>
    </xf>
    <xf numFmtId="0" fontId="2" fillId="4" borderId="8" xfId="2" applyFill="1" applyBorder="1"/>
    <xf numFmtId="0" fontId="2" fillId="4" borderId="5" xfId="2" applyFill="1" applyBorder="1"/>
    <xf numFmtId="0" fontId="2" fillId="4" borderId="13" xfId="2" applyFill="1" applyBorder="1"/>
    <xf numFmtId="0" fontId="9" fillId="0" borderId="16" xfId="3" applyFont="1" applyBorder="1" applyAlignment="1">
      <alignment horizontal="center" vertical="center" wrapText="1"/>
    </xf>
    <xf numFmtId="0" fontId="9" fillId="0" borderId="17" xfId="3" applyFont="1" applyBorder="1" applyAlignment="1">
      <alignment horizontal="center" vertical="center" wrapText="1"/>
    </xf>
    <xf numFmtId="0" fontId="9" fillId="0" borderId="18" xfId="3" applyFont="1" applyBorder="1" applyAlignment="1">
      <alignment horizontal="center" vertical="center" wrapText="1"/>
    </xf>
    <xf numFmtId="0" fontId="9" fillId="0" borderId="19" xfId="3" applyFont="1" applyBorder="1" applyAlignment="1">
      <alignment horizontal="center" vertical="center" wrapText="1"/>
    </xf>
    <xf numFmtId="0" fontId="9" fillId="0" borderId="0" xfId="3" applyFont="1" applyAlignment="1">
      <alignment horizontal="center" vertical="center" wrapText="1"/>
    </xf>
    <xf numFmtId="0" fontId="9" fillId="0" borderId="20" xfId="3" applyFont="1" applyBorder="1" applyAlignment="1">
      <alignment horizontal="center" vertical="center" wrapText="1"/>
    </xf>
    <xf numFmtId="0" fontId="9" fillId="0" borderId="21" xfId="3" applyFont="1" applyBorder="1" applyAlignment="1">
      <alignment horizontal="center" vertical="center" wrapText="1"/>
    </xf>
    <xf numFmtId="0" fontId="9" fillId="0" borderId="22" xfId="3" applyFont="1" applyBorder="1" applyAlignment="1">
      <alignment horizontal="center" vertical="center" wrapText="1"/>
    </xf>
    <xf numFmtId="0" fontId="9" fillId="0" borderId="23" xfId="3" applyFont="1" applyBorder="1" applyAlignment="1">
      <alignment horizontal="center" vertical="center" wrapText="1"/>
    </xf>
    <xf numFmtId="0" fontId="2" fillId="0" borderId="24" xfId="3" applyBorder="1" applyAlignment="1">
      <alignment horizontal="center" vertical="center"/>
    </xf>
    <xf numFmtId="0" fontId="2" fillId="0" borderId="25" xfId="3" applyBorder="1" applyAlignment="1">
      <alignment horizontal="center" vertical="center"/>
    </xf>
    <xf numFmtId="0" fontId="2" fillId="0" borderId="26" xfId="3" applyBorder="1" applyAlignment="1">
      <alignment horizontal="center" vertical="center"/>
    </xf>
    <xf numFmtId="0" fontId="2" fillId="0" borderId="27" xfId="3" applyBorder="1" applyAlignment="1">
      <alignment horizontal="center" vertical="center"/>
    </xf>
    <xf numFmtId="0" fontId="2" fillId="0" borderId="28" xfId="3" applyBorder="1" applyAlignment="1">
      <alignment horizontal="center" vertic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2" fillId="0" borderId="30" xfId="3" applyBorder="1" applyAlignment="1">
      <alignment horizontal="center" vertical="center"/>
    </xf>
    <xf numFmtId="0" fontId="2" fillId="0" borderId="29" xfId="3" applyBorder="1" applyAlignment="1">
      <alignment horizontal="center" vertical="center"/>
    </xf>
    <xf numFmtId="0" fontId="2" fillId="0" borderId="4" xfId="3" applyBorder="1" applyAlignment="1">
      <alignment horizontal="center" vertical="center"/>
    </xf>
    <xf numFmtId="0" fontId="11" fillId="0" borderId="2" xfId="3" applyFont="1" applyBorder="1" applyAlignment="1">
      <alignment horizontal="center" vertical="center" wrapText="1"/>
    </xf>
    <xf numFmtId="0" fontId="11" fillId="0" borderId="3" xfId="3" applyFont="1" applyBorder="1" applyAlignment="1">
      <alignment horizontal="center" vertical="center" wrapText="1"/>
    </xf>
    <xf numFmtId="0" fontId="11" fillId="0" borderId="30" xfId="3" applyFont="1" applyBorder="1" applyAlignment="1">
      <alignment horizontal="center" vertical="center" wrapText="1"/>
    </xf>
    <xf numFmtId="0" fontId="11" fillId="0" borderId="29" xfId="3" applyFont="1" applyBorder="1" applyAlignment="1">
      <alignment horizontal="center" vertical="center"/>
    </xf>
    <xf numFmtId="0" fontId="11" fillId="0" borderId="4" xfId="3" applyFont="1" applyBorder="1" applyAlignment="1">
      <alignment horizontal="center" vertical="center"/>
    </xf>
    <xf numFmtId="14" fontId="11" fillId="0" borderId="2" xfId="3" applyNumberFormat="1" applyFont="1" applyBorder="1" applyAlignment="1">
      <alignment horizontal="center" vertical="center"/>
    </xf>
    <xf numFmtId="14" fontId="11" fillId="0" borderId="3" xfId="3" applyNumberFormat="1" applyFont="1" applyBorder="1" applyAlignment="1">
      <alignment horizontal="center" vertical="center"/>
    </xf>
    <xf numFmtId="14" fontId="11" fillId="0" borderId="4" xfId="3" applyNumberFormat="1" applyFont="1" applyBorder="1" applyAlignment="1">
      <alignment horizontal="center" vertical="center"/>
    </xf>
    <xf numFmtId="0" fontId="11" fillId="0" borderId="2" xfId="3" applyFont="1" applyBorder="1" applyAlignment="1">
      <alignment horizontal="center" vertical="center"/>
    </xf>
    <xf numFmtId="0" fontId="11" fillId="0" borderId="3" xfId="3" applyFont="1" applyBorder="1" applyAlignment="1">
      <alignment horizontal="center" vertical="center"/>
    </xf>
    <xf numFmtId="0" fontId="11" fillId="0" borderId="4" xfId="3" applyFont="1" applyBorder="1" applyAlignment="1">
      <alignment horizontal="center" vertical="center" wrapText="1"/>
    </xf>
    <xf numFmtId="166" fontId="2" fillId="0" borderId="21" xfId="5" applyFont="1" applyBorder="1" applyAlignment="1">
      <alignment horizontal="right" vertical="center"/>
    </xf>
    <xf numFmtId="166" fontId="5" fillId="0" borderId="22" xfId="5" applyFont="1" applyBorder="1" applyAlignment="1">
      <alignment horizontal="right" vertical="center"/>
    </xf>
    <xf numFmtId="166" fontId="5" fillId="0" borderId="23" xfId="5" applyFont="1" applyBorder="1" applyAlignment="1">
      <alignment horizontal="right" vertical="center"/>
    </xf>
    <xf numFmtId="166" fontId="2" fillId="0" borderId="31" xfId="5" applyFont="1" applyBorder="1" applyAlignment="1">
      <alignment horizontal="center" vertical="center"/>
    </xf>
    <xf numFmtId="166" fontId="2" fillId="0" borderId="32" xfId="5" applyFont="1" applyBorder="1" applyAlignment="1">
      <alignment horizontal="center" vertical="center"/>
    </xf>
    <xf numFmtId="0" fontId="12" fillId="0" borderId="33" xfId="3" applyFont="1" applyBorder="1" applyAlignment="1">
      <alignment horizontal="center" vertical="center"/>
    </xf>
    <xf numFmtId="0" fontId="12" fillId="0" borderId="34" xfId="3" applyFont="1" applyBorder="1" applyAlignment="1">
      <alignment horizontal="center" vertical="center"/>
    </xf>
    <xf numFmtId="0" fontId="12" fillId="0" borderId="32" xfId="3" applyFont="1" applyBorder="1" applyAlignment="1">
      <alignment horizontal="center" vertical="center"/>
    </xf>
    <xf numFmtId="0" fontId="12" fillId="0" borderId="35" xfId="3" applyFont="1" applyBorder="1" applyAlignment="1">
      <alignment horizontal="center" vertical="center"/>
    </xf>
    <xf numFmtId="0" fontId="15" fillId="13" borderId="44" xfId="0" applyFont="1" applyFill="1" applyBorder="1" applyAlignment="1">
      <alignment horizontal="center" vertical="center" wrapText="1"/>
    </xf>
    <xf numFmtId="0" fontId="15" fillId="13" borderId="47" xfId="0" applyFont="1" applyFill="1" applyBorder="1" applyAlignment="1">
      <alignment horizontal="center" vertical="center" wrapText="1"/>
    </xf>
    <xf numFmtId="0" fontId="14" fillId="0" borderId="15" xfId="2" applyFont="1" applyBorder="1" applyAlignment="1">
      <alignment horizontal="center" vertical="center"/>
    </xf>
    <xf numFmtId="0" fontId="14" fillId="0" borderId="13" xfId="2" applyFont="1" applyBorder="1" applyAlignment="1">
      <alignment horizontal="center" vertical="center"/>
    </xf>
    <xf numFmtId="0" fontId="19" fillId="4" borderId="9" xfId="0" applyFont="1" applyFill="1" applyBorder="1" applyAlignment="1">
      <alignment horizontal="right" vertical="center" wrapText="1"/>
    </xf>
    <xf numFmtId="0" fontId="19" fillId="4" borderId="14" xfId="0" applyFont="1" applyFill="1" applyBorder="1" applyAlignment="1">
      <alignment horizontal="right" vertical="center" wrapText="1"/>
    </xf>
    <xf numFmtId="0" fontId="19" fillId="4" borderId="15" xfId="0" applyFont="1" applyFill="1" applyBorder="1" applyAlignment="1">
      <alignment horizontal="right" vertical="center" wrapText="1"/>
    </xf>
    <xf numFmtId="0" fontId="19" fillId="4" borderId="7" xfId="0" applyFont="1" applyFill="1" applyBorder="1" applyAlignment="1">
      <alignment horizontal="right" vertical="center" wrapText="1"/>
    </xf>
    <xf numFmtId="0" fontId="19" fillId="4" borderId="0" xfId="0" applyFont="1" applyFill="1" applyAlignment="1">
      <alignment horizontal="right" vertical="center" wrapText="1"/>
    </xf>
    <xf numFmtId="0" fontId="19" fillId="4" borderId="6" xfId="0" applyFont="1" applyFill="1" applyBorder="1" applyAlignment="1">
      <alignment horizontal="right" vertical="center" wrapText="1"/>
    </xf>
    <xf numFmtId="0" fontId="2" fillId="0" borderId="9" xfId="2" applyBorder="1" applyAlignment="1">
      <alignment horizontal="center"/>
    </xf>
    <xf numFmtId="0" fontId="2" fillId="0" borderId="14" xfId="2" applyBorder="1" applyAlignment="1">
      <alignment horizontal="center"/>
    </xf>
    <xf numFmtId="0" fontId="2" fillId="0" borderId="15" xfId="2" applyBorder="1" applyAlignment="1">
      <alignment horizontal="center"/>
    </xf>
    <xf numFmtId="0" fontId="2" fillId="0" borderId="7" xfId="2" applyBorder="1" applyAlignment="1">
      <alignment horizontal="center"/>
    </xf>
    <xf numFmtId="0" fontId="2" fillId="0" borderId="0" xfId="2" applyAlignment="1">
      <alignment horizontal="center"/>
    </xf>
    <xf numFmtId="0" fontId="2" fillId="0" borderId="6" xfId="2" applyBorder="1" applyAlignment="1">
      <alignment horizontal="center"/>
    </xf>
    <xf numFmtId="0" fontId="16" fillId="12" borderId="2" xfId="0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16" fillId="12" borderId="4" xfId="0" applyFont="1" applyFill="1" applyBorder="1" applyAlignment="1">
      <alignment horizontal="center" vertical="center"/>
    </xf>
    <xf numFmtId="0" fontId="15" fillId="13" borderId="2" xfId="0" applyFont="1" applyFill="1" applyBorder="1" applyAlignment="1">
      <alignment horizontal="center" vertical="center"/>
    </xf>
    <xf numFmtId="0" fontId="15" fillId="13" borderId="3" xfId="0" applyFont="1" applyFill="1" applyBorder="1" applyAlignment="1">
      <alignment horizontal="center" vertical="center"/>
    </xf>
    <xf numFmtId="0" fontId="15" fillId="13" borderId="4" xfId="0" applyFont="1" applyFill="1" applyBorder="1" applyAlignment="1">
      <alignment horizontal="center" vertical="center"/>
    </xf>
    <xf numFmtId="0" fontId="15" fillId="13" borderId="48" xfId="0" applyFont="1" applyFill="1" applyBorder="1" applyAlignment="1">
      <alignment horizontal="center" vertical="center"/>
    </xf>
    <xf numFmtId="0" fontId="15" fillId="13" borderId="49" xfId="0" applyFont="1" applyFill="1" applyBorder="1" applyAlignment="1">
      <alignment horizontal="center" vertical="center"/>
    </xf>
    <xf numFmtId="0" fontId="15" fillId="13" borderId="50" xfId="0" applyFont="1" applyFill="1" applyBorder="1" applyAlignment="1">
      <alignment horizontal="center" vertical="center"/>
    </xf>
    <xf numFmtId="0" fontId="17" fillId="14" borderId="2" xfId="0" applyFont="1" applyFill="1" applyBorder="1" applyAlignment="1" applyProtection="1">
      <alignment horizontal="center" vertical="center"/>
      <protection locked="0"/>
    </xf>
    <xf numFmtId="0" fontId="17" fillId="14" borderId="4" xfId="0" applyFont="1" applyFill="1" applyBorder="1" applyAlignment="1" applyProtection="1">
      <alignment horizontal="center" vertical="center"/>
      <protection locked="0"/>
    </xf>
    <xf numFmtId="0" fontId="17" fillId="14" borderId="48" xfId="0" applyFont="1" applyFill="1" applyBorder="1" applyAlignment="1" applyProtection="1">
      <alignment horizontal="center" vertical="center"/>
      <protection locked="0"/>
    </xf>
    <xf numFmtId="0" fontId="17" fillId="14" borderId="50" xfId="0" applyFont="1" applyFill="1" applyBorder="1" applyAlignment="1" applyProtection="1">
      <alignment horizontal="center" vertical="center"/>
      <protection locked="0"/>
    </xf>
    <xf numFmtId="0" fontId="3" fillId="4" borderId="9" xfId="0" applyFont="1" applyFill="1" applyBorder="1" applyAlignment="1">
      <alignment horizontal="right" wrapText="1"/>
    </xf>
    <xf numFmtId="0" fontId="3" fillId="4" borderId="14" xfId="0" applyFont="1" applyFill="1" applyBorder="1" applyAlignment="1">
      <alignment horizontal="right" wrapText="1"/>
    </xf>
    <xf numFmtId="0" fontId="3" fillId="4" borderId="15" xfId="0" applyFont="1" applyFill="1" applyBorder="1" applyAlignment="1">
      <alignment horizontal="right" wrapText="1"/>
    </xf>
    <xf numFmtId="0" fontId="3" fillId="4" borderId="7" xfId="0" applyFont="1" applyFill="1" applyBorder="1" applyAlignment="1">
      <alignment horizontal="right" wrapText="1"/>
    </xf>
    <xf numFmtId="0" fontId="3" fillId="4" borderId="0" xfId="0" applyFont="1" applyFill="1" applyAlignment="1">
      <alignment horizontal="right" wrapText="1"/>
    </xf>
    <xf numFmtId="0" fontId="3" fillId="4" borderId="6" xfId="0" applyFont="1" applyFill="1" applyBorder="1" applyAlignment="1">
      <alignment horizontal="right" wrapText="1"/>
    </xf>
    <xf numFmtId="0" fontId="3" fillId="4" borderId="8" xfId="0" applyFont="1" applyFill="1" applyBorder="1" applyAlignment="1">
      <alignment horizontal="right" wrapText="1"/>
    </xf>
    <xf numFmtId="0" fontId="3" fillId="4" borderId="5" xfId="0" applyFont="1" applyFill="1" applyBorder="1" applyAlignment="1">
      <alignment horizontal="right" wrapText="1"/>
    </xf>
    <xf numFmtId="0" fontId="3" fillId="4" borderId="13" xfId="0" applyFont="1" applyFill="1" applyBorder="1" applyAlignment="1">
      <alignment horizontal="right" wrapText="1"/>
    </xf>
    <xf numFmtId="0" fontId="3" fillId="5" borderId="0" xfId="2" applyFont="1" applyFill="1" applyAlignment="1">
      <alignment horizontal="center"/>
    </xf>
    <xf numFmtId="0" fontId="3" fillId="5" borderId="6" xfId="2" applyFont="1" applyFill="1" applyBorder="1" applyAlignment="1">
      <alignment horizontal="center"/>
    </xf>
    <xf numFmtId="0" fontId="4" fillId="2" borderId="44" xfId="2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4" fillId="2" borderId="11" xfId="2" applyFont="1" applyFill="1" applyBorder="1" applyAlignment="1">
      <alignment horizontal="center"/>
    </xf>
    <xf numFmtId="0" fontId="1" fillId="0" borderId="17" xfId="7" applyBorder="1" applyAlignment="1">
      <alignment horizontal="center"/>
    </xf>
    <xf numFmtId="0" fontId="1" fillId="0" borderId="18" xfId="7" applyBorder="1" applyAlignment="1">
      <alignment horizontal="center"/>
    </xf>
    <xf numFmtId="0" fontId="1" fillId="0" borderId="16" xfId="7" applyBorder="1" applyAlignment="1">
      <alignment horizontal="center"/>
    </xf>
    <xf numFmtId="0" fontId="1" fillId="0" borderId="0" xfId="7" applyAlignment="1">
      <alignment horizontal="center"/>
    </xf>
  </cellXfs>
  <cellStyles count="9">
    <cellStyle name="Normale" xfId="0" builtinId="0"/>
    <cellStyle name="Normale 2" xfId="2" xr:uid="{795928D0-5C76-4F0F-A20E-094B7972AE98}"/>
    <cellStyle name="Normale 2 2" xfId="7" xr:uid="{68E67E08-F4CB-495F-9E33-36B850190B81}"/>
    <cellStyle name="Normale 3" xfId="4" xr:uid="{C011C091-F2B0-4EF2-B4A7-63FDBD1F912D}"/>
    <cellStyle name="Normale 4" xfId="3" xr:uid="{57B8244B-0C9E-478A-B498-3B3BB4B0A698}"/>
    <cellStyle name="Percentuale" xfId="1" builtinId="5"/>
    <cellStyle name="Percentuale 2" xfId="8" xr:uid="{ECB75C0E-3545-485B-AA0F-30C9BBE48EB8}"/>
    <cellStyle name="Percentuale 6" xfId="6" xr:uid="{D582B01E-8B1F-4B1E-AB53-1B84D468F983}"/>
    <cellStyle name="Valuta 2" xfId="5" xr:uid="{AF86A1FB-1D8C-4F3A-BB52-783ECB8E972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customXml" Target="../customXml/item2.xml"/><Relationship Id="rId10" Type="http://schemas.openxmlformats.org/officeDocument/2006/relationships/externalLink" Target="externalLinks/externalLink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09826656283348"/>
          <c:y val="5.2107672587438196E-2"/>
          <c:w val="0.79993709936485913"/>
          <c:h val="0.76073606941184702"/>
        </c:manualLayout>
      </c:layout>
      <c:scatterChart>
        <c:scatterStyle val="lineMarker"/>
        <c:varyColors val="0"/>
        <c:ser>
          <c:idx val="0"/>
          <c:order val="0"/>
          <c:tx>
            <c:v>G3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EnergyLevel!$BC$19:$BC$46</c:f>
              <c:numCache>
                <c:formatCode>General</c:formatCode>
                <c:ptCount val="2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26</c:v>
                </c:pt>
                <c:pt idx="5">
                  <c:v>32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70</c:v>
                </c:pt>
                <c:pt idx="13">
                  <c:v>80</c:v>
                </c:pt>
                <c:pt idx="14">
                  <c:v>90</c:v>
                </c:pt>
                <c:pt idx="15">
                  <c:v>100</c:v>
                </c:pt>
                <c:pt idx="16">
                  <c:v>110</c:v>
                </c:pt>
                <c:pt idx="17">
                  <c:v>120</c:v>
                </c:pt>
                <c:pt idx="18">
                  <c:v>130</c:v>
                </c:pt>
                <c:pt idx="19">
                  <c:v>140</c:v>
                </c:pt>
                <c:pt idx="20">
                  <c:v>150</c:v>
                </c:pt>
                <c:pt idx="21">
                  <c:v>160</c:v>
                </c:pt>
                <c:pt idx="22">
                  <c:v>170</c:v>
                </c:pt>
                <c:pt idx="23">
                  <c:v>180</c:v>
                </c:pt>
                <c:pt idx="24">
                  <c:v>200</c:v>
                </c:pt>
                <c:pt idx="25">
                  <c:v>220</c:v>
                </c:pt>
                <c:pt idx="26">
                  <c:v>240</c:v>
                </c:pt>
                <c:pt idx="27">
                  <c:v>260</c:v>
                </c:pt>
              </c:numCache>
            </c:numRef>
          </c:xVal>
          <c:yVal>
            <c:numRef>
              <c:f>EnergyLevel!$BF$19:$BF$46</c:f>
              <c:numCache>
                <c:formatCode>General</c:formatCode>
                <c:ptCount val="28"/>
                <c:pt idx="0">
                  <c:v>37.957144395000007</c:v>
                </c:pt>
                <c:pt idx="1">
                  <c:v>40.171431889999994</c:v>
                </c:pt>
                <c:pt idx="2">
                  <c:v>44.742862735000003</c:v>
                </c:pt>
                <c:pt idx="3">
                  <c:v>55.171437180000005</c:v>
                </c:pt>
                <c:pt idx="4">
                  <c:v>75</c:v>
                </c:pt>
                <c:pt idx="5">
                  <c:v>75</c:v>
                </c:pt>
                <c:pt idx="6">
                  <c:v>68.816706203932625</c:v>
                </c:pt>
                <c:pt idx="7">
                  <c:v>60.928640265243523</c:v>
                </c:pt>
                <c:pt idx="8">
                  <c:v>54.464080752627218</c:v>
                </c:pt>
                <c:pt idx="9">
                  <c:v>49.177957828468742</c:v>
                </c:pt>
                <c:pt idx="10">
                  <c:v>44.858426036936052</c:v>
                </c:pt>
                <c:pt idx="11">
                  <c:v>41.32386291670273</c:v>
                </c:pt>
                <c:pt idx="12">
                  <c:v>36.017196785785629</c:v>
                </c:pt>
                <c:pt idx="13">
                  <c:v>32.303822547537358</c:v>
                </c:pt>
                <c:pt idx="14">
                  <c:v>29.543577450428685</c:v>
                </c:pt>
                <c:pt idx="15">
                  <c:v>27.337794688000074</c:v>
                </c:pt>
                <c:pt idx="16">
                  <c:v>25.465394735024901</c:v>
                </c:pt>
                <c:pt idx="17">
                  <c:v>23.827546211422046</c:v>
                </c:pt>
                <c:pt idx="18">
                  <c:v>22.400896273910782</c:v>
                </c:pt>
                <c:pt idx="19">
                  <c:v>21.19937053541635</c:v>
                </c:pt>
                <c:pt idx="20">
                  <c:v>20.244542512218544</c:v>
                </c:pt>
                <c:pt idx="21">
                  <c:v>19.544572598850294</c:v>
                </c:pt>
                <c:pt idx="22">
                  <c:v>19.081716570736376</c:v>
                </c:pt>
                <c:pt idx="23">
                  <c:v>18.808403614586837</c:v>
                </c:pt>
                <c:pt idx="24">
                  <c:v>18.527445598000099</c:v>
                </c:pt>
                <c:pt idx="25">
                  <c:v>18.115445671252019</c:v>
                </c:pt>
                <c:pt idx="26">
                  <c:v>17.697600143347699</c:v>
                </c:pt>
                <c:pt idx="27">
                  <c:v>17.697600143347699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22-45ED-9CB6-1F5765C49B57}"/>
            </c:ext>
          </c:extLst>
        </c:ser>
        <c:ser>
          <c:idx val="3"/>
          <c:order val="1"/>
          <c:tx>
            <c:v>G2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EnergyLevel!$BC$19:$BC$46</c:f>
              <c:numCache>
                <c:formatCode>General</c:formatCode>
                <c:ptCount val="2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26</c:v>
                </c:pt>
                <c:pt idx="5">
                  <c:v>32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70</c:v>
                </c:pt>
                <c:pt idx="13">
                  <c:v>80</c:v>
                </c:pt>
                <c:pt idx="14">
                  <c:v>90</c:v>
                </c:pt>
                <c:pt idx="15">
                  <c:v>100</c:v>
                </c:pt>
                <c:pt idx="16">
                  <c:v>110</c:v>
                </c:pt>
                <c:pt idx="17">
                  <c:v>120</c:v>
                </c:pt>
                <c:pt idx="18">
                  <c:v>130</c:v>
                </c:pt>
                <c:pt idx="19">
                  <c:v>140</c:v>
                </c:pt>
                <c:pt idx="20">
                  <c:v>150</c:v>
                </c:pt>
                <c:pt idx="21">
                  <c:v>160</c:v>
                </c:pt>
                <c:pt idx="22">
                  <c:v>170</c:v>
                </c:pt>
                <c:pt idx="23">
                  <c:v>180</c:v>
                </c:pt>
                <c:pt idx="24">
                  <c:v>200</c:v>
                </c:pt>
                <c:pt idx="25">
                  <c:v>220</c:v>
                </c:pt>
                <c:pt idx="26">
                  <c:v>240</c:v>
                </c:pt>
                <c:pt idx="27">
                  <c:v>260</c:v>
                </c:pt>
              </c:numCache>
            </c:numRef>
          </c:xVal>
          <c:yVal>
            <c:numRef>
              <c:f>EnergyLevel!$BE$19:$BE$46</c:f>
              <c:numCache>
                <c:formatCode>General</c:formatCode>
                <c:ptCount val="28"/>
                <c:pt idx="0">
                  <c:v>49.885714335000003</c:v>
                </c:pt>
                <c:pt idx="1">
                  <c:v>53.457143220000006</c:v>
                </c:pt>
                <c:pt idx="2">
                  <c:v>59.314286905000003</c:v>
                </c:pt>
                <c:pt idx="3">
                  <c:v>72.457145640000007</c:v>
                </c:pt>
                <c:pt idx="4">
                  <c:v>98</c:v>
                </c:pt>
                <c:pt idx="5">
                  <c:v>98</c:v>
                </c:pt>
                <c:pt idx="6">
                  <c:v>90.210079075783327</c:v>
                </c:pt>
                <c:pt idx="7">
                  <c:v>79.910831686401266</c:v>
                </c:pt>
                <c:pt idx="8">
                  <c:v>71.434672216579017</c:v>
                </c:pt>
                <c:pt idx="9">
                  <c:v>64.473635885968719</c:v>
                </c:pt>
                <c:pt idx="10">
                  <c:v>58.761106646864285</c:v>
                </c:pt>
                <c:pt idx="11">
                  <c:v>54.06808431420604</c:v>
                </c:pt>
                <c:pt idx="12">
                  <c:v>46.99141201259097</c:v>
                </c:pt>
                <c:pt idx="13">
                  <c:v>42.032618315825879</c:v>
                </c:pt>
                <c:pt idx="14">
                  <c:v>38.371739673449632</c:v>
                </c:pt>
                <c:pt idx="15">
                  <c:v>35.489822277999863</c:v>
                </c:pt>
                <c:pt idx="16">
                  <c:v>33.089594499725045</c:v>
                </c:pt>
                <c:pt idx="17">
                  <c:v>31.026839127844845</c:v>
                </c:pt>
                <c:pt idx="18">
                  <c:v>29.252465418361751</c:v>
                </c:pt>
                <c:pt idx="19">
                  <c:v>27.765280948420326</c:v>
                </c:pt>
                <c:pt idx="20">
                  <c:v>26.575463277218972</c:v>
                </c:pt>
                <c:pt idx="21">
                  <c:v>25.678731413466465</c:v>
                </c:pt>
                <c:pt idx="22">
                  <c:v>25.041217089396127</c:v>
                </c:pt>
                <c:pt idx="23">
                  <c:v>24.595035841320623</c:v>
                </c:pt>
                <c:pt idx="24">
                  <c:v>23.883378868000136</c:v>
                </c:pt>
                <c:pt idx="25">
                  <c:v>22.82614973947102</c:v>
                </c:pt>
                <c:pt idx="26">
                  <c:v>21.675595223079199</c:v>
                </c:pt>
                <c:pt idx="27">
                  <c:v>21.675595223079199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22-45ED-9CB6-1F5765C49B57}"/>
            </c:ext>
          </c:extLst>
        </c:ser>
        <c:ser>
          <c:idx val="1"/>
          <c:order val="2"/>
          <c:tx>
            <c:v>BEP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EnergyLevel!$AR$52:$AR$126</c:f>
              <c:numCache>
                <c:formatCode>General</c:formatCode>
                <c:ptCount val="75"/>
                <c:pt idx="0">
                  <c:v>102.79843699546826</c:v>
                </c:pt>
              </c:numCache>
            </c:numRef>
          </c:xVal>
          <c:yVal>
            <c:numRef>
              <c:f>EnergyLevel!$AV$52:$AV$126</c:f>
              <c:numCache>
                <c:formatCode>General</c:formatCode>
                <c:ptCount val="75"/>
                <c:pt idx="0">
                  <c:v>27.78948141610411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22-45ED-9CB6-1F5765C49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834319"/>
        <c:axId val="2040838639"/>
      </c:scatterChart>
      <c:valAx>
        <c:axId val="2040834319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radeGothic" panose="02000606000000020004" pitchFamily="2" charset="0"/>
                    <a:ea typeface="+mn-ea"/>
                    <a:cs typeface="+mn-cs"/>
                  </a:defRPr>
                </a:pPr>
                <a:r>
                  <a:rPr lang="en-US"/>
                  <a:t>SPECIFIC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radeGothic" panose="02000606000000020004" pitchFamily="2" charset="0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radeGothic" panose="02000606000000020004" pitchFamily="2" charset="0"/>
                <a:ea typeface="+mn-ea"/>
                <a:cs typeface="+mn-cs"/>
              </a:defRPr>
            </a:pPr>
            <a:endParaRPr lang="it-IT"/>
          </a:p>
        </c:txPr>
        <c:crossAx val="2040838639"/>
        <c:crosses val="autoZero"/>
        <c:crossBetween val="midCat"/>
      </c:valAx>
      <c:valAx>
        <c:axId val="204083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radeGothic" panose="02000606000000020004" pitchFamily="2" charset="0"/>
                    <a:ea typeface="+mn-ea"/>
                    <a:cs typeface="+mn-cs"/>
                  </a:defRPr>
                </a:pPr>
                <a:r>
                  <a:rPr lang="en-US"/>
                  <a:t>U2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radeGothic" panose="02000606000000020004" pitchFamily="2" charset="0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radeGothic" panose="02000606000000020004" pitchFamily="2" charset="0"/>
                <a:ea typeface="+mn-ea"/>
                <a:cs typeface="+mn-cs"/>
              </a:defRPr>
            </a:pPr>
            <a:endParaRPr lang="it-IT"/>
          </a:p>
        </c:txPr>
        <c:crossAx val="204083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6845173199503904"/>
          <c:y val="7.0106004191336529E-2"/>
          <c:w val="0.25168757751434923"/>
          <c:h val="0.193042381330240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radeGothic" panose="02000606000000020004" pitchFamily="2" charset="0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radeGothic" panose="02000606000000020004" pitchFamily="2" charset="0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97402991721148"/>
          <c:y val="6.3968253968253966E-2"/>
          <c:w val="0.83501568730643883"/>
          <c:h val="0.75442970458029912"/>
        </c:manualLayout>
      </c:layout>
      <c:scatterChart>
        <c:scatterStyle val="smoothMarker"/>
        <c:varyColors val="0"/>
        <c:ser>
          <c:idx val="0"/>
          <c:order val="0"/>
          <c:tx>
            <c:v>G3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EnergyLevel!$AO$19:$AO$46</c:f>
              <c:numCache>
                <c:formatCode>General</c:formatCode>
                <c:ptCount val="2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26</c:v>
                </c:pt>
                <c:pt idx="5">
                  <c:v>32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70</c:v>
                </c:pt>
                <c:pt idx="13">
                  <c:v>80</c:v>
                </c:pt>
                <c:pt idx="14">
                  <c:v>90</c:v>
                </c:pt>
                <c:pt idx="15">
                  <c:v>100</c:v>
                </c:pt>
                <c:pt idx="16">
                  <c:v>110</c:v>
                </c:pt>
                <c:pt idx="17">
                  <c:v>120</c:v>
                </c:pt>
                <c:pt idx="18">
                  <c:v>130</c:v>
                </c:pt>
                <c:pt idx="19">
                  <c:v>140</c:v>
                </c:pt>
                <c:pt idx="20">
                  <c:v>150</c:v>
                </c:pt>
                <c:pt idx="21">
                  <c:v>160</c:v>
                </c:pt>
                <c:pt idx="22">
                  <c:v>170</c:v>
                </c:pt>
                <c:pt idx="23">
                  <c:v>180</c:v>
                </c:pt>
                <c:pt idx="24">
                  <c:v>200</c:v>
                </c:pt>
                <c:pt idx="25">
                  <c:v>220</c:v>
                </c:pt>
                <c:pt idx="26">
                  <c:v>240</c:v>
                </c:pt>
                <c:pt idx="27">
                  <c:v>260</c:v>
                </c:pt>
              </c:numCache>
            </c:numRef>
          </c:xVal>
          <c:yVal>
            <c:numRef>
              <c:f>EnergyLevel!$AR$19:$AR$46</c:f>
              <c:numCache>
                <c:formatCode>General</c:formatCode>
                <c:ptCount val="28"/>
                <c:pt idx="0">
                  <c:v>84.528571440000007</c:v>
                </c:pt>
                <c:pt idx="1">
                  <c:v>94.885714329999999</c:v>
                </c:pt>
                <c:pt idx="2">
                  <c:v>112.17142867</c:v>
                </c:pt>
                <c:pt idx="3">
                  <c:v>161.88571446</c:v>
                </c:pt>
                <c:pt idx="4">
                  <c:v>270</c:v>
                </c:pt>
                <c:pt idx="5">
                  <c:v>270</c:v>
                </c:pt>
                <c:pt idx="6">
                  <c:v>220.61629005139216</c:v>
                </c:pt>
                <c:pt idx="7">
                  <c:v>162.85808608611077</c:v>
                </c:pt>
                <c:pt idx="8">
                  <c:v>124.60302012063963</c:v>
                </c:pt>
                <c:pt idx="9">
                  <c:v>98.06451539921801</c:v>
                </c:pt>
                <c:pt idx="10">
                  <c:v>78.961856724783914</c:v>
                </c:pt>
                <c:pt idx="11">
                  <c:v>64.791162454011697</c:v>
                </c:pt>
                <c:pt idx="12">
                  <c:v>45.638485648034461</c:v>
                </c:pt>
                <c:pt idx="13">
                  <c:v>33.690152358087047</c:v>
                </c:pt>
                <c:pt idx="14">
                  <c:v>25.776397310247837</c:v>
                </c:pt>
                <c:pt idx="15">
                  <c:v>20.286425710386542</c:v>
                </c:pt>
                <c:pt idx="16">
                  <c:v>16.33469388881813</c:v>
                </c:pt>
                <c:pt idx="17">
                  <c:v>13.403228460999237</c:v>
                </c:pt>
                <c:pt idx="18">
                  <c:v>11.173458671232709</c:v>
                </c:pt>
                <c:pt idx="19">
                  <c:v>9.4411494806691127</c:v>
                </c:pt>
                <c:pt idx="20">
                  <c:v>8.0707144201480983</c:v>
                </c:pt>
                <c:pt idx="21">
                  <c:v>6.9694197763749752</c:v>
                </c:pt>
                <c:pt idx="22">
                  <c:v>6.0721885084118306</c:v>
                </c:pt>
                <c:pt idx="23">
                  <c:v>5.3323158431670592</c:v>
                </c:pt>
                <c:pt idx="24">
                  <c:v>4.1966155283352924</c:v>
                </c:pt>
                <c:pt idx="25">
                  <c:v>3.3791280437006734</c:v>
                </c:pt>
                <c:pt idx="26">
                  <c:v>2.7727011890742319</c:v>
                </c:pt>
                <c:pt idx="27">
                  <c:v>2.3114328188873565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5-4664-922C-F5ED0E5F87AD}"/>
            </c:ext>
          </c:extLst>
        </c:ser>
        <c:ser>
          <c:idx val="1"/>
          <c:order val="1"/>
          <c:tx>
            <c:v>API-12ed-preview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EnergyLevel!$AO$19:$AO$32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26</c:v>
                </c:pt>
                <c:pt idx="5">
                  <c:v>32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70</c:v>
                </c:pt>
                <c:pt idx="13">
                  <c:v>80</c:v>
                </c:pt>
              </c:numCache>
            </c:numRef>
          </c:xVal>
          <c:yVal>
            <c:numRef>
              <c:f>EnergyLevel!$AT$19:$AT$32</c:f>
              <c:numCache>
                <c:formatCode>General</c:formatCode>
                <c:ptCount val="14"/>
                <c:pt idx="0">
                  <c:v>6184.8189547197362</c:v>
                </c:pt>
                <c:pt idx="1">
                  <c:v>1546.2047386799341</c:v>
                </c:pt>
                <c:pt idx="2">
                  <c:v>687.20210607997092</c:v>
                </c:pt>
                <c:pt idx="3">
                  <c:v>386.55118466998351</c:v>
                </c:pt>
                <c:pt idx="4">
                  <c:v>228.72851163904349</c:v>
                </c:pt>
                <c:pt idx="5">
                  <c:v>150.9965565117123</c:v>
                </c:pt>
                <c:pt idx="6">
                  <c:v>126.22079499428034</c:v>
                </c:pt>
                <c:pt idx="7">
                  <c:v>96.637796167495878</c:v>
                </c:pt>
                <c:pt idx="8">
                  <c:v>76.355789564441167</c:v>
                </c:pt>
                <c:pt idx="9">
                  <c:v>61.848189547197379</c:v>
                </c:pt>
                <c:pt idx="10">
                  <c:v>51.114206237353194</c:v>
                </c:pt>
                <c:pt idx="11">
                  <c:v>42.950131629998182</c:v>
                </c:pt>
                <c:pt idx="12">
                  <c:v>31.555198748570085</c:v>
                </c:pt>
                <c:pt idx="13">
                  <c:v>24.15944904187397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5-4664-922C-F5ED0E5F87AD}"/>
            </c:ext>
          </c:extLst>
        </c:ser>
        <c:ser>
          <c:idx val="3"/>
          <c:order val="2"/>
          <c:tx>
            <c:v>G2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EnergyLevel!$AO$19:$AO$46</c:f>
              <c:numCache>
                <c:formatCode>General</c:formatCode>
                <c:ptCount val="2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26</c:v>
                </c:pt>
                <c:pt idx="5">
                  <c:v>32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70</c:v>
                </c:pt>
                <c:pt idx="13">
                  <c:v>80</c:v>
                </c:pt>
                <c:pt idx="14">
                  <c:v>90</c:v>
                </c:pt>
                <c:pt idx="15">
                  <c:v>100</c:v>
                </c:pt>
                <c:pt idx="16">
                  <c:v>110</c:v>
                </c:pt>
                <c:pt idx="17">
                  <c:v>120</c:v>
                </c:pt>
                <c:pt idx="18">
                  <c:v>130</c:v>
                </c:pt>
                <c:pt idx="19">
                  <c:v>140</c:v>
                </c:pt>
                <c:pt idx="20">
                  <c:v>150</c:v>
                </c:pt>
                <c:pt idx="21">
                  <c:v>160</c:v>
                </c:pt>
                <c:pt idx="22">
                  <c:v>170</c:v>
                </c:pt>
                <c:pt idx="23">
                  <c:v>180</c:v>
                </c:pt>
                <c:pt idx="24">
                  <c:v>200</c:v>
                </c:pt>
                <c:pt idx="25">
                  <c:v>220</c:v>
                </c:pt>
                <c:pt idx="26">
                  <c:v>240</c:v>
                </c:pt>
                <c:pt idx="27">
                  <c:v>260</c:v>
                </c:pt>
              </c:numCache>
            </c:numRef>
          </c:xVal>
          <c:yVal>
            <c:numRef>
              <c:f>EnergyLevel!$AQ$19:$AQ$46</c:f>
              <c:numCache>
                <c:formatCode>General</c:formatCode>
                <c:ptCount val="28"/>
                <c:pt idx="0">
                  <c:v>141.40000004000001</c:v>
                </c:pt>
                <c:pt idx="1">
                  <c:v>157.40000033000001</c:v>
                </c:pt>
                <c:pt idx="2">
                  <c:v>186.40000112000001</c:v>
                </c:pt>
                <c:pt idx="3">
                  <c:v>272.40000265999998</c:v>
                </c:pt>
                <c:pt idx="4">
                  <c:v>460</c:v>
                </c:pt>
                <c:pt idx="5">
                  <c:v>460</c:v>
                </c:pt>
                <c:pt idx="6">
                  <c:v>380.59272638899671</c:v>
                </c:pt>
                <c:pt idx="7">
                  <c:v>280.7394042894976</c:v>
                </c:pt>
                <c:pt idx="8">
                  <c:v>214.65081485970188</c:v>
                </c:pt>
                <c:pt idx="9">
                  <c:v>168.83262716277571</c:v>
                </c:pt>
                <c:pt idx="10">
                  <c:v>135.87110735824496</c:v>
                </c:pt>
                <c:pt idx="11">
                  <c:v>111.43233842607096</c:v>
                </c:pt>
                <c:pt idx="12">
                  <c:v>78.423651064183474</c:v>
                </c:pt>
                <c:pt idx="13">
                  <c:v>57.848212946307164</c:v>
                </c:pt>
                <c:pt idx="14">
                  <c:v>44.230221541318954</c:v>
                </c:pt>
                <c:pt idx="15">
                  <c:v>34.789080617715349</c:v>
                </c:pt>
                <c:pt idx="16">
                  <c:v>27.997141233530613</c:v>
                </c:pt>
                <c:pt idx="17">
                  <c:v>22.961371093204491</c:v>
                </c:pt>
                <c:pt idx="18">
                  <c:v>19.132816043110637</c:v>
                </c:pt>
                <c:pt idx="19">
                  <c:v>16.159712521543945</c:v>
                </c:pt>
                <c:pt idx="20">
                  <c:v>13.808637283163719</c:v>
                </c:pt>
                <c:pt idx="21">
                  <c:v>11.92000727347304</c:v>
                </c:pt>
                <c:pt idx="22">
                  <c:v>10.381875989337907</c:v>
                </c:pt>
                <c:pt idx="23">
                  <c:v>9.1139299837870293</c:v>
                </c:pt>
                <c:pt idx="24">
                  <c:v>7.1685203894804115</c:v>
                </c:pt>
                <c:pt idx="25">
                  <c:v>5.7689963119498726</c:v>
                </c:pt>
                <c:pt idx="26">
                  <c:v>4.7313425341928941</c:v>
                </c:pt>
                <c:pt idx="27">
                  <c:v>3.9424434183918766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75-4664-922C-F5ED0E5F87AD}"/>
            </c:ext>
          </c:extLst>
        </c:ser>
        <c:ser>
          <c:idx val="4"/>
          <c:order val="3"/>
          <c:tx>
            <c:v>BEP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EnergyLevel!$AR$52</c:f>
              <c:numCache>
                <c:formatCode>General</c:formatCode>
                <c:ptCount val="1"/>
                <c:pt idx="0">
                  <c:v>102.79843699546826</c:v>
                </c:pt>
              </c:numCache>
            </c:numRef>
          </c:xVal>
          <c:yVal>
            <c:numRef>
              <c:f>EnergyLevel!$AT$52</c:f>
              <c:numCache>
                <c:formatCode>General</c:formatCode>
                <c:ptCount val="1"/>
                <c:pt idx="0">
                  <c:v>25.363549783780755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B75-4664-922C-F5ED0E5F8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834319"/>
        <c:axId val="2040838639"/>
      </c:scatterChart>
      <c:valAx>
        <c:axId val="2040834319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radeGothic" panose="02000606000000020004" pitchFamily="2" charset="0"/>
                    <a:ea typeface="+mn-ea"/>
                    <a:cs typeface="+mn-cs"/>
                  </a:defRPr>
                </a:pPr>
                <a:r>
                  <a:rPr lang="en-US"/>
                  <a:t>SPECIFIC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radeGothic" panose="02000606000000020004" pitchFamily="2" charset="0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radeGothic" panose="02000606000000020004" pitchFamily="2" charset="0"/>
                <a:ea typeface="+mn-ea"/>
                <a:cs typeface="+mn-cs"/>
              </a:defRPr>
            </a:pPr>
            <a:endParaRPr lang="it-IT"/>
          </a:p>
        </c:txPr>
        <c:crossAx val="2040838639"/>
        <c:crosses val="autoZero"/>
        <c:crossBetween val="midCat"/>
      </c:valAx>
      <c:valAx>
        <c:axId val="2040838639"/>
        <c:scaling>
          <c:logBase val="10"/>
          <c:orientation val="minMax"/>
          <c:max val="1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radeGothic" panose="02000606000000020004" pitchFamily="2" charset="0"/>
                    <a:ea typeface="+mn-ea"/>
                    <a:cs typeface="+mn-cs"/>
                  </a:defRPr>
                </a:pPr>
                <a:r>
                  <a:rPr lang="en-US"/>
                  <a:t>Hst*SG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radeGothic" panose="02000606000000020004" pitchFamily="2" charset="0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radeGothic" panose="02000606000000020004" pitchFamily="2" charset="0"/>
                <a:ea typeface="+mn-ea"/>
                <a:cs typeface="+mn-cs"/>
              </a:defRPr>
            </a:pPr>
            <a:endParaRPr lang="it-IT"/>
          </a:p>
        </c:txPr>
        <c:crossAx val="204083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42464357765048"/>
          <c:y val="8.5316835395575566E-2"/>
          <c:w val="0.38221808392202905"/>
          <c:h val="0.274471524392784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radeGothic" panose="02000606000000020004" pitchFamily="2" charset="0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radeGothic" panose="02000606000000020004" pitchFamily="2" charset="0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92371145914458"/>
          <c:y val="5.3386243386243384E-2"/>
          <c:w val="0.79811171371686018"/>
          <c:h val="0.75940263873038527"/>
        </c:manualLayout>
      </c:layout>
      <c:scatterChart>
        <c:scatterStyle val="lineMarker"/>
        <c:varyColors val="0"/>
        <c:ser>
          <c:idx val="0"/>
          <c:order val="0"/>
          <c:tx>
            <c:v>G3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EnergyLevel!$BG$19:$BG$46</c:f>
              <c:numCache>
                <c:formatCode>General</c:formatCode>
                <c:ptCount val="2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26</c:v>
                </c:pt>
                <c:pt idx="5">
                  <c:v>32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70</c:v>
                </c:pt>
                <c:pt idx="13">
                  <c:v>80</c:v>
                </c:pt>
                <c:pt idx="14">
                  <c:v>90</c:v>
                </c:pt>
                <c:pt idx="15">
                  <c:v>100</c:v>
                </c:pt>
                <c:pt idx="16">
                  <c:v>110</c:v>
                </c:pt>
                <c:pt idx="17">
                  <c:v>120</c:v>
                </c:pt>
                <c:pt idx="18">
                  <c:v>130</c:v>
                </c:pt>
                <c:pt idx="19">
                  <c:v>140</c:v>
                </c:pt>
                <c:pt idx="20">
                  <c:v>150</c:v>
                </c:pt>
                <c:pt idx="21">
                  <c:v>160</c:v>
                </c:pt>
                <c:pt idx="22">
                  <c:v>170</c:v>
                </c:pt>
                <c:pt idx="23">
                  <c:v>180</c:v>
                </c:pt>
                <c:pt idx="24">
                  <c:v>200</c:v>
                </c:pt>
                <c:pt idx="25">
                  <c:v>220</c:v>
                </c:pt>
                <c:pt idx="26">
                  <c:v>240</c:v>
                </c:pt>
                <c:pt idx="27">
                  <c:v>260</c:v>
                </c:pt>
              </c:numCache>
            </c:numRef>
          </c:xVal>
          <c:yVal>
            <c:numRef>
              <c:f>EnergyLevel!$BJ$19:$BJ$46</c:f>
              <c:numCache>
                <c:formatCode>General</c:formatCode>
                <c:ptCount val="28"/>
                <c:pt idx="0">
                  <c:v>71.987000000000009</c:v>
                </c:pt>
                <c:pt idx="1">
                  <c:v>76.304000000000002</c:v>
                </c:pt>
                <c:pt idx="2">
                  <c:v>87.245999999999995</c:v>
                </c:pt>
                <c:pt idx="3">
                  <c:v>105.86300000000001</c:v>
                </c:pt>
                <c:pt idx="4">
                  <c:v>139.81280000000001</c:v>
                </c:pt>
                <c:pt idx="5">
                  <c:v>188.14100000000002</c:v>
                </c:pt>
                <c:pt idx="6">
                  <c:v>218.26400000000001</c:v>
                </c:pt>
                <c:pt idx="7">
                  <c:v>278.08100000000002</c:v>
                </c:pt>
                <c:pt idx="8">
                  <c:v>350.82299999999998</c:v>
                </c:pt>
                <c:pt idx="9">
                  <c:v>437.54</c:v>
                </c:pt>
                <c:pt idx="10">
                  <c:v>539.28199999999993</c:v>
                </c:pt>
                <c:pt idx="11">
                  <c:v>657.09899999999993</c:v>
                </c:pt>
                <c:pt idx="12">
                  <c:v>945.1579999999999</c:v>
                </c:pt>
                <c:pt idx="13">
                  <c:v>1310.1169999999997</c:v>
                </c:pt>
                <c:pt idx="14">
                  <c:v>1760.376</c:v>
                </c:pt>
                <c:pt idx="15">
                  <c:v>2304.335</c:v>
                </c:pt>
                <c:pt idx="16">
                  <c:v>2950.3940000000002</c:v>
                </c:pt>
                <c:pt idx="17">
                  <c:v>3706.953</c:v>
                </c:pt>
                <c:pt idx="18">
                  <c:v>4582.4120000000003</c:v>
                </c:pt>
                <c:pt idx="19">
                  <c:v>5585.1710000000003</c:v>
                </c:pt>
                <c:pt idx="20">
                  <c:v>6723.63</c:v>
                </c:pt>
                <c:pt idx="21">
                  <c:v>8006.1889999999994</c:v>
                </c:pt>
                <c:pt idx="22">
                  <c:v>9441.2479999999996</c:v>
                </c:pt>
                <c:pt idx="23">
                  <c:v>11037.207</c:v>
                </c:pt>
                <c:pt idx="24">
                  <c:v>14745.424999999999</c:v>
                </c:pt>
                <c:pt idx="25">
                  <c:v>19198.043000000001</c:v>
                </c:pt>
                <c:pt idx="26">
                  <c:v>24462.260999999999</c:v>
                </c:pt>
                <c:pt idx="27">
                  <c:v>30605.279000000002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FF-4ADE-9985-320F522A2840}"/>
            </c:ext>
          </c:extLst>
        </c:ser>
        <c:ser>
          <c:idx val="3"/>
          <c:order val="1"/>
          <c:tx>
            <c:v>G2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EnergyLevel!$BG$19:$BG$46</c:f>
              <c:numCache>
                <c:formatCode>General</c:formatCode>
                <c:ptCount val="2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26</c:v>
                </c:pt>
                <c:pt idx="5">
                  <c:v>32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70</c:v>
                </c:pt>
                <c:pt idx="13">
                  <c:v>80</c:v>
                </c:pt>
                <c:pt idx="14">
                  <c:v>90</c:v>
                </c:pt>
                <c:pt idx="15">
                  <c:v>100</c:v>
                </c:pt>
                <c:pt idx="16">
                  <c:v>110</c:v>
                </c:pt>
                <c:pt idx="17">
                  <c:v>120</c:v>
                </c:pt>
                <c:pt idx="18">
                  <c:v>130</c:v>
                </c:pt>
                <c:pt idx="19">
                  <c:v>140</c:v>
                </c:pt>
                <c:pt idx="20">
                  <c:v>150</c:v>
                </c:pt>
                <c:pt idx="21">
                  <c:v>160</c:v>
                </c:pt>
                <c:pt idx="22">
                  <c:v>170</c:v>
                </c:pt>
                <c:pt idx="23">
                  <c:v>180</c:v>
                </c:pt>
                <c:pt idx="24">
                  <c:v>200</c:v>
                </c:pt>
                <c:pt idx="25">
                  <c:v>220</c:v>
                </c:pt>
                <c:pt idx="26">
                  <c:v>240</c:v>
                </c:pt>
                <c:pt idx="27">
                  <c:v>260</c:v>
                </c:pt>
              </c:numCache>
            </c:numRef>
          </c:xVal>
          <c:yVal>
            <c:numRef>
              <c:f>EnergyLevel!$BI$19:$BI$46</c:f>
              <c:numCache>
                <c:formatCode>General</c:formatCode>
                <c:ptCount val="28"/>
                <c:pt idx="0">
                  <c:v>49.424000000000007</c:v>
                </c:pt>
                <c:pt idx="1">
                  <c:v>116.67399999999999</c:v>
                </c:pt>
                <c:pt idx="2">
                  <c:v>177.41899999999998</c:v>
                </c:pt>
                <c:pt idx="3">
                  <c:v>236.38400000000004</c:v>
                </c:pt>
                <c:pt idx="4">
                  <c:v>311.44520000000006</c:v>
                </c:pt>
                <c:pt idx="5">
                  <c:v>398.91199999999998</c:v>
                </c:pt>
                <c:pt idx="6">
                  <c:v>449.84900000000005</c:v>
                </c:pt>
                <c:pt idx="7">
                  <c:v>548.94399999999996</c:v>
                </c:pt>
                <c:pt idx="8">
                  <c:v>669.8839999999999</c:v>
                </c:pt>
                <c:pt idx="9">
                  <c:v>817.39400000000001</c:v>
                </c:pt>
                <c:pt idx="10">
                  <c:v>996.19899999999984</c:v>
                </c:pt>
                <c:pt idx="11">
                  <c:v>1211.0239999999999</c:v>
                </c:pt>
                <c:pt idx="12">
                  <c:v>1767.6340000000002</c:v>
                </c:pt>
                <c:pt idx="13">
                  <c:v>2525.0239999999999</c:v>
                </c:pt>
                <c:pt idx="14">
                  <c:v>3520.9939999999997</c:v>
                </c:pt>
                <c:pt idx="15">
                  <c:v>4793.3440000000001</c:v>
                </c:pt>
                <c:pt idx="16">
                  <c:v>6379.8739999999989</c:v>
                </c:pt>
                <c:pt idx="17">
                  <c:v>8318.384</c:v>
                </c:pt>
                <c:pt idx="18">
                  <c:v>10646.674000000001</c:v>
                </c:pt>
                <c:pt idx="19">
                  <c:v>13402.544000000002</c:v>
                </c:pt>
                <c:pt idx="20">
                  <c:v>16623.794000000002</c:v>
                </c:pt>
                <c:pt idx="21">
                  <c:v>20348.223999999998</c:v>
                </c:pt>
                <c:pt idx="22">
                  <c:v>24613.634000000002</c:v>
                </c:pt>
                <c:pt idx="23">
                  <c:v>29457.824000000001</c:v>
                </c:pt>
                <c:pt idx="24">
                  <c:v>41033.743999999999</c:v>
                </c:pt>
                <c:pt idx="25">
                  <c:v>55378.383999999991</c:v>
                </c:pt>
                <c:pt idx="26">
                  <c:v>72794.144</c:v>
                </c:pt>
                <c:pt idx="27">
                  <c:v>93583.423999999999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FF-4ADE-9985-320F522A2840}"/>
            </c:ext>
          </c:extLst>
        </c:ser>
        <c:ser>
          <c:idx val="1"/>
          <c:order val="2"/>
          <c:tx>
            <c:v>BEP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EnergyLevel!$AR$52:$AR$126</c:f>
              <c:numCache>
                <c:formatCode>General</c:formatCode>
                <c:ptCount val="75"/>
                <c:pt idx="0">
                  <c:v>102.79843699546826</c:v>
                </c:pt>
              </c:numCache>
            </c:numRef>
          </c:xVal>
          <c:yVal>
            <c:numRef>
              <c:f>EnergyLevel!$AS$52:$AS$126</c:f>
              <c:numCache>
                <c:formatCode>General</c:formatCode>
                <c:ptCount val="75"/>
                <c:pt idx="0">
                  <c:v>950.75520000000006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FF-4ADE-9985-320F522A2840}"/>
            </c:ext>
          </c:extLst>
        </c:ser>
        <c:ser>
          <c:idx val="4"/>
          <c:order val="3"/>
          <c:tx>
            <c:strRef>
              <c:f>EnergyLevel!$BL$2</c:f>
              <c:strCache>
                <c:ptCount val="1"/>
                <c:pt idx="0">
                  <c:v>ARAMCO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EnergyLevel!$BL$5:$BL$6</c:f>
              <c:numCache>
                <c:formatCode>General</c:formatCode>
                <c:ptCount val="2"/>
                <c:pt idx="0">
                  <c:v>1</c:v>
                </c:pt>
                <c:pt idx="1">
                  <c:v>200</c:v>
                </c:pt>
              </c:numCache>
            </c:numRef>
          </c:xVal>
          <c:yVal>
            <c:numRef>
              <c:f>EnergyLevel!$BN$5:$BN$6</c:f>
              <c:numCache>
                <c:formatCode>General</c:formatCode>
                <c:ptCount val="2"/>
                <c:pt idx="0">
                  <c:v>224</c:v>
                </c:pt>
                <c:pt idx="1">
                  <c:v>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1FF-4ADE-9985-320F522A2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834319"/>
        <c:axId val="2040838639"/>
      </c:scatterChart>
      <c:valAx>
        <c:axId val="2040834319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radeGothic" panose="02000606000000020004" pitchFamily="2" charset="0"/>
                    <a:ea typeface="+mn-ea"/>
                    <a:cs typeface="+mn-cs"/>
                  </a:defRPr>
                </a:pPr>
                <a:r>
                  <a:rPr lang="en-US"/>
                  <a:t>SPECIFIC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radeGothic" panose="02000606000000020004" pitchFamily="2" charset="0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radeGothic" panose="02000606000000020004" pitchFamily="2" charset="0"/>
                <a:ea typeface="+mn-ea"/>
                <a:cs typeface="+mn-cs"/>
              </a:defRPr>
            </a:pPr>
            <a:endParaRPr lang="it-IT"/>
          </a:p>
        </c:txPr>
        <c:crossAx val="2040838639"/>
        <c:crosses val="autoZero"/>
        <c:crossBetween val="midCat"/>
      </c:valAx>
      <c:valAx>
        <c:axId val="2040838639"/>
        <c:scaling>
          <c:logBase val="10"/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radeGothic" panose="02000606000000020004" pitchFamily="2" charset="0"/>
                    <a:ea typeface="+mn-ea"/>
                    <a:cs typeface="+mn-cs"/>
                  </a:defRPr>
                </a:pPr>
                <a:r>
                  <a:rPr lang="en-US"/>
                  <a:t>POWER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radeGothic" panose="02000606000000020004" pitchFamily="2" charset="0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radeGothic" panose="02000606000000020004" pitchFamily="2" charset="0"/>
                <a:ea typeface="+mn-ea"/>
                <a:cs typeface="+mn-cs"/>
              </a:defRPr>
            </a:pPr>
            <a:endParaRPr lang="it-IT"/>
          </a:p>
        </c:txPr>
        <c:crossAx val="204083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97552779364214"/>
          <c:y val="0.57414267478111003"/>
          <c:w val="0.23485639848358783"/>
          <c:h val="0.216270466191726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radeGothic" panose="02000606000000020004" pitchFamily="2" charset="0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radeGothic" panose="02000606000000020004" pitchFamily="2" charset="0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15808294993719"/>
          <c:y val="4.3897378440343179E-2"/>
          <c:w val="0.82088314010421304"/>
          <c:h val="0.77796831872971706"/>
        </c:manualLayout>
      </c:layout>
      <c:scatterChart>
        <c:scatterStyle val="lineMarker"/>
        <c:varyColors val="0"/>
        <c:ser>
          <c:idx val="0"/>
          <c:order val="0"/>
          <c:tx>
            <c:v>API610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EnergyLevel!$AV$19:$AV$46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50</c:v>
                </c:pt>
                <c:pt idx="3">
                  <c:v>100</c:v>
                </c:pt>
                <c:pt idx="4">
                  <c:v>200</c:v>
                </c:pt>
                <c:pt idx="5">
                  <c:v>225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600</c:v>
                </c:pt>
                <c:pt idx="10">
                  <c:v>700</c:v>
                </c:pt>
                <c:pt idx="11">
                  <c:v>800</c:v>
                </c:pt>
                <c:pt idx="12">
                  <c:v>900</c:v>
                </c:pt>
                <c:pt idx="13">
                  <c:v>1000</c:v>
                </c:pt>
                <c:pt idx="14">
                  <c:v>1200</c:v>
                </c:pt>
                <c:pt idx="15">
                  <c:v>1400</c:v>
                </c:pt>
                <c:pt idx="16">
                  <c:v>1600</c:v>
                </c:pt>
                <c:pt idx="17">
                  <c:v>1800</c:v>
                </c:pt>
                <c:pt idx="18">
                  <c:v>2000</c:v>
                </c:pt>
                <c:pt idx="19">
                  <c:v>2250</c:v>
                </c:pt>
                <c:pt idx="20">
                  <c:v>2500</c:v>
                </c:pt>
                <c:pt idx="21">
                  <c:v>2750</c:v>
                </c:pt>
                <c:pt idx="22">
                  <c:v>3000</c:v>
                </c:pt>
                <c:pt idx="23">
                  <c:v>3500</c:v>
                </c:pt>
                <c:pt idx="24">
                  <c:v>4000</c:v>
                </c:pt>
                <c:pt idx="25">
                  <c:v>4500</c:v>
                </c:pt>
                <c:pt idx="26">
                  <c:v>5000</c:v>
                </c:pt>
                <c:pt idx="27">
                  <c:v>6000</c:v>
                </c:pt>
              </c:numCache>
            </c:numRef>
          </c:xVal>
          <c:yVal>
            <c:numRef>
              <c:f>EnergyLevel!$AX$19:$AX$46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74-47F5-B65B-3901460AFA86}"/>
            </c:ext>
          </c:extLst>
        </c:ser>
        <c:ser>
          <c:idx val="1"/>
          <c:order val="1"/>
          <c:tx>
            <c:v>int-G2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EnergyLevel!$AV$19:$AV$46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50</c:v>
                </c:pt>
                <c:pt idx="3">
                  <c:v>100</c:v>
                </c:pt>
                <c:pt idx="4">
                  <c:v>200</c:v>
                </c:pt>
                <c:pt idx="5">
                  <c:v>225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600</c:v>
                </c:pt>
                <c:pt idx="10">
                  <c:v>700</c:v>
                </c:pt>
                <c:pt idx="11">
                  <c:v>800</c:v>
                </c:pt>
                <c:pt idx="12">
                  <c:v>900</c:v>
                </c:pt>
                <c:pt idx="13">
                  <c:v>1000</c:v>
                </c:pt>
                <c:pt idx="14">
                  <c:v>1200</c:v>
                </c:pt>
                <c:pt idx="15">
                  <c:v>1400</c:v>
                </c:pt>
                <c:pt idx="16">
                  <c:v>1600</c:v>
                </c:pt>
                <c:pt idx="17">
                  <c:v>1800</c:v>
                </c:pt>
                <c:pt idx="18">
                  <c:v>2000</c:v>
                </c:pt>
                <c:pt idx="19">
                  <c:v>2250</c:v>
                </c:pt>
                <c:pt idx="20">
                  <c:v>2500</c:v>
                </c:pt>
                <c:pt idx="21">
                  <c:v>2750</c:v>
                </c:pt>
                <c:pt idx="22">
                  <c:v>3000</c:v>
                </c:pt>
                <c:pt idx="23">
                  <c:v>3500</c:v>
                </c:pt>
                <c:pt idx="24">
                  <c:v>4000</c:v>
                </c:pt>
                <c:pt idx="25">
                  <c:v>4500</c:v>
                </c:pt>
                <c:pt idx="26">
                  <c:v>5000</c:v>
                </c:pt>
                <c:pt idx="27">
                  <c:v>6000</c:v>
                </c:pt>
              </c:numCache>
            </c:numRef>
          </c:xVal>
          <c:yVal>
            <c:numRef>
              <c:f>EnergyLevel!$BA$19:$BA$46</c:f>
              <c:numCache>
                <c:formatCode>General</c:formatCode>
                <c:ptCount val="28"/>
                <c:pt idx="0">
                  <c:v>650.3213853118491</c:v>
                </c:pt>
                <c:pt idx="1">
                  <c:v>516.27969774028861</c:v>
                </c:pt>
                <c:pt idx="2">
                  <c:v>380.51433655656206</c:v>
                </c:pt>
                <c:pt idx="3">
                  <c:v>302.08421728137324</c:v>
                </c:pt>
                <c:pt idx="4">
                  <c:v>239.81980588774806</c:v>
                </c:pt>
                <c:pt idx="5">
                  <c:v>230.59572790576695</c:v>
                </c:pt>
                <c:pt idx="6">
                  <c:v>209.53021463045113</c:v>
                </c:pt>
                <c:pt idx="7">
                  <c:v>190.38909021343133</c:v>
                </c:pt>
                <c:pt idx="8">
                  <c:v>176.75472177177335</c:v>
                </c:pt>
                <c:pt idx="9">
                  <c:v>166.34267043977533</c:v>
                </c:pt>
                <c:pt idx="10">
                  <c:v>158.01939268911258</c:v>
                </c:pt>
                <c:pt idx="11">
                  <c:v>151.14683934513985</c:v>
                </c:pt>
                <c:pt idx="12">
                  <c:v>145.3333485548832</c:v>
                </c:pt>
                <c:pt idx="13">
                  <c:v>140.32273333090595</c:v>
                </c:pt>
                <c:pt idx="14">
                  <c:v>132.05677309039726</c:v>
                </c:pt>
                <c:pt idx="15">
                  <c:v>125.44905663146514</c:v>
                </c:pt>
                <c:pt idx="16">
                  <c:v>119.99304696721455</c:v>
                </c:pt>
                <c:pt idx="17">
                  <c:v>115.3778100462107</c:v>
                </c:pt>
                <c:pt idx="18">
                  <c:v>111.39996313581365</c:v>
                </c:pt>
                <c:pt idx="19">
                  <c:v>107.11523801333753</c:v>
                </c:pt>
                <c:pt idx="20">
                  <c:v>103.42225737505757</c:v>
                </c:pt>
                <c:pt idx="21">
                  <c:v>100.19135466233736</c:v>
                </c:pt>
                <c:pt idx="22">
                  <c:v>97.329985316545759</c:v>
                </c:pt>
                <c:pt idx="23">
                  <c:v>92.459890955815638</c:v>
                </c:pt>
                <c:pt idx="24">
                  <c:v>88.438640639900882</c:v>
                </c:pt>
                <c:pt idx="25">
                  <c:v>85.037066216707984</c:v>
                </c:pt>
                <c:pt idx="26">
                  <c:v>82.105268230735774</c:v>
                </c:pt>
                <c:pt idx="27">
                  <c:v>77.268711340619362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74-47F5-B65B-3901460AFA86}"/>
            </c:ext>
          </c:extLst>
        </c:ser>
        <c:ser>
          <c:idx val="3"/>
          <c:order val="2"/>
          <c:tx>
            <c:v>int-G3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EnergyLevel!$AV$19:$AV$46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50</c:v>
                </c:pt>
                <c:pt idx="3">
                  <c:v>100</c:v>
                </c:pt>
                <c:pt idx="4">
                  <c:v>200</c:v>
                </c:pt>
                <c:pt idx="5">
                  <c:v>225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600</c:v>
                </c:pt>
                <c:pt idx="10">
                  <c:v>700</c:v>
                </c:pt>
                <c:pt idx="11">
                  <c:v>800</c:v>
                </c:pt>
                <c:pt idx="12">
                  <c:v>900</c:v>
                </c:pt>
                <c:pt idx="13">
                  <c:v>1000</c:v>
                </c:pt>
                <c:pt idx="14">
                  <c:v>1200</c:v>
                </c:pt>
                <c:pt idx="15">
                  <c:v>1400</c:v>
                </c:pt>
                <c:pt idx="16">
                  <c:v>1600</c:v>
                </c:pt>
                <c:pt idx="17">
                  <c:v>1800</c:v>
                </c:pt>
                <c:pt idx="18">
                  <c:v>2000</c:v>
                </c:pt>
                <c:pt idx="19">
                  <c:v>2250</c:v>
                </c:pt>
                <c:pt idx="20">
                  <c:v>2500</c:v>
                </c:pt>
                <c:pt idx="21">
                  <c:v>2750</c:v>
                </c:pt>
                <c:pt idx="22">
                  <c:v>3000</c:v>
                </c:pt>
                <c:pt idx="23">
                  <c:v>3500</c:v>
                </c:pt>
                <c:pt idx="24">
                  <c:v>4000</c:v>
                </c:pt>
                <c:pt idx="25">
                  <c:v>4500</c:v>
                </c:pt>
                <c:pt idx="26">
                  <c:v>5000</c:v>
                </c:pt>
                <c:pt idx="27">
                  <c:v>6000</c:v>
                </c:pt>
              </c:numCache>
            </c:numRef>
          </c:xVal>
          <c:yVal>
            <c:numRef>
              <c:f>EnergyLevel!$BB$19:$BB$46</c:f>
              <c:numCache>
                <c:formatCode>General</c:formatCode>
                <c:ptCount val="28"/>
                <c:pt idx="0">
                  <c:v>276.38658875753589</c:v>
                </c:pt>
                <c:pt idx="1">
                  <c:v>219.41887153962267</c:v>
                </c:pt>
                <c:pt idx="2">
                  <c:v>161.71859303653889</c:v>
                </c:pt>
                <c:pt idx="3">
                  <c:v>128.38579234458362</c:v>
                </c:pt>
                <c:pt idx="4">
                  <c:v>101.92341750229293</c:v>
                </c:pt>
                <c:pt idx="5">
                  <c:v>98.003184359950964</c:v>
                </c:pt>
                <c:pt idx="6">
                  <c:v>89.050341217941735</c:v>
                </c:pt>
                <c:pt idx="7">
                  <c:v>80.915363340708311</c:v>
                </c:pt>
                <c:pt idx="8">
                  <c:v>75.120756753003675</c:v>
                </c:pt>
                <c:pt idx="9">
                  <c:v>70.695634936904511</c:v>
                </c:pt>
                <c:pt idx="10">
                  <c:v>67.158241892872852</c:v>
                </c:pt>
                <c:pt idx="11">
                  <c:v>64.237406721684437</c:v>
                </c:pt>
                <c:pt idx="12">
                  <c:v>61.766673135825364</c:v>
                </c:pt>
                <c:pt idx="13">
                  <c:v>59.637161665635027</c:v>
                </c:pt>
                <c:pt idx="14">
                  <c:v>56.124128563418836</c:v>
                </c:pt>
                <c:pt idx="15">
                  <c:v>53.315849068372685</c:v>
                </c:pt>
                <c:pt idx="16">
                  <c:v>50.997044961066187</c:v>
                </c:pt>
                <c:pt idx="17">
                  <c:v>49.035569269639552</c:v>
                </c:pt>
                <c:pt idx="18">
                  <c:v>47.344984332720799</c:v>
                </c:pt>
                <c:pt idx="19">
                  <c:v>45.52397615566845</c:v>
                </c:pt>
                <c:pt idx="20">
                  <c:v>43.954459384399463</c:v>
                </c:pt>
                <c:pt idx="21">
                  <c:v>42.581325731493379</c:v>
                </c:pt>
                <c:pt idx="22">
                  <c:v>41.365243759531943</c:v>
                </c:pt>
                <c:pt idx="23">
                  <c:v>39.295453656221646</c:v>
                </c:pt>
                <c:pt idx="24">
                  <c:v>37.586422271957879</c:v>
                </c:pt>
                <c:pt idx="25">
                  <c:v>36.140753142100898</c:v>
                </c:pt>
                <c:pt idx="26">
                  <c:v>34.894738998062699</c:v>
                </c:pt>
                <c:pt idx="27">
                  <c:v>32.839202319763231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74-47F5-B65B-3901460AFA86}"/>
            </c:ext>
          </c:extLst>
        </c:ser>
        <c:ser>
          <c:idx val="2"/>
          <c:order val="3"/>
          <c:tx>
            <c:v>BEP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FFC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EnergyLevel!$AS$52:$AS$126</c:f>
              <c:numCache>
                <c:formatCode>General</c:formatCode>
                <c:ptCount val="75"/>
                <c:pt idx="0">
                  <c:v>950.75520000000006</c:v>
                </c:pt>
              </c:numCache>
            </c:numRef>
          </c:xVal>
          <c:yVal>
            <c:numRef>
              <c:f>EnergyLevel!$AU$52:$AU$126</c:f>
              <c:numCache>
                <c:formatCode>General</c:formatCode>
                <c:ptCount val="75"/>
                <c:pt idx="0">
                  <c:v>25.4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74-47F5-B65B-3901460AFA86}"/>
            </c:ext>
          </c:extLst>
        </c:ser>
        <c:ser>
          <c:idx val="4"/>
          <c:order val="4"/>
          <c:tx>
            <c:strRef>
              <c:f>EnergyLevel!$BL$2</c:f>
              <c:strCache>
                <c:ptCount val="1"/>
                <c:pt idx="0">
                  <c:v>ARAMCO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EnergyLevel!$BN$5:$BN$7</c:f>
              <c:numCache>
                <c:formatCode>General</c:formatCode>
                <c:ptCount val="3"/>
                <c:pt idx="0">
                  <c:v>224</c:v>
                </c:pt>
                <c:pt idx="1">
                  <c:v>224</c:v>
                </c:pt>
                <c:pt idx="2">
                  <c:v>224</c:v>
                </c:pt>
              </c:numCache>
            </c:numRef>
          </c:xVal>
          <c:yVal>
            <c:numRef>
              <c:f>EnergyLevel!$BM$5:$BM$7</c:f>
              <c:numCache>
                <c:formatCode>General</c:formatCode>
                <c:ptCount val="3"/>
                <c:pt idx="0">
                  <c:v>1</c:v>
                </c:pt>
                <c:pt idx="1">
                  <c:v>200</c:v>
                </c:pt>
                <c:pt idx="2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74-47F5-B65B-3901460AF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834319"/>
        <c:axId val="2040838639"/>
      </c:scatterChart>
      <c:valAx>
        <c:axId val="2040834319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radeGothic" panose="02000606000000020004" pitchFamily="2" charset="0"/>
                    <a:ea typeface="+mn-ea"/>
                    <a:cs typeface="+mn-cs"/>
                  </a:defRPr>
                </a:pPr>
                <a:r>
                  <a:rPr lang="en-US"/>
                  <a:t>POWER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radeGothic" panose="02000606000000020004" pitchFamily="2" charset="0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radeGothic" panose="02000606000000020004" pitchFamily="2" charset="0"/>
                <a:ea typeface="+mn-ea"/>
                <a:cs typeface="+mn-cs"/>
              </a:defRPr>
            </a:pPr>
            <a:endParaRPr lang="it-IT"/>
          </a:p>
        </c:txPr>
        <c:crossAx val="2040838639"/>
        <c:crosses val="autoZero"/>
        <c:crossBetween val="midCat"/>
      </c:valAx>
      <c:valAx>
        <c:axId val="2040838639"/>
        <c:scaling>
          <c:logBase val="10"/>
          <c:orientation val="minMax"/>
          <c:max val="1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radeGothic" panose="02000606000000020004" pitchFamily="2" charset="0"/>
                    <a:ea typeface="+mn-ea"/>
                    <a:cs typeface="+mn-cs"/>
                  </a:defRPr>
                </a:pPr>
                <a:r>
                  <a:rPr lang="en-US"/>
                  <a:t>Hst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radeGothic" panose="02000606000000020004" pitchFamily="2" charset="0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radeGothic" panose="02000606000000020004" pitchFamily="2" charset="0"/>
                <a:ea typeface="+mn-ea"/>
                <a:cs typeface="+mn-cs"/>
              </a:defRPr>
            </a:pPr>
            <a:endParaRPr lang="it-IT"/>
          </a:p>
        </c:txPr>
        <c:crossAx val="2040834319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171366770312289"/>
          <c:y val="0.39063501515670918"/>
          <c:w val="0.20722353570033519"/>
          <c:h val="0.395578517112238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radeGothic" panose="02000606000000020004" pitchFamily="2" charset="0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radeGothic" panose="02000606000000020004" pitchFamily="2" charset="0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POWER-Hst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API610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EnergyLevel!$AV$19:$AV$46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50</c:v>
                </c:pt>
                <c:pt idx="3">
                  <c:v>100</c:v>
                </c:pt>
                <c:pt idx="4">
                  <c:v>200</c:v>
                </c:pt>
                <c:pt idx="5">
                  <c:v>225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600</c:v>
                </c:pt>
                <c:pt idx="10">
                  <c:v>700</c:v>
                </c:pt>
                <c:pt idx="11">
                  <c:v>800</c:v>
                </c:pt>
                <c:pt idx="12">
                  <c:v>900</c:v>
                </c:pt>
                <c:pt idx="13">
                  <c:v>1000</c:v>
                </c:pt>
                <c:pt idx="14">
                  <c:v>1200</c:v>
                </c:pt>
                <c:pt idx="15">
                  <c:v>1400</c:v>
                </c:pt>
                <c:pt idx="16">
                  <c:v>1600</c:v>
                </c:pt>
                <c:pt idx="17">
                  <c:v>1800</c:v>
                </c:pt>
                <c:pt idx="18">
                  <c:v>2000</c:v>
                </c:pt>
                <c:pt idx="19">
                  <c:v>2250</c:v>
                </c:pt>
                <c:pt idx="20">
                  <c:v>2500</c:v>
                </c:pt>
                <c:pt idx="21">
                  <c:v>2750</c:v>
                </c:pt>
                <c:pt idx="22">
                  <c:v>3000</c:v>
                </c:pt>
                <c:pt idx="23">
                  <c:v>3500</c:v>
                </c:pt>
                <c:pt idx="24">
                  <c:v>4000</c:v>
                </c:pt>
                <c:pt idx="25">
                  <c:v>4500</c:v>
                </c:pt>
                <c:pt idx="26">
                  <c:v>5000</c:v>
                </c:pt>
                <c:pt idx="27">
                  <c:v>6000</c:v>
                </c:pt>
              </c:numCache>
            </c:numRef>
          </c:xVal>
          <c:yVal>
            <c:numRef>
              <c:f>EnergyLevel!$AX$19:$AX$46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F2-481C-AA70-1EED80B5273E}"/>
            </c:ext>
          </c:extLst>
        </c:ser>
        <c:ser>
          <c:idx val="1"/>
          <c:order val="1"/>
          <c:tx>
            <c:v>int-G2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EnergyLevel!$AV$19:$AV$46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50</c:v>
                </c:pt>
                <c:pt idx="3">
                  <c:v>100</c:v>
                </c:pt>
                <c:pt idx="4">
                  <c:v>200</c:v>
                </c:pt>
                <c:pt idx="5">
                  <c:v>225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600</c:v>
                </c:pt>
                <c:pt idx="10">
                  <c:v>700</c:v>
                </c:pt>
                <c:pt idx="11">
                  <c:v>800</c:v>
                </c:pt>
                <c:pt idx="12">
                  <c:v>900</c:v>
                </c:pt>
                <c:pt idx="13">
                  <c:v>1000</c:v>
                </c:pt>
                <c:pt idx="14">
                  <c:v>1200</c:v>
                </c:pt>
                <c:pt idx="15">
                  <c:v>1400</c:v>
                </c:pt>
                <c:pt idx="16">
                  <c:v>1600</c:v>
                </c:pt>
                <c:pt idx="17">
                  <c:v>1800</c:v>
                </c:pt>
                <c:pt idx="18">
                  <c:v>2000</c:v>
                </c:pt>
                <c:pt idx="19">
                  <c:v>2250</c:v>
                </c:pt>
                <c:pt idx="20">
                  <c:v>2500</c:v>
                </c:pt>
                <c:pt idx="21">
                  <c:v>2750</c:v>
                </c:pt>
                <c:pt idx="22">
                  <c:v>3000</c:v>
                </c:pt>
                <c:pt idx="23">
                  <c:v>3500</c:v>
                </c:pt>
                <c:pt idx="24">
                  <c:v>4000</c:v>
                </c:pt>
                <c:pt idx="25">
                  <c:v>4500</c:v>
                </c:pt>
                <c:pt idx="26">
                  <c:v>5000</c:v>
                </c:pt>
                <c:pt idx="27">
                  <c:v>6000</c:v>
                </c:pt>
              </c:numCache>
            </c:numRef>
          </c:xVal>
          <c:yVal>
            <c:numRef>
              <c:f>EnergyLevel!$BA$19:$BA$46</c:f>
              <c:numCache>
                <c:formatCode>General</c:formatCode>
                <c:ptCount val="28"/>
                <c:pt idx="0">
                  <c:v>650.3213853118491</c:v>
                </c:pt>
                <c:pt idx="1">
                  <c:v>516.27969774028861</c:v>
                </c:pt>
                <c:pt idx="2">
                  <c:v>380.51433655656206</c:v>
                </c:pt>
                <c:pt idx="3">
                  <c:v>302.08421728137324</c:v>
                </c:pt>
                <c:pt idx="4">
                  <c:v>239.81980588774806</c:v>
                </c:pt>
                <c:pt idx="5">
                  <c:v>230.59572790576695</c:v>
                </c:pt>
                <c:pt idx="6">
                  <c:v>209.53021463045113</c:v>
                </c:pt>
                <c:pt idx="7">
                  <c:v>190.38909021343133</c:v>
                </c:pt>
                <c:pt idx="8">
                  <c:v>176.75472177177335</c:v>
                </c:pt>
                <c:pt idx="9">
                  <c:v>166.34267043977533</c:v>
                </c:pt>
                <c:pt idx="10">
                  <c:v>158.01939268911258</c:v>
                </c:pt>
                <c:pt idx="11">
                  <c:v>151.14683934513985</c:v>
                </c:pt>
                <c:pt idx="12">
                  <c:v>145.3333485548832</c:v>
                </c:pt>
                <c:pt idx="13">
                  <c:v>140.32273333090595</c:v>
                </c:pt>
                <c:pt idx="14">
                  <c:v>132.05677309039726</c:v>
                </c:pt>
                <c:pt idx="15">
                  <c:v>125.44905663146514</c:v>
                </c:pt>
                <c:pt idx="16">
                  <c:v>119.99304696721455</c:v>
                </c:pt>
                <c:pt idx="17">
                  <c:v>115.3778100462107</c:v>
                </c:pt>
                <c:pt idx="18">
                  <c:v>111.39996313581365</c:v>
                </c:pt>
                <c:pt idx="19">
                  <c:v>107.11523801333753</c:v>
                </c:pt>
                <c:pt idx="20">
                  <c:v>103.42225737505757</c:v>
                </c:pt>
                <c:pt idx="21">
                  <c:v>100.19135466233736</c:v>
                </c:pt>
                <c:pt idx="22">
                  <c:v>97.329985316545759</c:v>
                </c:pt>
                <c:pt idx="23">
                  <c:v>92.459890955815638</c:v>
                </c:pt>
                <c:pt idx="24">
                  <c:v>88.438640639900882</c:v>
                </c:pt>
                <c:pt idx="25">
                  <c:v>85.037066216707984</c:v>
                </c:pt>
                <c:pt idx="26">
                  <c:v>82.105268230735774</c:v>
                </c:pt>
                <c:pt idx="27">
                  <c:v>77.268711340619362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F2-481C-AA70-1EED80B5273E}"/>
            </c:ext>
          </c:extLst>
        </c:ser>
        <c:ser>
          <c:idx val="3"/>
          <c:order val="2"/>
          <c:tx>
            <c:v>int-G3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EnergyLevel!$AV$19:$AV$46</c:f>
              <c:numCache>
                <c:formatCode>General</c:formatCode>
                <c:ptCount val="28"/>
                <c:pt idx="0">
                  <c:v>10</c:v>
                </c:pt>
                <c:pt idx="1">
                  <c:v>20</c:v>
                </c:pt>
                <c:pt idx="2">
                  <c:v>50</c:v>
                </c:pt>
                <c:pt idx="3">
                  <c:v>100</c:v>
                </c:pt>
                <c:pt idx="4">
                  <c:v>200</c:v>
                </c:pt>
                <c:pt idx="5">
                  <c:v>225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600</c:v>
                </c:pt>
                <c:pt idx="10">
                  <c:v>700</c:v>
                </c:pt>
                <c:pt idx="11">
                  <c:v>800</c:v>
                </c:pt>
                <c:pt idx="12">
                  <c:v>900</c:v>
                </c:pt>
                <c:pt idx="13">
                  <c:v>1000</c:v>
                </c:pt>
                <c:pt idx="14">
                  <c:v>1200</c:v>
                </c:pt>
                <c:pt idx="15">
                  <c:v>1400</c:v>
                </c:pt>
                <c:pt idx="16">
                  <c:v>1600</c:v>
                </c:pt>
                <c:pt idx="17">
                  <c:v>1800</c:v>
                </c:pt>
                <c:pt idx="18">
                  <c:v>2000</c:v>
                </c:pt>
                <c:pt idx="19">
                  <c:v>2250</c:v>
                </c:pt>
                <c:pt idx="20">
                  <c:v>2500</c:v>
                </c:pt>
                <c:pt idx="21">
                  <c:v>2750</c:v>
                </c:pt>
                <c:pt idx="22">
                  <c:v>3000</c:v>
                </c:pt>
                <c:pt idx="23">
                  <c:v>3500</c:v>
                </c:pt>
                <c:pt idx="24">
                  <c:v>4000</c:v>
                </c:pt>
                <c:pt idx="25">
                  <c:v>4500</c:v>
                </c:pt>
                <c:pt idx="26">
                  <c:v>5000</c:v>
                </c:pt>
                <c:pt idx="27">
                  <c:v>6000</c:v>
                </c:pt>
              </c:numCache>
            </c:numRef>
          </c:xVal>
          <c:yVal>
            <c:numRef>
              <c:f>EnergyLevel!$BB$19:$BB$46</c:f>
              <c:numCache>
                <c:formatCode>General</c:formatCode>
                <c:ptCount val="28"/>
                <c:pt idx="0">
                  <c:v>276.38658875753589</c:v>
                </c:pt>
                <c:pt idx="1">
                  <c:v>219.41887153962267</c:v>
                </c:pt>
                <c:pt idx="2">
                  <c:v>161.71859303653889</c:v>
                </c:pt>
                <c:pt idx="3">
                  <c:v>128.38579234458362</c:v>
                </c:pt>
                <c:pt idx="4">
                  <c:v>101.92341750229293</c:v>
                </c:pt>
                <c:pt idx="5">
                  <c:v>98.003184359950964</c:v>
                </c:pt>
                <c:pt idx="6">
                  <c:v>89.050341217941735</c:v>
                </c:pt>
                <c:pt idx="7">
                  <c:v>80.915363340708311</c:v>
                </c:pt>
                <c:pt idx="8">
                  <c:v>75.120756753003675</c:v>
                </c:pt>
                <c:pt idx="9">
                  <c:v>70.695634936904511</c:v>
                </c:pt>
                <c:pt idx="10">
                  <c:v>67.158241892872852</c:v>
                </c:pt>
                <c:pt idx="11">
                  <c:v>64.237406721684437</c:v>
                </c:pt>
                <c:pt idx="12">
                  <c:v>61.766673135825364</c:v>
                </c:pt>
                <c:pt idx="13">
                  <c:v>59.637161665635027</c:v>
                </c:pt>
                <c:pt idx="14">
                  <c:v>56.124128563418836</c:v>
                </c:pt>
                <c:pt idx="15">
                  <c:v>53.315849068372685</c:v>
                </c:pt>
                <c:pt idx="16">
                  <c:v>50.997044961066187</c:v>
                </c:pt>
                <c:pt idx="17">
                  <c:v>49.035569269639552</c:v>
                </c:pt>
                <c:pt idx="18">
                  <c:v>47.344984332720799</c:v>
                </c:pt>
                <c:pt idx="19">
                  <c:v>45.52397615566845</c:v>
                </c:pt>
                <c:pt idx="20">
                  <c:v>43.954459384399463</c:v>
                </c:pt>
                <c:pt idx="21">
                  <c:v>42.581325731493379</c:v>
                </c:pt>
                <c:pt idx="22">
                  <c:v>41.365243759531943</c:v>
                </c:pt>
                <c:pt idx="23">
                  <c:v>39.295453656221646</c:v>
                </c:pt>
                <c:pt idx="24">
                  <c:v>37.586422271957879</c:v>
                </c:pt>
                <c:pt idx="25">
                  <c:v>36.140753142100898</c:v>
                </c:pt>
                <c:pt idx="26">
                  <c:v>34.894738998062699</c:v>
                </c:pt>
                <c:pt idx="27">
                  <c:v>32.839202319763231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F2-481C-AA70-1EED80B5273E}"/>
            </c:ext>
          </c:extLst>
        </c:ser>
        <c:ser>
          <c:idx val="2"/>
          <c:order val="3"/>
          <c:tx>
            <c:v>BEP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EnergyLevel!$AS$52:$AS$126</c:f>
              <c:numCache>
                <c:formatCode>General</c:formatCode>
                <c:ptCount val="75"/>
                <c:pt idx="0">
                  <c:v>950.75520000000006</c:v>
                </c:pt>
              </c:numCache>
            </c:numRef>
          </c:xVal>
          <c:yVal>
            <c:numRef>
              <c:f>EnergyLevel!$AU$52:$AU$126</c:f>
              <c:numCache>
                <c:formatCode>General</c:formatCode>
                <c:ptCount val="75"/>
                <c:pt idx="0">
                  <c:v>25.4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F2-481C-AA70-1EED80B5273E}"/>
            </c:ext>
          </c:extLst>
        </c:ser>
        <c:ser>
          <c:idx val="4"/>
          <c:order val="4"/>
          <c:tx>
            <c:strRef>
              <c:f>EnergyLevel!$BL$2</c:f>
              <c:strCache>
                <c:ptCount val="1"/>
                <c:pt idx="0">
                  <c:v>ARAMCO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EnergyLevel!$BN$5:$BN$7</c:f>
              <c:numCache>
                <c:formatCode>General</c:formatCode>
                <c:ptCount val="3"/>
                <c:pt idx="0">
                  <c:v>224</c:v>
                </c:pt>
                <c:pt idx="1">
                  <c:v>224</c:v>
                </c:pt>
                <c:pt idx="2">
                  <c:v>224</c:v>
                </c:pt>
              </c:numCache>
            </c:numRef>
          </c:xVal>
          <c:yVal>
            <c:numRef>
              <c:f>EnergyLevel!$BM$5:$BM$7</c:f>
              <c:numCache>
                <c:formatCode>General</c:formatCode>
                <c:ptCount val="3"/>
                <c:pt idx="0">
                  <c:v>1</c:v>
                </c:pt>
                <c:pt idx="1">
                  <c:v>200</c:v>
                </c:pt>
                <c:pt idx="2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4F2-481C-AA70-1EED80B52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834319"/>
        <c:axId val="2040838639"/>
      </c:scatterChart>
      <c:valAx>
        <c:axId val="2040834319"/>
        <c:scaling>
          <c:logBase val="10"/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0838639"/>
        <c:crosses val="autoZero"/>
        <c:crossBetween val="midCat"/>
      </c:valAx>
      <c:valAx>
        <c:axId val="2040838639"/>
        <c:scaling>
          <c:logBase val="10"/>
          <c:orientation val="minMax"/>
          <c:max val="1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Hst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083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Nq-Hst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G2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EnergyLevel!$AO$19:$AO$46</c:f>
              <c:numCache>
                <c:formatCode>General</c:formatCode>
                <c:ptCount val="2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26</c:v>
                </c:pt>
                <c:pt idx="5">
                  <c:v>32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70</c:v>
                </c:pt>
                <c:pt idx="13">
                  <c:v>80</c:v>
                </c:pt>
                <c:pt idx="14">
                  <c:v>90</c:v>
                </c:pt>
                <c:pt idx="15">
                  <c:v>100</c:v>
                </c:pt>
                <c:pt idx="16">
                  <c:v>110</c:v>
                </c:pt>
                <c:pt idx="17">
                  <c:v>120</c:v>
                </c:pt>
                <c:pt idx="18">
                  <c:v>130</c:v>
                </c:pt>
                <c:pt idx="19">
                  <c:v>140</c:v>
                </c:pt>
                <c:pt idx="20">
                  <c:v>150</c:v>
                </c:pt>
                <c:pt idx="21">
                  <c:v>160</c:v>
                </c:pt>
                <c:pt idx="22">
                  <c:v>170</c:v>
                </c:pt>
                <c:pt idx="23">
                  <c:v>180</c:v>
                </c:pt>
                <c:pt idx="24">
                  <c:v>200</c:v>
                </c:pt>
                <c:pt idx="25">
                  <c:v>220</c:v>
                </c:pt>
                <c:pt idx="26">
                  <c:v>240</c:v>
                </c:pt>
                <c:pt idx="27">
                  <c:v>260</c:v>
                </c:pt>
              </c:numCache>
            </c:numRef>
          </c:xVal>
          <c:yVal>
            <c:numRef>
              <c:f>EnergyLevel!$AQ$19:$AQ$46</c:f>
              <c:numCache>
                <c:formatCode>General</c:formatCode>
                <c:ptCount val="28"/>
                <c:pt idx="0">
                  <c:v>141.40000004000001</c:v>
                </c:pt>
                <c:pt idx="1">
                  <c:v>157.40000033000001</c:v>
                </c:pt>
                <c:pt idx="2">
                  <c:v>186.40000112000001</c:v>
                </c:pt>
                <c:pt idx="3">
                  <c:v>272.40000265999998</c:v>
                </c:pt>
                <c:pt idx="4">
                  <c:v>460</c:v>
                </c:pt>
                <c:pt idx="5">
                  <c:v>460</c:v>
                </c:pt>
                <c:pt idx="6">
                  <c:v>380.59272638899671</c:v>
                </c:pt>
                <c:pt idx="7">
                  <c:v>280.7394042894976</c:v>
                </c:pt>
                <c:pt idx="8">
                  <c:v>214.65081485970188</c:v>
                </c:pt>
                <c:pt idx="9">
                  <c:v>168.83262716277571</c:v>
                </c:pt>
                <c:pt idx="10">
                  <c:v>135.87110735824496</c:v>
                </c:pt>
                <c:pt idx="11">
                  <c:v>111.43233842607096</c:v>
                </c:pt>
                <c:pt idx="12">
                  <c:v>78.423651064183474</c:v>
                </c:pt>
                <c:pt idx="13">
                  <c:v>57.848212946307164</c:v>
                </c:pt>
                <c:pt idx="14">
                  <c:v>44.230221541318954</c:v>
                </c:pt>
                <c:pt idx="15">
                  <c:v>34.789080617715349</c:v>
                </c:pt>
                <c:pt idx="16">
                  <c:v>27.997141233530613</c:v>
                </c:pt>
                <c:pt idx="17">
                  <c:v>22.961371093204491</c:v>
                </c:pt>
                <c:pt idx="18">
                  <c:v>19.132816043110637</c:v>
                </c:pt>
                <c:pt idx="19">
                  <c:v>16.159712521543945</c:v>
                </c:pt>
                <c:pt idx="20">
                  <c:v>13.808637283163719</c:v>
                </c:pt>
                <c:pt idx="21">
                  <c:v>11.92000727347304</c:v>
                </c:pt>
                <c:pt idx="22">
                  <c:v>10.381875989337907</c:v>
                </c:pt>
                <c:pt idx="23">
                  <c:v>9.1139299837870293</c:v>
                </c:pt>
                <c:pt idx="24">
                  <c:v>7.1685203894804115</c:v>
                </c:pt>
                <c:pt idx="25">
                  <c:v>5.7689963119498726</c:v>
                </c:pt>
                <c:pt idx="26">
                  <c:v>4.7313425341928941</c:v>
                </c:pt>
                <c:pt idx="27">
                  <c:v>3.9424434183918766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DA-4BAB-9B6D-DCBF245F6160}"/>
            </c:ext>
          </c:extLst>
        </c:ser>
        <c:ser>
          <c:idx val="1"/>
          <c:order val="1"/>
          <c:tx>
            <c:v>G2-api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EnergyLevel!$AO$19:$AO$32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26</c:v>
                </c:pt>
                <c:pt idx="5">
                  <c:v>32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70</c:v>
                </c:pt>
                <c:pt idx="13">
                  <c:v>80</c:v>
                </c:pt>
              </c:numCache>
            </c:numRef>
          </c:xVal>
          <c:yVal>
            <c:numRef>
              <c:f>EnergyLevel!$AT$19:$AT$32</c:f>
              <c:numCache>
                <c:formatCode>General</c:formatCode>
                <c:ptCount val="14"/>
                <c:pt idx="0">
                  <c:v>6184.8189547197362</c:v>
                </c:pt>
                <c:pt idx="1">
                  <c:v>1546.2047386799341</c:v>
                </c:pt>
                <c:pt idx="2">
                  <c:v>687.20210607997092</c:v>
                </c:pt>
                <c:pt idx="3">
                  <c:v>386.55118466998351</c:v>
                </c:pt>
                <c:pt idx="4">
                  <c:v>228.72851163904349</c:v>
                </c:pt>
                <c:pt idx="5">
                  <c:v>150.9965565117123</c:v>
                </c:pt>
                <c:pt idx="6">
                  <c:v>126.22079499428034</c:v>
                </c:pt>
                <c:pt idx="7">
                  <c:v>96.637796167495878</c:v>
                </c:pt>
                <c:pt idx="8">
                  <c:v>76.355789564441167</c:v>
                </c:pt>
                <c:pt idx="9">
                  <c:v>61.848189547197379</c:v>
                </c:pt>
                <c:pt idx="10">
                  <c:v>51.114206237353194</c:v>
                </c:pt>
                <c:pt idx="11">
                  <c:v>42.950131629998182</c:v>
                </c:pt>
                <c:pt idx="12">
                  <c:v>31.555198748570085</c:v>
                </c:pt>
                <c:pt idx="13">
                  <c:v>24.15944904187397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DA-4BAB-9B6D-DCBF245F6160}"/>
            </c:ext>
          </c:extLst>
        </c:ser>
        <c:ser>
          <c:idx val="3"/>
          <c:order val="2"/>
          <c:tx>
            <c:v>G3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EnergyLevel!$AO$19:$AO$46</c:f>
              <c:numCache>
                <c:formatCode>General</c:formatCode>
                <c:ptCount val="2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26</c:v>
                </c:pt>
                <c:pt idx="5">
                  <c:v>32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70</c:v>
                </c:pt>
                <c:pt idx="13">
                  <c:v>80</c:v>
                </c:pt>
                <c:pt idx="14">
                  <c:v>90</c:v>
                </c:pt>
                <c:pt idx="15">
                  <c:v>100</c:v>
                </c:pt>
                <c:pt idx="16">
                  <c:v>110</c:v>
                </c:pt>
                <c:pt idx="17">
                  <c:v>120</c:v>
                </c:pt>
                <c:pt idx="18">
                  <c:v>130</c:v>
                </c:pt>
                <c:pt idx="19">
                  <c:v>140</c:v>
                </c:pt>
                <c:pt idx="20">
                  <c:v>150</c:v>
                </c:pt>
                <c:pt idx="21">
                  <c:v>160</c:v>
                </c:pt>
                <c:pt idx="22">
                  <c:v>170</c:v>
                </c:pt>
                <c:pt idx="23">
                  <c:v>180</c:v>
                </c:pt>
                <c:pt idx="24">
                  <c:v>200</c:v>
                </c:pt>
                <c:pt idx="25">
                  <c:v>220</c:v>
                </c:pt>
                <c:pt idx="26">
                  <c:v>240</c:v>
                </c:pt>
                <c:pt idx="27">
                  <c:v>260</c:v>
                </c:pt>
              </c:numCache>
            </c:numRef>
          </c:xVal>
          <c:yVal>
            <c:numRef>
              <c:f>EnergyLevel!$AR$19:$AR$46</c:f>
              <c:numCache>
                <c:formatCode>General</c:formatCode>
                <c:ptCount val="28"/>
                <c:pt idx="0">
                  <c:v>84.528571440000007</c:v>
                </c:pt>
                <c:pt idx="1">
                  <c:v>94.885714329999999</c:v>
                </c:pt>
                <c:pt idx="2">
                  <c:v>112.17142867</c:v>
                </c:pt>
                <c:pt idx="3">
                  <c:v>161.88571446</c:v>
                </c:pt>
                <c:pt idx="4">
                  <c:v>270</c:v>
                </c:pt>
                <c:pt idx="5">
                  <c:v>270</c:v>
                </c:pt>
                <c:pt idx="6">
                  <c:v>220.61629005139216</c:v>
                </c:pt>
                <c:pt idx="7">
                  <c:v>162.85808608611077</c:v>
                </c:pt>
                <c:pt idx="8">
                  <c:v>124.60302012063963</c:v>
                </c:pt>
                <c:pt idx="9">
                  <c:v>98.06451539921801</c:v>
                </c:pt>
                <c:pt idx="10">
                  <c:v>78.961856724783914</c:v>
                </c:pt>
                <c:pt idx="11">
                  <c:v>64.791162454011697</c:v>
                </c:pt>
                <c:pt idx="12">
                  <c:v>45.638485648034461</c:v>
                </c:pt>
                <c:pt idx="13">
                  <c:v>33.690152358087047</c:v>
                </c:pt>
                <c:pt idx="14">
                  <c:v>25.776397310247837</c:v>
                </c:pt>
                <c:pt idx="15">
                  <c:v>20.286425710386542</c:v>
                </c:pt>
                <c:pt idx="16">
                  <c:v>16.33469388881813</c:v>
                </c:pt>
                <c:pt idx="17">
                  <c:v>13.403228460999237</c:v>
                </c:pt>
                <c:pt idx="18">
                  <c:v>11.173458671232709</c:v>
                </c:pt>
                <c:pt idx="19">
                  <c:v>9.4411494806691127</c:v>
                </c:pt>
                <c:pt idx="20">
                  <c:v>8.0707144201480983</c:v>
                </c:pt>
                <c:pt idx="21">
                  <c:v>6.9694197763749752</c:v>
                </c:pt>
                <c:pt idx="22">
                  <c:v>6.0721885084118306</c:v>
                </c:pt>
                <c:pt idx="23">
                  <c:v>5.3323158431670592</c:v>
                </c:pt>
                <c:pt idx="24">
                  <c:v>4.1966155283352924</c:v>
                </c:pt>
                <c:pt idx="25">
                  <c:v>3.3791280437006734</c:v>
                </c:pt>
                <c:pt idx="26">
                  <c:v>2.7727011890742319</c:v>
                </c:pt>
                <c:pt idx="27">
                  <c:v>2.3114328188873565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DA-4BAB-9B6D-DCBF245F6160}"/>
            </c:ext>
          </c:extLst>
        </c:ser>
        <c:ser>
          <c:idx val="2"/>
          <c:order val="3"/>
          <c:tx>
            <c:v>G1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EnergyLevel!$AO$19:$AO$46</c:f>
              <c:numCache>
                <c:formatCode>General</c:formatCode>
                <c:ptCount val="2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26</c:v>
                </c:pt>
                <c:pt idx="5">
                  <c:v>32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70</c:v>
                </c:pt>
                <c:pt idx="13">
                  <c:v>80</c:v>
                </c:pt>
                <c:pt idx="14">
                  <c:v>90</c:v>
                </c:pt>
                <c:pt idx="15">
                  <c:v>100</c:v>
                </c:pt>
                <c:pt idx="16">
                  <c:v>110</c:v>
                </c:pt>
                <c:pt idx="17">
                  <c:v>120</c:v>
                </c:pt>
                <c:pt idx="18">
                  <c:v>130</c:v>
                </c:pt>
                <c:pt idx="19">
                  <c:v>140</c:v>
                </c:pt>
                <c:pt idx="20">
                  <c:v>150</c:v>
                </c:pt>
                <c:pt idx="21">
                  <c:v>160</c:v>
                </c:pt>
                <c:pt idx="22">
                  <c:v>170</c:v>
                </c:pt>
                <c:pt idx="23">
                  <c:v>180</c:v>
                </c:pt>
                <c:pt idx="24">
                  <c:v>200</c:v>
                </c:pt>
                <c:pt idx="25">
                  <c:v>220</c:v>
                </c:pt>
                <c:pt idx="26">
                  <c:v>240</c:v>
                </c:pt>
                <c:pt idx="27">
                  <c:v>260</c:v>
                </c:pt>
              </c:numCache>
            </c:numRef>
          </c:xVal>
          <c:yVal>
            <c:numRef>
              <c:f>EnergyLevel!$AP$19:$AP$46</c:f>
              <c:numCache>
                <c:formatCode>General</c:formatCode>
                <c:ptCount val="28"/>
                <c:pt idx="0">
                  <c:v>249.57142860000002</c:v>
                </c:pt>
                <c:pt idx="1">
                  <c:v>271.71428599999996</c:v>
                </c:pt>
                <c:pt idx="2">
                  <c:v>327.42857244999993</c:v>
                </c:pt>
                <c:pt idx="3">
                  <c:v>481.71428819999994</c:v>
                </c:pt>
                <c:pt idx="4">
                  <c:v>800</c:v>
                </c:pt>
                <c:pt idx="5">
                  <c:v>800</c:v>
                </c:pt>
                <c:pt idx="6">
                  <c:v>656.32382966644991</c:v>
                </c:pt>
                <c:pt idx="7">
                  <c:v>484.60402622206902</c:v>
                </c:pt>
                <c:pt idx="8">
                  <c:v>370.84455324982082</c:v>
                </c:pt>
                <c:pt idx="9">
                  <c:v>291.9119230694514</c:v>
                </c:pt>
                <c:pt idx="10">
                  <c:v>235.0859114617694</c:v>
                </c:pt>
                <c:pt idx="11">
                  <c:v>192.92490374115533</c:v>
                </c:pt>
                <c:pt idx="12">
                  <c:v>135.93016200416847</c:v>
                </c:pt>
                <c:pt idx="13">
                  <c:v>100.36555251348305</c:v>
                </c:pt>
                <c:pt idx="14">
                  <c:v>76.80501289619491</c:v>
                </c:pt>
                <c:pt idx="15">
                  <c:v>60.457404104837188</c:v>
                </c:pt>
                <c:pt idx="16">
                  <c:v>48.688261168478292</c:v>
                </c:pt>
                <c:pt idx="17">
                  <c:v>39.956363360296315</c:v>
                </c:pt>
                <c:pt idx="18">
                  <c:v>33.313661044493571</c:v>
                </c:pt>
                <c:pt idx="19">
                  <c:v>28.152275001000252</c:v>
                </c:pt>
                <c:pt idx="20">
                  <c:v>24.068596702126808</c:v>
                </c:pt>
                <c:pt idx="21">
                  <c:v>20.786546512761859</c:v>
                </c:pt>
                <c:pt idx="22">
                  <c:v>18.112360185952326</c:v>
                </c:pt>
                <c:pt idx="23">
                  <c:v>15.906961432465142</c:v>
                </c:pt>
                <c:pt idx="24">
                  <c:v>12.521234736362539</c:v>
                </c:pt>
                <c:pt idx="25">
                  <c:v>10.083746664654802</c:v>
                </c:pt>
                <c:pt idx="26">
                  <c:v>8.2752974966987463</c:v>
                </c:pt>
                <c:pt idx="27">
                  <c:v>6.8995382127620086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DA-4BAB-9B6D-DCBF245F6160}"/>
            </c:ext>
          </c:extLst>
        </c:ser>
        <c:ser>
          <c:idx val="4"/>
          <c:order val="4"/>
          <c:tx>
            <c:v>BEP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EnergyLevel!$AR$52</c:f>
              <c:numCache>
                <c:formatCode>General</c:formatCode>
                <c:ptCount val="1"/>
                <c:pt idx="0">
                  <c:v>102.79843699546826</c:v>
                </c:pt>
              </c:numCache>
            </c:numRef>
          </c:xVal>
          <c:yVal>
            <c:numRef>
              <c:f>EnergyLevel!$AT$52</c:f>
              <c:numCache>
                <c:formatCode>General</c:formatCode>
                <c:ptCount val="1"/>
                <c:pt idx="0">
                  <c:v>25.363549783780755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9DA-4BAB-9B6D-DCBF245F6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834319"/>
        <c:axId val="2040838639"/>
      </c:scatterChart>
      <c:valAx>
        <c:axId val="2040834319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0838639"/>
        <c:crosses val="autoZero"/>
        <c:crossBetween val="midCat"/>
      </c:valAx>
      <c:valAx>
        <c:axId val="2040838639"/>
        <c:scaling>
          <c:logBase val="10"/>
          <c:orientation val="minMax"/>
          <c:max val="1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Hst*SG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083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Nq-u2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G3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EnergyLevel!$BC$19:$BC$46</c:f>
              <c:numCache>
                <c:formatCode>General</c:formatCode>
                <c:ptCount val="2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26</c:v>
                </c:pt>
                <c:pt idx="5">
                  <c:v>32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70</c:v>
                </c:pt>
                <c:pt idx="13">
                  <c:v>80</c:v>
                </c:pt>
                <c:pt idx="14">
                  <c:v>90</c:v>
                </c:pt>
                <c:pt idx="15">
                  <c:v>100</c:v>
                </c:pt>
                <c:pt idx="16">
                  <c:v>110</c:v>
                </c:pt>
                <c:pt idx="17">
                  <c:v>120</c:v>
                </c:pt>
                <c:pt idx="18">
                  <c:v>130</c:v>
                </c:pt>
                <c:pt idx="19">
                  <c:v>140</c:v>
                </c:pt>
                <c:pt idx="20">
                  <c:v>150</c:v>
                </c:pt>
                <c:pt idx="21">
                  <c:v>160</c:v>
                </c:pt>
                <c:pt idx="22">
                  <c:v>170</c:v>
                </c:pt>
                <c:pt idx="23">
                  <c:v>180</c:v>
                </c:pt>
                <c:pt idx="24">
                  <c:v>200</c:v>
                </c:pt>
                <c:pt idx="25">
                  <c:v>220</c:v>
                </c:pt>
                <c:pt idx="26">
                  <c:v>240</c:v>
                </c:pt>
                <c:pt idx="27">
                  <c:v>260</c:v>
                </c:pt>
              </c:numCache>
            </c:numRef>
          </c:xVal>
          <c:yVal>
            <c:numRef>
              <c:f>EnergyLevel!$BF$19:$BF$46</c:f>
              <c:numCache>
                <c:formatCode>General</c:formatCode>
                <c:ptCount val="28"/>
                <c:pt idx="0">
                  <c:v>37.957144395000007</c:v>
                </c:pt>
                <c:pt idx="1">
                  <c:v>40.171431889999994</c:v>
                </c:pt>
                <c:pt idx="2">
                  <c:v>44.742862735000003</c:v>
                </c:pt>
                <c:pt idx="3">
                  <c:v>55.171437180000005</c:v>
                </c:pt>
                <c:pt idx="4">
                  <c:v>75</c:v>
                </c:pt>
                <c:pt idx="5">
                  <c:v>75</c:v>
                </c:pt>
                <c:pt idx="6">
                  <c:v>68.816706203932625</c:v>
                </c:pt>
                <c:pt idx="7">
                  <c:v>60.928640265243523</c:v>
                </c:pt>
                <c:pt idx="8">
                  <c:v>54.464080752627218</c:v>
                </c:pt>
                <c:pt idx="9">
                  <c:v>49.177957828468742</c:v>
                </c:pt>
                <c:pt idx="10">
                  <c:v>44.858426036936052</c:v>
                </c:pt>
                <c:pt idx="11">
                  <c:v>41.32386291670273</c:v>
                </c:pt>
                <c:pt idx="12">
                  <c:v>36.017196785785629</c:v>
                </c:pt>
                <c:pt idx="13">
                  <c:v>32.303822547537358</c:v>
                </c:pt>
                <c:pt idx="14">
                  <c:v>29.543577450428685</c:v>
                </c:pt>
                <c:pt idx="15">
                  <c:v>27.337794688000074</c:v>
                </c:pt>
                <c:pt idx="16">
                  <c:v>25.465394735024901</c:v>
                </c:pt>
                <c:pt idx="17">
                  <c:v>23.827546211422046</c:v>
                </c:pt>
                <c:pt idx="18">
                  <c:v>22.400896273910782</c:v>
                </c:pt>
                <c:pt idx="19">
                  <c:v>21.19937053541635</c:v>
                </c:pt>
                <c:pt idx="20">
                  <c:v>20.244542512218544</c:v>
                </c:pt>
                <c:pt idx="21">
                  <c:v>19.544572598850294</c:v>
                </c:pt>
                <c:pt idx="22">
                  <c:v>19.081716570736376</c:v>
                </c:pt>
                <c:pt idx="23">
                  <c:v>18.808403614586837</c:v>
                </c:pt>
                <c:pt idx="24">
                  <c:v>18.527445598000099</c:v>
                </c:pt>
                <c:pt idx="25">
                  <c:v>18.115445671252019</c:v>
                </c:pt>
                <c:pt idx="26">
                  <c:v>17.697600143347699</c:v>
                </c:pt>
                <c:pt idx="27">
                  <c:v>17.697600143347699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75-486E-A64D-5AE00DA75106}"/>
            </c:ext>
          </c:extLst>
        </c:ser>
        <c:ser>
          <c:idx val="3"/>
          <c:order val="1"/>
          <c:tx>
            <c:v>G2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EnergyLevel!$BC$19:$BC$46</c:f>
              <c:numCache>
                <c:formatCode>General</c:formatCode>
                <c:ptCount val="2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26</c:v>
                </c:pt>
                <c:pt idx="5">
                  <c:v>32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70</c:v>
                </c:pt>
                <c:pt idx="13">
                  <c:v>80</c:v>
                </c:pt>
                <c:pt idx="14">
                  <c:v>90</c:v>
                </c:pt>
                <c:pt idx="15">
                  <c:v>100</c:v>
                </c:pt>
                <c:pt idx="16">
                  <c:v>110</c:v>
                </c:pt>
                <c:pt idx="17">
                  <c:v>120</c:v>
                </c:pt>
                <c:pt idx="18">
                  <c:v>130</c:v>
                </c:pt>
                <c:pt idx="19">
                  <c:v>140</c:v>
                </c:pt>
                <c:pt idx="20">
                  <c:v>150</c:v>
                </c:pt>
                <c:pt idx="21">
                  <c:v>160</c:v>
                </c:pt>
                <c:pt idx="22">
                  <c:v>170</c:v>
                </c:pt>
                <c:pt idx="23">
                  <c:v>180</c:v>
                </c:pt>
                <c:pt idx="24">
                  <c:v>200</c:v>
                </c:pt>
                <c:pt idx="25">
                  <c:v>220</c:v>
                </c:pt>
                <c:pt idx="26">
                  <c:v>240</c:v>
                </c:pt>
                <c:pt idx="27">
                  <c:v>260</c:v>
                </c:pt>
              </c:numCache>
            </c:numRef>
          </c:xVal>
          <c:yVal>
            <c:numRef>
              <c:f>EnergyLevel!$BE$19:$BE$46</c:f>
              <c:numCache>
                <c:formatCode>General</c:formatCode>
                <c:ptCount val="28"/>
                <c:pt idx="0">
                  <c:v>49.885714335000003</c:v>
                </c:pt>
                <c:pt idx="1">
                  <c:v>53.457143220000006</c:v>
                </c:pt>
                <c:pt idx="2">
                  <c:v>59.314286905000003</c:v>
                </c:pt>
                <c:pt idx="3">
                  <c:v>72.457145640000007</c:v>
                </c:pt>
                <c:pt idx="4">
                  <c:v>98</c:v>
                </c:pt>
                <c:pt idx="5">
                  <c:v>98</c:v>
                </c:pt>
                <c:pt idx="6">
                  <c:v>90.210079075783327</c:v>
                </c:pt>
                <c:pt idx="7">
                  <c:v>79.910831686401266</c:v>
                </c:pt>
                <c:pt idx="8">
                  <c:v>71.434672216579017</c:v>
                </c:pt>
                <c:pt idx="9">
                  <c:v>64.473635885968719</c:v>
                </c:pt>
                <c:pt idx="10">
                  <c:v>58.761106646864285</c:v>
                </c:pt>
                <c:pt idx="11">
                  <c:v>54.06808431420604</c:v>
                </c:pt>
                <c:pt idx="12">
                  <c:v>46.99141201259097</c:v>
                </c:pt>
                <c:pt idx="13">
                  <c:v>42.032618315825879</c:v>
                </c:pt>
                <c:pt idx="14">
                  <c:v>38.371739673449632</c:v>
                </c:pt>
                <c:pt idx="15">
                  <c:v>35.489822277999863</c:v>
                </c:pt>
                <c:pt idx="16">
                  <c:v>33.089594499725045</c:v>
                </c:pt>
                <c:pt idx="17">
                  <c:v>31.026839127844845</c:v>
                </c:pt>
                <c:pt idx="18">
                  <c:v>29.252465418361751</c:v>
                </c:pt>
                <c:pt idx="19">
                  <c:v>27.765280948420326</c:v>
                </c:pt>
                <c:pt idx="20">
                  <c:v>26.575463277218972</c:v>
                </c:pt>
                <c:pt idx="21">
                  <c:v>25.678731413466465</c:v>
                </c:pt>
                <c:pt idx="22">
                  <c:v>25.041217089396127</c:v>
                </c:pt>
                <c:pt idx="23">
                  <c:v>24.595035841320623</c:v>
                </c:pt>
                <c:pt idx="24">
                  <c:v>23.883378868000136</c:v>
                </c:pt>
                <c:pt idx="25">
                  <c:v>22.82614973947102</c:v>
                </c:pt>
                <c:pt idx="26">
                  <c:v>21.675595223079199</c:v>
                </c:pt>
                <c:pt idx="27">
                  <c:v>21.675595223079199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75-486E-A64D-5AE00DA75106}"/>
            </c:ext>
          </c:extLst>
        </c:ser>
        <c:ser>
          <c:idx val="2"/>
          <c:order val="2"/>
          <c:tx>
            <c:v>G1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EnergyLevel!$BC$19:$BC$46</c:f>
              <c:numCache>
                <c:formatCode>General</c:formatCode>
                <c:ptCount val="2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26</c:v>
                </c:pt>
                <c:pt idx="5">
                  <c:v>32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70</c:v>
                </c:pt>
                <c:pt idx="13">
                  <c:v>80</c:v>
                </c:pt>
                <c:pt idx="14">
                  <c:v>90</c:v>
                </c:pt>
                <c:pt idx="15">
                  <c:v>100</c:v>
                </c:pt>
                <c:pt idx="16">
                  <c:v>110</c:v>
                </c:pt>
                <c:pt idx="17">
                  <c:v>120</c:v>
                </c:pt>
                <c:pt idx="18">
                  <c:v>130</c:v>
                </c:pt>
                <c:pt idx="19">
                  <c:v>140</c:v>
                </c:pt>
                <c:pt idx="20">
                  <c:v>150</c:v>
                </c:pt>
                <c:pt idx="21">
                  <c:v>160</c:v>
                </c:pt>
                <c:pt idx="22">
                  <c:v>170</c:v>
                </c:pt>
                <c:pt idx="23">
                  <c:v>180</c:v>
                </c:pt>
                <c:pt idx="24">
                  <c:v>200</c:v>
                </c:pt>
                <c:pt idx="25">
                  <c:v>220</c:v>
                </c:pt>
                <c:pt idx="26">
                  <c:v>240</c:v>
                </c:pt>
                <c:pt idx="27">
                  <c:v>260</c:v>
                </c:pt>
              </c:numCache>
            </c:numRef>
          </c:xVal>
          <c:yVal>
            <c:numRef>
              <c:f>EnergyLevel!$BD$19:$BD$46</c:f>
              <c:numCache>
                <c:formatCode>General</c:formatCode>
                <c:ptCount val="28"/>
                <c:pt idx="0">
                  <c:v>64.900000000000006</c:v>
                </c:pt>
                <c:pt idx="1">
                  <c:v>69.400000000000006</c:v>
                </c:pt>
                <c:pt idx="2">
                  <c:v>78.400000000000006</c:v>
                </c:pt>
                <c:pt idx="3">
                  <c:v>96.4</c:v>
                </c:pt>
                <c:pt idx="4">
                  <c:v>128</c:v>
                </c:pt>
                <c:pt idx="5">
                  <c:v>128</c:v>
                </c:pt>
                <c:pt idx="6">
                  <c:v>117.6239735537536</c:v>
                </c:pt>
                <c:pt idx="7">
                  <c:v>104.13435673190335</c:v>
                </c:pt>
                <c:pt idx="8">
                  <c:v>93.056936596373745</c:v>
                </c:pt>
                <c:pt idx="9">
                  <c:v>83.983839945156149</c:v>
                </c:pt>
                <c:pt idx="10">
                  <c:v>76.561505330695979</c:v>
                </c:pt>
                <c:pt idx="11">
                  <c:v>70.4858461076889</c:v>
                </c:pt>
                <c:pt idx="12">
                  <c:v>61.378053859100071</c:v>
                </c:pt>
                <c:pt idx="13">
                  <c:v>55.046910654471056</c:v>
                </c:pt>
                <c:pt idx="14">
                  <c:v>50.396759193804655</c:v>
                </c:pt>
                <c:pt idx="15">
                  <c:v>46.732626079999619</c:v>
                </c:pt>
                <c:pt idx="16">
                  <c:v>43.656672705359846</c:v>
                </c:pt>
                <c:pt idx="17">
                  <c:v>40.978308366636945</c:v>
                </c:pt>
                <c:pt idx="18">
                  <c:v>38.637965608613356</c:v>
                </c:pt>
                <c:pt idx="19">
                  <c:v>36.644537796213399</c:v>
                </c:pt>
                <c:pt idx="20">
                  <c:v>35.026478915155877</c:v>
                </c:pt>
                <c:pt idx="21">
                  <c:v>33.796565601137843</c:v>
                </c:pt>
                <c:pt idx="22">
                  <c:v>32.930321397555417</c:v>
                </c:pt>
                <c:pt idx="23">
                  <c:v>32.358103241763615</c:v>
                </c:pt>
                <c:pt idx="24">
                  <c:v>31.639494309998327</c:v>
                </c:pt>
                <c:pt idx="25">
                  <c:v>30.740269059182083</c:v>
                </c:pt>
                <c:pt idx="26">
                  <c:v>29.826081560198418</c:v>
                </c:pt>
                <c:pt idx="27">
                  <c:v>29.826081560198418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75-486E-A64D-5AE00DA75106}"/>
            </c:ext>
          </c:extLst>
        </c:ser>
        <c:ser>
          <c:idx val="1"/>
          <c:order val="3"/>
          <c:tx>
            <c:v>BEP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EnergyLevel!$AR$52:$AR$126</c:f>
              <c:numCache>
                <c:formatCode>General</c:formatCode>
                <c:ptCount val="75"/>
                <c:pt idx="0">
                  <c:v>102.79843699546826</c:v>
                </c:pt>
              </c:numCache>
            </c:numRef>
          </c:xVal>
          <c:yVal>
            <c:numRef>
              <c:f>EnergyLevel!$AV$52:$AV$126</c:f>
              <c:numCache>
                <c:formatCode>General</c:formatCode>
                <c:ptCount val="75"/>
                <c:pt idx="0">
                  <c:v>27.78948141610411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75-486E-A64D-5AE00DA75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834319"/>
        <c:axId val="2040838639"/>
      </c:scatterChart>
      <c:valAx>
        <c:axId val="2040834319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0838639"/>
        <c:crosses val="autoZero"/>
        <c:crossBetween val="midCat"/>
      </c:valAx>
      <c:valAx>
        <c:axId val="204083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083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879812431381937"/>
          <c:y val="0.18896892840176763"/>
          <c:w val="0.57797141821805498"/>
          <c:h val="5.05260328810334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Nq-power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EnergyLevel!$BG$19:$BG$46</c:f>
              <c:numCache>
                <c:formatCode>General</c:formatCode>
                <c:ptCount val="2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26</c:v>
                </c:pt>
                <c:pt idx="5">
                  <c:v>32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70</c:v>
                </c:pt>
                <c:pt idx="13">
                  <c:v>80</c:v>
                </c:pt>
                <c:pt idx="14">
                  <c:v>90</c:v>
                </c:pt>
                <c:pt idx="15">
                  <c:v>100</c:v>
                </c:pt>
                <c:pt idx="16">
                  <c:v>110</c:v>
                </c:pt>
                <c:pt idx="17">
                  <c:v>120</c:v>
                </c:pt>
                <c:pt idx="18">
                  <c:v>130</c:v>
                </c:pt>
                <c:pt idx="19">
                  <c:v>140</c:v>
                </c:pt>
                <c:pt idx="20">
                  <c:v>150</c:v>
                </c:pt>
                <c:pt idx="21">
                  <c:v>160</c:v>
                </c:pt>
                <c:pt idx="22">
                  <c:v>170</c:v>
                </c:pt>
                <c:pt idx="23">
                  <c:v>180</c:v>
                </c:pt>
                <c:pt idx="24">
                  <c:v>200</c:v>
                </c:pt>
                <c:pt idx="25">
                  <c:v>220</c:v>
                </c:pt>
                <c:pt idx="26">
                  <c:v>240</c:v>
                </c:pt>
                <c:pt idx="27">
                  <c:v>260</c:v>
                </c:pt>
              </c:numCache>
            </c:numRef>
          </c:xVal>
          <c:yVal>
            <c:numRef>
              <c:f>EnergyLevel!$BJ$19:$BJ$46</c:f>
              <c:numCache>
                <c:formatCode>General</c:formatCode>
                <c:ptCount val="28"/>
                <c:pt idx="0">
                  <c:v>71.987000000000009</c:v>
                </c:pt>
                <c:pt idx="1">
                  <c:v>76.304000000000002</c:v>
                </c:pt>
                <c:pt idx="2">
                  <c:v>87.245999999999995</c:v>
                </c:pt>
                <c:pt idx="3">
                  <c:v>105.86300000000001</c:v>
                </c:pt>
                <c:pt idx="4">
                  <c:v>139.81280000000001</c:v>
                </c:pt>
                <c:pt idx="5">
                  <c:v>188.14100000000002</c:v>
                </c:pt>
                <c:pt idx="6">
                  <c:v>218.26400000000001</c:v>
                </c:pt>
                <c:pt idx="7">
                  <c:v>278.08100000000002</c:v>
                </c:pt>
                <c:pt idx="8">
                  <c:v>350.82299999999998</c:v>
                </c:pt>
                <c:pt idx="9">
                  <c:v>437.54</c:v>
                </c:pt>
                <c:pt idx="10">
                  <c:v>539.28199999999993</c:v>
                </c:pt>
                <c:pt idx="11">
                  <c:v>657.09899999999993</c:v>
                </c:pt>
                <c:pt idx="12">
                  <c:v>945.1579999999999</c:v>
                </c:pt>
                <c:pt idx="13">
                  <c:v>1310.1169999999997</c:v>
                </c:pt>
                <c:pt idx="14">
                  <c:v>1760.376</c:v>
                </c:pt>
                <c:pt idx="15">
                  <c:v>2304.335</c:v>
                </c:pt>
                <c:pt idx="16">
                  <c:v>2950.3940000000002</c:v>
                </c:pt>
                <c:pt idx="17">
                  <c:v>3706.953</c:v>
                </c:pt>
                <c:pt idx="18">
                  <c:v>4582.4120000000003</c:v>
                </c:pt>
                <c:pt idx="19">
                  <c:v>5585.1710000000003</c:v>
                </c:pt>
                <c:pt idx="20">
                  <c:v>6723.63</c:v>
                </c:pt>
                <c:pt idx="21">
                  <c:v>8006.1889999999994</c:v>
                </c:pt>
                <c:pt idx="22">
                  <c:v>9441.2479999999996</c:v>
                </c:pt>
                <c:pt idx="23">
                  <c:v>11037.207</c:v>
                </c:pt>
                <c:pt idx="24">
                  <c:v>14745.424999999999</c:v>
                </c:pt>
                <c:pt idx="25">
                  <c:v>19198.043000000001</c:v>
                </c:pt>
                <c:pt idx="26">
                  <c:v>24462.260999999999</c:v>
                </c:pt>
                <c:pt idx="27">
                  <c:v>30605.279000000002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6B-43E7-B847-FA2D834A52BE}"/>
            </c:ext>
          </c:extLst>
        </c:ser>
        <c:ser>
          <c:idx val="3"/>
          <c:order val="1"/>
          <c:tx>
            <c:v>G2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EnergyLevel!$BG$19:$BG$46</c:f>
              <c:numCache>
                <c:formatCode>General</c:formatCode>
                <c:ptCount val="2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26</c:v>
                </c:pt>
                <c:pt idx="5">
                  <c:v>32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70</c:v>
                </c:pt>
                <c:pt idx="13">
                  <c:v>80</c:v>
                </c:pt>
                <c:pt idx="14">
                  <c:v>90</c:v>
                </c:pt>
                <c:pt idx="15">
                  <c:v>100</c:v>
                </c:pt>
                <c:pt idx="16">
                  <c:v>110</c:v>
                </c:pt>
                <c:pt idx="17">
                  <c:v>120</c:v>
                </c:pt>
                <c:pt idx="18">
                  <c:v>130</c:v>
                </c:pt>
                <c:pt idx="19">
                  <c:v>140</c:v>
                </c:pt>
                <c:pt idx="20">
                  <c:v>150</c:v>
                </c:pt>
                <c:pt idx="21">
                  <c:v>160</c:v>
                </c:pt>
                <c:pt idx="22">
                  <c:v>170</c:v>
                </c:pt>
                <c:pt idx="23">
                  <c:v>180</c:v>
                </c:pt>
                <c:pt idx="24">
                  <c:v>200</c:v>
                </c:pt>
                <c:pt idx="25">
                  <c:v>220</c:v>
                </c:pt>
                <c:pt idx="26">
                  <c:v>240</c:v>
                </c:pt>
                <c:pt idx="27">
                  <c:v>260</c:v>
                </c:pt>
              </c:numCache>
            </c:numRef>
          </c:xVal>
          <c:yVal>
            <c:numRef>
              <c:f>EnergyLevel!$BI$19:$BI$46</c:f>
              <c:numCache>
                <c:formatCode>General</c:formatCode>
                <c:ptCount val="28"/>
                <c:pt idx="0">
                  <c:v>49.424000000000007</c:v>
                </c:pt>
                <c:pt idx="1">
                  <c:v>116.67399999999999</c:v>
                </c:pt>
                <c:pt idx="2">
                  <c:v>177.41899999999998</c:v>
                </c:pt>
                <c:pt idx="3">
                  <c:v>236.38400000000004</c:v>
                </c:pt>
                <c:pt idx="4">
                  <c:v>311.44520000000006</c:v>
                </c:pt>
                <c:pt idx="5">
                  <c:v>398.91199999999998</c:v>
                </c:pt>
                <c:pt idx="6">
                  <c:v>449.84900000000005</c:v>
                </c:pt>
                <c:pt idx="7">
                  <c:v>548.94399999999996</c:v>
                </c:pt>
                <c:pt idx="8">
                  <c:v>669.8839999999999</c:v>
                </c:pt>
                <c:pt idx="9">
                  <c:v>817.39400000000001</c:v>
                </c:pt>
                <c:pt idx="10">
                  <c:v>996.19899999999984</c:v>
                </c:pt>
                <c:pt idx="11">
                  <c:v>1211.0239999999999</c:v>
                </c:pt>
                <c:pt idx="12">
                  <c:v>1767.6340000000002</c:v>
                </c:pt>
                <c:pt idx="13">
                  <c:v>2525.0239999999999</c:v>
                </c:pt>
                <c:pt idx="14">
                  <c:v>3520.9939999999997</c:v>
                </c:pt>
                <c:pt idx="15">
                  <c:v>4793.3440000000001</c:v>
                </c:pt>
                <c:pt idx="16">
                  <c:v>6379.8739999999989</c:v>
                </c:pt>
                <c:pt idx="17">
                  <c:v>8318.384</c:v>
                </c:pt>
                <c:pt idx="18">
                  <c:v>10646.674000000001</c:v>
                </c:pt>
                <c:pt idx="19">
                  <c:v>13402.544000000002</c:v>
                </c:pt>
                <c:pt idx="20">
                  <c:v>16623.794000000002</c:v>
                </c:pt>
                <c:pt idx="21">
                  <c:v>20348.223999999998</c:v>
                </c:pt>
                <c:pt idx="22">
                  <c:v>24613.634000000002</c:v>
                </c:pt>
                <c:pt idx="23">
                  <c:v>29457.824000000001</c:v>
                </c:pt>
                <c:pt idx="24">
                  <c:v>41033.743999999999</c:v>
                </c:pt>
                <c:pt idx="25">
                  <c:v>55378.383999999991</c:v>
                </c:pt>
                <c:pt idx="26">
                  <c:v>72794.144</c:v>
                </c:pt>
                <c:pt idx="27">
                  <c:v>93583.423999999999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6B-43E7-B847-FA2D834A52BE}"/>
            </c:ext>
          </c:extLst>
        </c:ser>
        <c:ser>
          <c:idx val="2"/>
          <c:order val="2"/>
          <c:tx>
            <c:v>G3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EnergyLevel!$BG$19:$BG$46</c:f>
              <c:numCache>
                <c:formatCode>General</c:formatCode>
                <c:ptCount val="2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26</c:v>
                </c:pt>
                <c:pt idx="5">
                  <c:v>32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70</c:v>
                </c:pt>
                <c:pt idx="13">
                  <c:v>80</c:v>
                </c:pt>
                <c:pt idx="14">
                  <c:v>90</c:v>
                </c:pt>
                <c:pt idx="15">
                  <c:v>100</c:v>
                </c:pt>
                <c:pt idx="16">
                  <c:v>110</c:v>
                </c:pt>
                <c:pt idx="17">
                  <c:v>120</c:v>
                </c:pt>
                <c:pt idx="18">
                  <c:v>130</c:v>
                </c:pt>
                <c:pt idx="19">
                  <c:v>140</c:v>
                </c:pt>
                <c:pt idx="20">
                  <c:v>150</c:v>
                </c:pt>
                <c:pt idx="21">
                  <c:v>160</c:v>
                </c:pt>
                <c:pt idx="22">
                  <c:v>170</c:v>
                </c:pt>
                <c:pt idx="23">
                  <c:v>180</c:v>
                </c:pt>
                <c:pt idx="24">
                  <c:v>200</c:v>
                </c:pt>
                <c:pt idx="25">
                  <c:v>220</c:v>
                </c:pt>
                <c:pt idx="26">
                  <c:v>240</c:v>
                </c:pt>
                <c:pt idx="27">
                  <c:v>260</c:v>
                </c:pt>
              </c:numCache>
            </c:numRef>
          </c:xVal>
          <c:yVal>
            <c:numRef>
              <c:f>EnergyLevel!$BH$19:$BH$46</c:f>
              <c:numCache>
                <c:formatCode>General</c:formatCode>
                <c:ptCount val="28"/>
                <c:pt idx="0">
                  <c:v>-89.03000000000003</c:v>
                </c:pt>
                <c:pt idx="1">
                  <c:v>156.27999999999994</c:v>
                </c:pt>
                <c:pt idx="2">
                  <c:v>366.20999999999992</c:v>
                </c:pt>
                <c:pt idx="3">
                  <c:v>544.95999999999981</c:v>
                </c:pt>
                <c:pt idx="4">
                  <c:v>724.21599999999989</c:v>
                </c:pt>
                <c:pt idx="5">
                  <c:v>871.87839999999994</c:v>
                </c:pt>
                <c:pt idx="6">
                  <c:v>936.12999999999977</c:v>
                </c:pt>
                <c:pt idx="7">
                  <c:v>1032.1599999999999</c:v>
                </c:pt>
                <c:pt idx="8">
                  <c:v>1118.01</c:v>
                </c:pt>
                <c:pt idx="9">
                  <c:v>1197.8800000000001</c:v>
                </c:pt>
                <c:pt idx="10">
                  <c:v>1275.97</c:v>
                </c:pt>
                <c:pt idx="11">
                  <c:v>1356.4799999999996</c:v>
                </c:pt>
                <c:pt idx="12">
                  <c:v>1541.5599999999993</c:v>
                </c:pt>
                <c:pt idx="13">
                  <c:v>1786.7199999999993</c:v>
                </c:pt>
                <c:pt idx="14">
                  <c:v>2125.56</c:v>
                </c:pt>
                <c:pt idx="15">
                  <c:v>2591.6800000000003</c:v>
                </c:pt>
                <c:pt idx="16">
                  <c:v>3218.6800000000003</c:v>
                </c:pt>
                <c:pt idx="17">
                  <c:v>4040.159999999998</c:v>
                </c:pt>
                <c:pt idx="18">
                  <c:v>5089.7199999999993</c:v>
                </c:pt>
                <c:pt idx="19">
                  <c:v>6400.9599999999973</c:v>
                </c:pt>
                <c:pt idx="20">
                  <c:v>8007.48</c:v>
                </c:pt>
                <c:pt idx="21">
                  <c:v>9942.8799999999974</c:v>
                </c:pt>
                <c:pt idx="22">
                  <c:v>12240.759999999998</c:v>
                </c:pt>
                <c:pt idx="23">
                  <c:v>14934.719999999998</c:v>
                </c:pt>
                <c:pt idx="24">
                  <c:v>21645.279999999999</c:v>
                </c:pt>
                <c:pt idx="25">
                  <c:v>30343.360000000001</c:v>
                </c:pt>
                <c:pt idx="26">
                  <c:v>41297.759999999987</c:v>
                </c:pt>
                <c:pt idx="27">
                  <c:v>54777.279999999999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6B-43E7-B847-FA2D834A52BE}"/>
            </c:ext>
          </c:extLst>
        </c:ser>
        <c:ser>
          <c:idx val="1"/>
          <c:order val="3"/>
          <c:tx>
            <c:v>BEP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EnergyLevel!$AR$52:$AR$126</c:f>
              <c:numCache>
                <c:formatCode>General</c:formatCode>
                <c:ptCount val="75"/>
                <c:pt idx="0">
                  <c:v>102.79843699546826</c:v>
                </c:pt>
              </c:numCache>
            </c:numRef>
          </c:xVal>
          <c:yVal>
            <c:numRef>
              <c:f>EnergyLevel!$AS$52:$AS$126</c:f>
              <c:numCache>
                <c:formatCode>General</c:formatCode>
                <c:ptCount val="75"/>
                <c:pt idx="0">
                  <c:v>950.75520000000006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6B-43E7-B847-FA2D834A52BE}"/>
            </c:ext>
          </c:extLst>
        </c:ser>
        <c:ser>
          <c:idx val="4"/>
          <c:order val="4"/>
          <c:tx>
            <c:strRef>
              <c:f>EnergyLevel!$BL$2</c:f>
              <c:strCache>
                <c:ptCount val="1"/>
                <c:pt idx="0">
                  <c:v>ARAMCO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EnergyLevel!$BL$5:$BL$6</c:f>
              <c:numCache>
                <c:formatCode>General</c:formatCode>
                <c:ptCount val="2"/>
                <c:pt idx="0">
                  <c:v>1</c:v>
                </c:pt>
                <c:pt idx="1">
                  <c:v>200</c:v>
                </c:pt>
              </c:numCache>
            </c:numRef>
          </c:xVal>
          <c:yVal>
            <c:numRef>
              <c:f>EnergyLevel!$BN$5:$BN$6</c:f>
              <c:numCache>
                <c:formatCode>General</c:formatCode>
                <c:ptCount val="2"/>
                <c:pt idx="0">
                  <c:v>224</c:v>
                </c:pt>
                <c:pt idx="1">
                  <c:v>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6B-43E7-B847-FA2D834A5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834319"/>
        <c:axId val="2040838639"/>
      </c:scatterChart>
      <c:valAx>
        <c:axId val="2040834319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0838639"/>
        <c:crosses val="autoZero"/>
        <c:crossBetween val="midCat"/>
      </c:valAx>
      <c:valAx>
        <c:axId val="2040838639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083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078469473083822"/>
          <c:y val="0.11634217457608247"/>
          <c:w val="0.81680892098432445"/>
          <c:h val="0.7761955817466068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0.1409330877839165"/>
                  <c:y val="-3.2115690527011215E-2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'API610-12ed-preview'!$A$4:$A$12</c:f>
              <c:numCache>
                <c:formatCode>General</c:formatCode>
                <c:ptCount val="9"/>
                <c:pt idx="0">
                  <c:v>325</c:v>
                </c:pt>
                <c:pt idx="1">
                  <c:v>390</c:v>
                </c:pt>
                <c:pt idx="2">
                  <c:v>545</c:v>
                </c:pt>
                <c:pt idx="3">
                  <c:v>1000</c:v>
                </c:pt>
                <c:pt idx="4">
                  <c:v>1500</c:v>
                </c:pt>
                <c:pt idx="5">
                  <c:v>2000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</c:numCache>
            </c:numRef>
          </c:xVal>
          <c:yVal>
            <c:numRef>
              <c:f>'API610-12ed-preview'!$C$4:$C$12</c:f>
              <c:numCache>
                <c:formatCode>General</c:formatCode>
                <c:ptCount val="9"/>
                <c:pt idx="0">
                  <c:v>5929.8196865212758</c:v>
                </c:pt>
                <c:pt idx="1">
                  <c:v>4063.5198651635028</c:v>
                </c:pt>
                <c:pt idx="2">
                  <c:v>2030.6544050656614</c:v>
                </c:pt>
                <c:pt idx="3">
                  <c:v>577.02951409684511</c:v>
                </c:pt>
                <c:pt idx="4">
                  <c:v>248.98254605706782</c:v>
                </c:pt>
                <c:pt idx="5">
                  <c:v>137.14393896605085</c:v>
                </c:pt>
                <c:pt idx="6">
                  <c:v>59.176257480534318</c:v>
                </c:pt>
                <c:pt idx="7">
                  <c:v>42.990239380797213</c:v>
                </c:pt>
                <c:pt idx="8">
                  <c:v>32.595317112266841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C4-41D8-B5D8-D04DBF48E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741423"/>
        <c:axId val="704729903"/>
      </c:scatterChart>
      <c:valAx>
        <c:axId val="704741423"/>
        <c:scaling>
          <c:orientation val="minMax"/>
          <c:max val="4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04729903"/>
        <c:crosses val="autoZero"/>
        <c:crossBetween val="midCat"/>
      </c:valAx>
      <c:valAx>
        <c:axId val="704729903"/>
        <c:scaling>
          <c:orientation val="minMax"/>
          <c:max val="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04741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0.10427052040181724"/>
                  <c:y val="-0.34174394867308255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'API610-12ed-preview'!$F$4:$F$12</c:f>
              <c:numCache>
                <c:formatCode>General</c:formatCode>
                <c:ptCount val="9"/>
                <c:pt idx="0">
                  <c:v>6.293570875290472</c:v>
                </c:pt>
                <c:pt idx="1">
                  <c:v>7.5522850503485666</c:v>
                </c:pt>
                <c:pt idx="2">
                  <c:v>10.553834237025562</c:v>
                </c:pt>
                <c:pt idx="3">
                  <c:v>19.364833462432223</c:v>
                </c:pt>
                <c:pt idx="4">
                  <c:v>29.047250193648335</c:v>
                </c:pt>
                <c:pt idx="5">
                  <c:v>38.729666924864446</c:v>
                </c:pt>
                <c:pt idx="6">
                  <c:v>58.094500387296669</c:v>
                </c:pt>
                <c:pt idx="7">
                  <c:v>67.776917118512785</c:v>
                </c:pt>
                <c:pt idx="8">
                  <c:v>77.459333849728893</c:v>
                </c:pt>
              </c:numCache>
            </c:numRef>
          </c:xVal>
          <c:yVal>
            <c:numRef>
              <c:f>'API610-12ed-preview'!$G$4:$G$12</c:f>
              <c:numCache>
                <c:formatCode>General</c:formatCode>
                <c:ptCount val="9"/>
                <c:pt idx="0">
                  <c:v>4219.4976894123001</c:v>
                </c:pt>
                <c:pt idx="1">
                  <c:v>2812.9984596081999</c:v>
                </c:pt>
                <c:pt idx="2">
                  <c:v>1406.4992298041</c:v>
                </c:pt>
                <c:pt idx="3">
                  <c:v>411.40102471769922</c:v>
                </c:pt>
                <c:pt idx="4">
                  <c:v>175.8124037255125</c:v>
                </c:pt>
                <c:pt idx="5">
                  <c:v>101.97119416079724</c:v>
                </c:pt>
                <c:pt idx="6">
                  <c:v>38.678728819612751</c:v>
                </c:pt>
                <c:pt idx="7">
                  <c:v>29.536483825886098</c:v>
                </c:pt>
                <c:pt idx="8">
                  <c:v>23.9104869066697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D-45C0-9DAA-835EBED5F31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'API610-12ed-preview'!$F$4:$F$12</c:f>
              <c:numCache>
                <c:formatCode>General</c:formatCode>
                <c:ptCount val="9"/>
                <c:pt idx="0">
                  <c:v>6.293570875290472</c:v>
                </c:pt>
                <c:pt idx="1">
                  <c:v>7.5522850503485666</c:v>
                </c:pt>
                <c:pt idx="2">
                  <c:v>10.553834237025562</c:v>
                </c:pt>
                <c:pt idx="3">
                  <c:v>19.364833462432223</c:v>
                </c:pt>
                <c:pt idx="4">
                  <c:v>29.047250193648335</c:v>
                </c:pt>
                <c:pt idx="5">
                  <c:v>38.729666924864446</c:v>
                </c:pt>
                <c:pt idx="6">
                  <c:v>58.094500387296669</c:v>
                </c:pt>
                <c:pt idx="7">
                  <c:v>67.776917118512785</c:v>
                </c:pt>
                <c:pt idx="8">
                  <c:v>77.459333849728893</c:v>
                </c:pt>
              </c:numCache>
            </c:numRef>
          </c:xVal>
          <c:yVal>
            <c:numRef>
              <c:f>'API610-12ed-preview'!$H$4:$H$12</c:f>
              <c:numCache>
                <c:formatCode>General</c:formatCode>
                <c:ptCount val="9"/>
                <c:pt idx="0">
                  <c:v>4170.1434109777911</c:v>
                </c:pt>
                <c:pt idx="1">
                  <c:v>2857.6687803183454</c:v>
                </c:pt>
                <c:pt idx="2">
                  <c:v>1428.0569283592174</c:v>
                </c:pt>
                <c:pt idx="3">
                  <c:v>405.79578357505301</c:v>
                </c:pt>
                <c:pt idx="4">
                  <c:v>175.09687963167562</c:v>
                </c:pt>
                <c:pt idx="5">
                  <c:v>96.446422263866197</c:v>
                </c:pt>
                <c:pt idx="6">
                  <c:v>41.615680284461455</c:v>
                </c:pt>
                <c:pt idx="7">
                  <c:v>30.232869289042615</c:v>
                </c:pt>
                <c:pt idx="8">
                  <c:v>22.922644206773931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D-45C0-9DAA-835EBED5F31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'API610-12ed-preview'!$F$4:$F$12</c:f>
              <c:numCache>
                <c:formatCode>General</c:formatCode>
                <c:ptCount val="9"/>
                <c:pt idx="0">
                  <c:v>6.293570875290472</c:v>
                </c:pt>
                <c:pt idx="1">
                  <c:v>7.5522850503485666</c:v>
                </c:pt>
                <c:pt idx="2">
                  <c:v>10.553834237025562</c:v>
                </c:pt>
                <c:pt idx="3">
                  <c:v>19.364833462432223</c:v>
                </c:pt>
                <c:pt idx="4">
                  <c:v>29.047250193648335</c:v>
                </c:pt>
                <c:pt idx="5">
                  <c:v>38.729666924864446</c:v>
                </c:pt>
                <c:pt idx="6">
                  <c:v>58.094500387296669</c:v>
                </c:pt>
                <c:pt idx="7">
                  <c:v>67.776917118512785</c:v>
                </c:pt>
                <c:pt idx="8">
                  <c:v>77.459333849728893</c:v>
                </c:pt>
              </c:numCache>
            </c:numRef>
          </c:xVal>
          <c:yVal>
            <c:numRef>
              <c:f>'API610-12ed-preview'!$I$4:$I$12</c:f>
              <c:numCache>
                <c:formatCode>General</c:formatCode>
                <c:ptCount val="9"/>
                <c:pt idx="0">
                  <c:v>3913.505325443788</c:v>
                </c:pt>
                <c:pt idx="1">
                  <c:v>2717.7120315581851</c:v>
                </c:pt>
                <c:pt idx="2">
                  <c:v>1391.6808349465532</c:v>
                </c:pt>
                <c:pt idx="3">
                  <c:v>413.36400000000003</c:v>
                </c:pt>
                <c:pt idx="4">
                  <c:v>183.71733333333333</c:v>
                </c:pt>
                <c:pt idx="5">
                  <c:v>103.34100000000001</c:v>
                </c:pt>
                <c:pt idx="6">
                  <c:v>45.929333333333332</c:v>
                </c:pt>
                <c:pt idx="7">
                  <c:v>33.743999999999993</c:v>
                </c:pt>
                <c:pt idx="8">
                  <c:v>25.835250000000002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D-45C0-9DAA-835EBED5F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000271"/>
        <c:axId val="506002671"/>
      </c:scatterChart>
      <c:valAx>
        <c:axId val="50600027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06002671"/>
        <c:crosses val="autoZero"/>
        <c:crossBetween val="midCat"/>
      </c:valAx>
      <c:valAx>
        <c:axId val="50600267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06000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078469473083822"/>
          <c:y val="0.11634217457608247"/>
          <c:w val="0.81680892098432445"/>
          <c:h val="0.7761955817466068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0.1409330877839165"/>
                  <c:y val="-3.2115690527011215E-2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'API610-12ed-preview'!$A$4:$A$12</c:f>
              <c:numCache>
                <c:formatCode>General</c:formatCode>
                <c:ptCount val="9"/>
                <c:pt idx="0">
                  <c:v>325</c:v>
                </c:pt>
                <c:pt idx="1">
                  <c:v>390</c:v>
                </c:pt>
                <c:pt idx="2">
                  <c:v>545</c:v>
                </c:pt>
                <c:pt idx="3">
                  <c:v>1000</c:v>
                </c:pt>
                <c:pt idx="4">
                  <c:v>1500</c:v>
                </c:pt>
                <c:pt idx="5">
                  <c:v>2000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</c:numCache>
            </c:numRef>
          </c:xVal>
          <c:yVal>
            <c:numRef>
              <c:f>'API610-12ed-preview'!$C$4:$C$12</c:f>
              <c:numCache>
                <c:formatCode>General</c:formatCode>
                <c:ptCount val="9"/>
                <c:pt idx="0">
                  <c:v>5929.8196865212758</c:v>
                </c:pt>
                <c:pt idx="1">
                  <c:v>4063.5198651635028</c:v>
                </c:pt>
                <c:pt idx="2">
                  <c:v>2030.6544050656614</c:v>
                </c:pt>
                <c:pt idx="3">
                  <c:v>577.02951409684511</c:v>
                </c:pt>
                <c:pt idx="4">
                  <c:v>248.98254605706782</c:v>
                </c:pt>
                <c:pt idx="5">
                  <c:v>137.14393896605085</c:v>
                </c:pt>
                <c:pt idx="6">
                  <c:v>59.176257480534318</c:v>
                </c:pt>
                <c:pt idx="7">
                  <c:v>42.990239380797213</c:v>
                </c:pt>
                <c:pt idx="8">
                  <c:v>32.595317112266841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A2-4D43-92F4-415EE32CD87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'API610-12ed-preview'!$A$4:$A$12</c:f>
              <c:numCache>
                <c:formatCode>General</c:formatCode>
                <c:ptCount val="9"/>
                <c:pt idx="0">
                  <c:v>325</c:v>
                </c:pt>
                <c:pt idx="1">
                  <c:v>390</c:v>
                </c:pt>
                <c:pt idx="2">
                  <c:v>545</c:v>
                </c:pt>
                <c:pt idx="3">
                  <c:v>1000</c:v>
                </c:pt>
                <c:pt idx="4">
                  <c:v>1500</c:v>
                </c:pt>
                <c:pt idx="5">
                  <c:v>2000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</c:numCache>
            </c:numRef>
          </c:xVal>
          <c:yVal>
            <c:numRef>
              <c:f>'API610-12ed-preview'!$D$4:$D$12</c:f>
              <c:numCache>
                <c:formatCode>General</c:formatCode>
                <c:ptCount val="9"/>
                <c:pt idx="0">
                  <c:v>5566.8639053254437</c:v>
                </c:pt>
                <c:pt idx="1">
                  <c:v>3865.8777120315585</c:v>
                </c:pt>
                <c:pt idx="2">
                  <c:v>1979.6313441629493</c:v>
                </c:pt>
                <c:pt idx="3">
                  <c:v>587.99999999999989</c:v>
                </c:pt>
                <c:pt idx="4">
                  <c:v>261.33333333333337</c:v>
                </c:pt>
                <c:pt idx="5">
                  <c:v>146.99999999999997</c:v>
                </c:pt>
                <c:pt idx="6">
                  <c:v>65.333333333333343</c:v>
                </c:pt>
                <c:pt idx="7">
                  <c:v>48.000000000000007</c:v>
                </c:pt>
                <c:pt idx="8">
                  <c:v>36.749999999999993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A2-4D43-92F4-415EE32CD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741423"/>
        <c:axId val="704729903"/>
      </c:scatterChart>
      <c:valAx>
        <c:axId val="704741423"/>
        <c:scaling>
          <c:orientation val="minMax"/>
          <c:max val="4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04729903"/>
        <c:crosses val="autoZero"/>
        <c:crossBetween val="midCat"/>
      </c:valAx>
      <c:valAx>
        <c:axId val="704729903"/>
        <c:scaling>
          <c:orientation val="minMax"/>
          <c:max val="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04741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32225292418923"/>
          <c:y val="6.6901408450704219E-2"/>
          <c:w val="0.82562233810483465"/>
          <c:h val="0.7846358940711720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"/>
                  <c:y val="3.3669917822703038E-2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Gulich!$M$10:$M$14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</c:numCache>
            </c:numRef>
          </c:xVal>
          <c:yVal>
            <c:numRef>
              <c:f>Gulich!$N$10:$N$14</c:f>
              <c:numCache>
                <c:formatCode>General</c:formatCode>
                <c:ptCount val="5"/>
                <c:pt idx="0">
                  <c:v>250</c:v>
                </c:pt>
                <c:pt idx="1">
                  <c:v>270</c:v>
                </c:pt>
                <c:pt idx="2">
                  <c:v>330</c:v>
                </c:pt>
                <c:pt idx="3">
                  <c:v>480</c:v>
                </c:pt>
                <c:pt idx="4">
                  <c:v>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41-4BA1-8922-BEE8B465381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"/>
                  <c:y val="6.2820002392081881E-2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Gulich!$M$10:$M$14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</c:numCache>
            </c:numRef>
          </c:xVal>
          <c:yVal>
            <c:numRef>
              <c:f>Gulich!$O$10:$O$14</c:f>
              <c:numCache>
                <c:formatCode>General</c:formatCode>
                <c:ptCount val="5"/>
                <c:pt idx="0">
                  <c:v>142</c:v>
                </c:pt>
                <c:pt idx="1">
                  <c:v>155</c:v>
                </c:pt>
                <c:pt idx="2">
                  <c:v>190</c:v>
                </c:pt>
                <c:pt idx="3">
                  <c:v>270</c:v>
                </c:pt>
                <c:pt idx="4">
                  <c:v>460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41-4BA1-8922-BEE8B465381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2.6254831043960303E-2"/>
                  <c:y val="7.1346845865275552E-2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Gulich!$M$10:$M$14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</c:numCache>
            </c:numRef>
          </c:xVal>
          <c:yVal>
            <c:numRef>
              <c:f>Gulich!$P$10:$P$14</c:f>
              <c:numCache>
                <c:formatCode>General</c:formatCode>
                <c:ptCount val="5"/>
                <c:pt idx="0">
                  <c:v>85</c:v>
                </c:pt>
                <c:pt idx="1">
                  <c:v>93</c:v>
                </c:pt>
                <c:pt idx="2">
                  <c:v>115</c:v>
                </c:pt>
                <c:pt idx="3">
                  <c:v>160</c:v>
                </c:pt>
                <c:pt idx="4">
                  <c:v>270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41-4BA1-8922-BEE8B4653811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Gulich!$M$14:$M$16</c:f>
              <c:numCache>
                <c:formatCode>General</c:formatCode>
                <c:ptCount val="3"/>
                <c:pt idx="0">
                  <c:v>25</c:v>
                </c:pt>
                <c:pt idx="1">
                  <c:v>29</c:v>
                </c:pt>
                <c:pt idx="2">
                  <c:v>32</c:v>
                </c:pt>
              </c:numCache>
            </c:numRef>
          </c:xVal>
          <c:yVal>
            <c:numRef>
              <c:f>Gulich!$N$14:$N$16</c:f>
              <c:numCache>
                <c:formatCode>General</c:formatCode>
                <c:ptCount val="3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941-4BA1-8922-BEE8B4653811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Gulich!$M$14:$M$16</c:f>
              <c:numCache>
                <c:formatCode>General</c:formatCode>
                <c:ptCount val="3"/>
                <c:pt idx="0">
                  <c:v>25</c:v>
                </c:pt>
                <c:pt idx="1">
                  <c:v>29</c:v>
                </c:pt>
                <c:pt idx="2">
                  <c:v>32</c:v>
                </c:pt>
              </c:numCache>
            </c:numRef>
          </c:xVal>
          <c:yVal>
            <c:numRef>
              <c:f>Gulich!$O$14:$O$16</c:f>
              <c:numCache>
                <c:formatCode>General</c:formatCode>
                <c:ptCount val="3"/>
                <c:pt idx="0">
                  <c:v>460</c:v>
                </c:pt>
                <c:pt idx="1">
                  <c:v>460</c:v>
                </c:pt>
                <c:pt idx="2">
                  <c:v>460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941-4BA1-8922-BEE8B4653811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Gulich!$M$14:$M$16</c:f>
              <c:numCache>
                <c:formatCode>General</c:formatCode>
                <c:ptCount val="3"/>
                <c:pt idx="0">
                  <c:v>25</c:v>
                </c:pt>
                <c:pt idx="1">
                  <c:v>29</c:v>
                </c:pt>
                <c:pt idx="2">
                  <c:v>32</c:v>
                </c:pt>
              </c:numCache>
            </c:numRef>
          </c:xVal>
          <c:yVal>
            <c:numRef>
              <c:f>Gulich!$P$14:$P$16</c:f>
              <c:numCache>
                <c:formatCode>General</c:formatCode>
                <c:ptCount val="3"/>
                <c:pt idx="0">
                  <c:v>270</c:v>
                </c:pt>
                <c:pt idx="1">
                  <c:v>270</c:v>
                </c:pt>
                <c:pt idx="2">
                  <c:v>270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941-4BA1-8922-BEE8B4653811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0.16192674035383237"/>
                  <c:y val="-0.19096186267811588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Gulich!$M$16:$M$41</c:f>
              <c:numCache>
                <c:formatCode>General</c:formatCode>
                <c:ptCount val="26"/>
                <c:pt idx="0">
                  <c:v>32</c:v>
                </c:pt>
                <c:pt idx="1">
                  <c:v>40</c:v>
                </c:pt>
                <c:pt idx="2">
                  <c:v>45</c:v>
                </c:pt>
                <c:pt idx="3">
                  <c:v>50</c:v>
                </c:pt>
                <c:pt idx="4">
                  <c:v>55</c:v>
                </c:pt>
                <c:pt idx="5">
                  <c:v>60</c:v>
                </c:pt>
                <c:pt idx="6">
                  <c:v>65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</c:numCache>
            </c:numRef>
          </c:xVal>
          <c:yVal>
            <c:numRef>
              <c:f>Gulich!$N$16:$N$41</c:f>
              <c:numCache>
                <c:formatCode>General</c:formatCode>
                <c:ptCount val="26"/>
                <c:pt idx="0">
                  <c:v>800</c:v>
                </c:pt>
                <c:pt idx="1">
                  <c:v>490</c:v>
                </c:pt>
                <c:pt idx="2">
                  <c:v>360</c:v>
                </c:pt>
                <c:pt idx="3">
                  <c:v>295</c:v>
                </c:pt>
                <c:pt idx="4">
                  <c:v>237</c:v>
                </c:pt>
                <c:pt idx="5">
                  <c:v>198</c:v>
                </c:pt>
                <c:pt idx="6">
                  <c:v>162</c:v>
                </c:pt>
                <c:pt idx="7">
                  <c:v>136</c:v>
                </c:pt>
                <c:pt idx="8">
                  <c:v>100</c:v>
                </c:pt>
                <c:pt idx="9">
                  <c:v>76</c:v>
                </c:pt>
                <c:pt idx="10">
                  <c:v>60</c:v>
                </c:pt>
                <c:pt idx="11">
                  <c:v>49</c:v>
                </c:pt>
                <c:pt idx="12">
                  <c:v>40</c:v>
                </c:pt>
                <c:pt idx="13">
                  <c:v>33</c:v>
                </c:pt>
                <c:pt idx="14">
                  <c:v>28</c:v>
                </c:pt>
                <c:pt idx="15">
                  <c:v>24</c:v>
                </c:pt>
                <c:pt idx="16">
                  <c:v>20.5</c:v>
                </c:pt>
                <c:pt idx="17">
                  <c:v>18</c:v>
                </c:pt>
                <c:pt idx="18">
                  <c:v>15.7</c:v>
                </c:pt>
                <c:pt idx="19">
                  <c:v>14</c:v>
                </c:pt>
                <c:pt idx="20">
                  <c:v>12.5</c:v>
                </c:pt>
                <c:pt idx="21">
                  <c:v>11.5</c:v>
                </c:pt>
                <c:pt idx="22">
                  <c:v>10.199999999999999</c:v>
                </c:pt>
                <c:pt idx="23">
                  <c:v>9.1999999999999993</c:v>
                </c:pt>
                <c:pt idx="24">
                  <c:v>8.3000000000000007</c:v>
                </c:pt>
                <c:pt idx="25">
                  <c:v>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941-4BA1-8922-BEE8B4653811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1.11452791436377E-2"/>
                  <c:y val="-0.17154258151510535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Gulich!$M$16:$M$41</c:f>
              <c:numCache>
                <c:formatCode>General</c:formatCode>
                <c:ptCount val="26"/>
                <c:pt idx="0">
                  <c:v>32</c:v>
                </c:pt>
                <c:pt idx="1">
                  <c:v>40</c:v>
                </c:pt>
                <c:pt idx="2">
                  <c:v>45</c:v>
                </c:pt>
                <c:pt idx="3">
                  <c:v>50</c:v>
                </c:pt>
                <c:pt idx="4">
                  <c:v>55</c:v>
                </c:pt>
                <c:pt idx="5">
                  <c:v>60</c:v>
                </c:pt>
                <c:pt idx="6">
                  <c:v>65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</c:numCache>
            </c:numRef>
          </c:xVal>
          <c:yVal>
            <c:numRef>
              <c:f>Gulich!$O$16:$O$41</c:f>
              <c:numCache>
                <c:formatCode>General</c:formatCode>
                <c:ptCount val="26"/>
                <c:pt idx="0">
                  <c:v>460</c:v>
                </c:pt>
                <c:pt idx="1">
                  <c:v>280</c:v>
                </c:pt>
                <c:pt idx="2">
                  <c:v>210</c:v>
                </c:pt>
                <c:pt idx="3">
                  <c:v>170</c:v>
                </c:pt>
                <c:pt idx="4">
                  <c:v>138</c:v>
                </c:pt>
                <c:pt idx="5">
                  <c:v>113</c:v>
                </c:pt>
                <c:pt idx="6">
                  <c:v>95</c:v>
                </c:pt>
                <c:pt idx="7">
                  <c:v>80</c:v>
                </c:pt>
                <c:pt idx="8">
                  <c:v>58</c:v>
                </c:pt>
                <c:pt idx="9">
                  <c:v>43</c:v>
                </c:pt>
                <c:pt idx="10">
                  <c:v>35</c:v>
                </c:pt>
                <c:pt idx="11">
                  <c:v>28</c:v>
                </c:pt>
                <c:pt idx="12">
                  <c:v>23</c:v>
                </c:pt>
                <c:pt idx="13">
                  <c:v>19</c:v>
                </c:pt>
                <c:pt idx="14">
                  <c:v>16</c:v>
                </c:pt>
                <c:pt idx="15">
                  <c:v>13.8</c:v>
                </c:pt>
                <c:pt idx="16">
                  <c:v>11.7</c:v>
                </c:pt>
                <c:pt idx="17">
                  <c:v>10.3</c:v>
                </c:pt>
                <c:pt idx="18">
                  <c:v>9</c:v>
                </c:pt>
                <c:pt idx="19">
                  <c:v>8</c:v>
                </c:pt>
                <c:pt idx="20">
                  <c:v>7.3</c:v>
                </c:pt>
                <c:pt idx="21">
                  <c:v>6.5</c:v>
                </c:pt>
                <c:pt idx="22">
                  <c:v>5.8</c:v>
                </c:pt>
                <c:pt idx="23">
                  <c:v>5.3</c:v>
                </c:pt>
                <c:pt idx="24">
                  <c:v>4.8</c:v>
                </c:pt>
                <c:pt idx="25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941-4BA1-8922-BEE8B4653811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>
                    <a:lumMod val="60000"/>
                  </a:schemeClr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Gulich!$M$16:$M$41</c:f>
              <c:numCache>
                <c:formatCode>General</c:formatCode>
                <c:ptCount val="26"/>
                <c:pt idx="0">
                  <c:v>32</c:v>
                </c:pt>
                <c:pt idx="1">
                  <c:v>40</c:v>
                </c:pt>
                <c:pt idx="2">
                  <c:v>45</c:v>
                </c:pt>
                <c:pt idx="3">
                  <c:v>50</c:v>
                </c:pt>
                <c:pt idx="4">
                  <c:v>55</c:v>
                </c:pt>
                <c:pt idx="5">
                  <c:v>60</c:v>
                </c:pt>
                <c:pt idx="6">
                  <c:v>65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</c:numCache>
            </c:numRef>
          </c:xVal>
          <c:yVal>
            <c:numRef>
              <c:f>Gulich!$P$16:$P$41</c:f>
              <c:numCache>
                <c:formatCode>General</c:formatCode>
                <c:ptCount val="26"/>
                <c:pt idx="0">
                  <c:v>270</c:v>
                </c:pt>
                <c:pt idx="1">
                  <c:v>165</c:v>
                </c:pt>
                <c:pt idx="2">
                  <c:v>120</c:v>
                </c:pt>
                <c:pt idx="3">
                  <c:v>100</c:v>
                </c:pt>
                <c:pt idx="4">
                  <c:v>80</c:v>
                </c:pt>
                <c:pt idx="5">
                  <c:v>65</c:v>
                </c:pt>
                <c:pt idx="6">
                  <c:v>55</c:v>
                </c:pt>
                <c:pt idx="7">
                  <c:v>46</c:v>
                </c:pt>
                <c:pt idx="8">
                  <c:v>34</c:v>
                </c:pt>
                <c:pt idx="9">
                  <c:v>25</c:v>
                </c:pt>
                <c:pt idx="10">
                  <c:v>20</c:v>
                </c:pt>
                <c:pt idx="11">
                  <c:v>16</c:v>
                </c:pt>
                <c:pt idx="12">
                  <c:v>13.5</c:v>
                </c:pt>
                <c:pt idx="13">
                  <c:v>11.3</c:v>
                </c:pt>
                <c:pt idx="14">
                  <c:v>9.4</c:v>
                </c:pt>
                <c:pt idx="15">
                  <c:v>8</c:v>
                </c:pt>
                <c:pt idx="16">
                  <c:v>7</c:v>
                </c:pt>
                <c:pt idx="17">
                  <c:v>6</c:v>
                </c:pt>
                <c:pt idx="18">
                  <c:v>5.3</c:v>
                </c:pt>
                <c:pt idx="19">
                  <c:v>4.7</c:v>
                </c:pt>
                <c:pt idx="20">
                  <c:v>4.2</c:v>
                </c:pt>
                <c:pt idx="21">
                  <c:v>3.8</c:v>
                </c:pt>
                <c:pt idx="22">
                  <c:v>3.4</c:v>
                </c:pt>
                <c:pt idx="23">
                  <c:v>3.1</c:v>
                </c:pt>
                <c:pt idx="24">
                  <c:v>2.8</c:v>
                </c:pt>
                <c:pt idx="25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941-4BA1-8922-BEE8B4653811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star"/>
            <c:size val="8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Gulich!$B$8</c:f>
              <c:numCache>
                <c:formatCode>0.0</c:formatCode>
                <c:ptCount val="1"/>
              </c:numCache>
            </c:numRef>
          </c:xVal>
          <c:yVal>
            <c:numRef>
              <c:f>Gulich!$C$8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941-4BA1-8922-BEE8B4653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578991"/>
        <c:axId val="1591579823"/>
      </c:scatterChart>
      <c:valAx>
        <c:axId val="1591578991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91579823"/>
        <c:crosses val="autoZero"/>
        <c:crossBetween val="midCat"/>
      </c:valAx>
      <c:valAx>
        <c:axId val="1591579823"/>
        <c:scaling>
          <c:logBase val="10"/>
          <c:orientation val="minMax"/>
          <c:max val="1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0" cap="flat" cmpd="sng" algn="ctr">
              <a:solidFill>
                <a:srgbClr val="FF0000"/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91578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32225292418923"/>
          <c:y val="6.6901408450704219E-2"/>
          <c:w val="0.8229982040595033"/>
          <c:h val="0.7846358940711720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Gulich!$M$10:$M$14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</c:numCache>
            </c:numRef>
          </c:xVal>
          <c:yVal>
            <c:numRef>
              <c:f>Gulich!$N$10:$N$14</c:f>
              <c:numCache>
                <c:formatCode>General</c:formatCode>
                <c:ptCount val="5"/>
                <c:pt idx="0">
                  <c:v>250</c:v>
                </c:pt>
                <c:pt idx="1">
                  <c:v>270</c:v>
                </c:pt>
                <c:pt idx="2">
                  <c:v>330</c:v>
                </c:pt>
                <c:pt idx="3">
                  <c:v>480</c:v>
                </c:pt>
                <c:pt idx="4">
                  <c:v>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1E-41EE-973E-7985157F2A2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Gulich!$M$10:$M$14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</c:numCache>
            </c:numRef>
          </c:xVal>
          <c:yVal>
            <c:numRef>
              <c:f>Gulich!$O$10:$O$14</c:f>
              <c:numCache>
                <c:formatCode>General</c:formatCode>
                <c:ptCount val="5"/>
                <c:pt idx="0">
                  <c:v>142</c:v>
                </c:pt>
                <c:pt idx="1">
                  <c:v>155</c:v>
                </c:pt>
                <c:pt idx="2">
                  <c:v>190</c:v>
                </c:pt>
                <c:pt idx="3">
                  <c:v>270</c:v>
                </c:pt>
                <c:pt idx="4">
                  <c:v>460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1E-41EE-973E-7985157F2A2A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Gulich!$M$10:$M$14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</c:numCache>
            </c:numRef>
          </c:xVal>
          <c:yVal>
            <c:numRef>
              <c:f>Gulich!$P$10:$P$14</c:f>
              <c:numCache>
                <c:formatCode>General</c:formatCode>
                <c:ptCount val="5"/>
                <c:pt idx="0">
                  <c:v>85</c:v>
                </c:pt>
                <c:pt idx="1">
                  <c:v>93</c:v>
                </c:pt>
                <c:pt idx="2">
                  <c:v>115</c:v>
                </c:pt>
                <c:pt idx="3">
                  <c:v>160</c:v>
                </c:pt>
                <c:pt idx="4">
                  <c:v>270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1E-41EE-973E-7985157F2A2A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Gulich!$M$14:$M$16</c:f>
              <c:numCache>
                <c:formatCode>General</c:formatCode>
                <c:ptCount val="3"/>
                <c:pt idx="0">
                  <c:v>25</c:v>
                </c:pt>
                <c:pt idx="1">
                  <c:v>29</c:v>
                </c:pt>
                <c:pt idx="2">
                  <c:v>32</c:v>
                </c:pt>
              </c:numCache>
            </c:numRef>
          </c:xVal>
          <c:yVal>
            <c:numRef>
              <c:f>Gulich!$N$14:$N$16</c:f>
              <c:numCache>
                <c:formatCode>General</c:formatCode>
                <c:ptCount val="3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1E-41EE-973E-7985157F2A2A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Gulich!$M$14:$M$16</c:f>
              <c:numCache>
                <c:formatCode>General</c:formatCode>
                <c:ptCount val="3"/>
                <c:pt idx="0">
                  <c:v>25</c:v>
                </c:pt>
                <c:pt idx="1">
                  <c:v>29</c:v>
                </c:pt>
                <c:pt idx="2">
                  <c:v>32</c:v>
                </c:pt>
              </c:numCache>
            </c:numRef>
          </c:xVal>
          <c:yVal>
            <c:numRef>
              <c:f>Gulich!$O$14:$O$16</c:f>
              <c:numCache>
                <c:formatCode>General</c:formatCode>
                <c:ptCount val="3"/>
                <c:pt idx="0">
                  <c:v>460</c:v>
                </c:pt>
                <c:pt idx="1">
                  <c:v>460</c:v>
                </c:pt>
                <c:pt idx="2">
                  <c:v>460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1E-41EE-973E-7985157F2A2A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Gulich!$M$14:$M$16</c:f>
              <c:numCache>
                <c:formatCode>General</c:formatCode>
                <c:ptCount val="3"/>
                <c:pt idx="0">
                  <c:v>25</c:v>
                </c:pt>
                <c:pt idx="1">
                  <c:v>29</c:v>
                </c:pt>
                <c:pt idx="2">
                  <c:v>32</c:v>
                </c:pt>
              </c:numCache>
            </c:numRef>
          </c:xVal>
          <c:yVal>
            <c:numRef>
              <c:f>Gulich!$P$14:$P$16</c:f>
              <c:numCache>
                <c:formatCode>General</c:formatCode>
                <c:ptCount val="3"/>
                <c:pt idx="0">
                  <c:v>270</c:v>
                </c:pt>
                <c:pt idx="1">
                  <c:v>270</c:v>
                </c:pt>
                <c:pt idx="2">
                  <c:v>270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1E-41EE-973E-7985157F2A2A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Gulich!$M$16:$M$41</c:f>
              <c:numCache>
                <c:formatCode>General</c:formatCode>
                <c:ptCount val="26"/>
                <c:pt idx="0">
                  <c:v>32</c:v>
                </c:pt>
                <c:pt idx="1">
                  <c:v>40</c:v>
                </c:pt>
                <c:pt idx="2">
                  <c:v>45</c:v>
                </c:pt>
                <c:pt idx="3">
                  <c:v>50</c:v>
                </c:pt>
                <c:pt idx="4">
                  <c:v>55</c:v>
                </c:pt>
                <c:pt idx="5">
                  <c:v>60</c:v>
                </c:pt>
                <c:pt idx="6">
                  <c:v>65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</c:numCache>
            </c:numRef>
          </c:xVal>
          <c:yVal>
            <c:numRef>
              <c:f>Gulich!$N$16:$N$41</c:f>
              <c:numCache>
                <c:formatCode>General</c:formatCode>
                <c:ptCount val="26"/>
                <c:pt idx="0">
                  <c:v>800</c:v>
                </c:pt>
                <c:pt idx="1">
                  <c:v>490</c:v>
                </c:pt>
                <c:pt idx="2">
                  <c:v>360</c:v>
                </c:pt>
                <c:pt idx="3">
                  <c:v>295</c:v>
                </c:pt>
                <c:pt idx="4">
                  <c:v>237</c:v>
                </c:pt>
                <c:pt idx="5">
                  <c:v>198</c:v>
                </c:pt>
                <c:pt idx="6">
                  <c:v>162</c:v>
                </c:pt>
                <c:pt idx="7">
                  <c:v>136</c:v>
                </c:pt>
                <c:pt idx="8">
                  <c:v>100</c:v>
                </c:pt>
                <c:pt idx="9">
                  <c:v>76</c:v>
                </c:pt>
                <c:pt idx="10">
                  <c:v>60</c:v>
                </c:pt>
                <c:pt idx="11">
                  <c:v>49</c:v>
                </c:pt>
                <c:pt idx="12">
                  <c:v>40</c:v>
                </c:pt>
                <c:pt idx="13">
                  <c:v>33</c:v>
                </c:pt>
                <c:pt idx="14">
                  <c:v>28</c:v>
                </c:pt>
                <c:pt idx="15">
                  <c:v>24</c:v>
                </c:pt>
                <c:pt idx="16">
                  <c:v>20.5</c:v>
                </c:pt>
                <c:pt idx="17">
                  <c:v>18</c:v>
                </c:pt>
                <c:pt idx="18">
                  <c:v>15.7</c:v>
                </c:pt>
                <c:pt idx="19">
                  <c:v>14</c:v>
                </c:pt>
                <c:pt idx="20">
                  <c:v>12.5</c:v>
                </c:pt>
                <c:pt idx="21">
                  <c:v>11.5</c:v>
                </c:pt>
                <c:pt idx="22">
                  <c:v>10.199999999999999</c:v>
                </c:pt>
                <c:pt idx="23">
                  <c:v>9.1999999999999993</c:v>
                </c:pt>
                <c:pt idx="24">
                  <c:v>8.3000000000000007</c:v>
                </c:pt>
                <c:pt idx="25">
                  <c:v>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1E-41EE-973E-7985157F2A2A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Gulich!$M$16:$M$41</c:f>
              <c:numCache>
                <c:formatCode>General</c:formatCode>
                <c:ptCount val="26"/>
                <c:pt idx="0">
                  <c:v>32</c:v>
                </c:pt>
                <c:pt idx="1">
                  <c:v>40</c:v>
                </c:pt>
                <c:pt idx="2">
                  <c:v>45</c:v>
                </c:pt>
                <c:pt idx="3">
                  <c:v>50</c:v>
                </c:pt>
                <c:pt idx="4">
                  <c:v>55</c:v>
                </c:pt>
                <c:pt idx="5">
                  <c:v>60</c:v>
                </c:pt>
                <c:pt idx="6">
                  <c:v>65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</c:numCache>
            </c:numRef>
          </c:xVal>
          <c:yVal>
            <c:numRef>
              <c:f>Gulich!$O$16:$O$41</c:f>
              <c:numCache>
                <c:formatCode>General</c:formatCode>
                <c:ptCount val="26"/>
                <c:pt idx="0">
                  <c:v>460</c:v>
                </c:pt>
                <c:pt idx="1">
                  <c:v>280</c:v>
                </c:pt>
                <c:pt idx="2">
                  <c:v>210</c:v>
                </c:pt>
                <c:pt idx="3">
                  <c:v>170</c:v>
                </c:pt>
                <c:pt idx="4">
                  <c:v>138</c:v>
                </c:pt>
                <c:pt idx="5">
                  <c:v>113</c:v>
                </c:pt>
                <c:pt idx="6">
                  <c:v>95</c:v>
                </c:pt>
                <c:pt idx="7">
                  <c:v>80</c:v>
                </c:pt>
                <c:pt idx="8">
                  <c:v>58</c:v>
                </c:pt>
                <c:pt idx="9">
                  <c:v>43</c:v>
                </c:pt>
                <c:pt idx="10">
                  <c:v>35</c:v>
                </c:pt>
                <c:pt idx="11">
                  <c:v>28</c:v>
                </c:pt>
                <c:pt idx="12">
                  <c:v>23</c:v>
                </c:pt>
                <c:pt idx="13">
                  <c:v>19</c:v>
                </c:pt>
                <c:pt idx="14">
                  <c:v>16</c:v>
                </c:pt>
                <c:pt idx="15">
                  <c:v>13.8</c:v>
                </c:pt>
                <c:pt idx="16">
                  <c:v>11.7</c:v>
                </c:pt>
                <c:pt idx="17">
                  <c:v>10.3</c:v>
                </c:pt>
                <c:pt idx="18">
                  <c:v>9</c:v>
                </c:pt>
                <c:pt idx="19">
                  <c:v>8</c:v>
                </c:pt>
                <c:pt idx="20">
                  <c:v>7.3</c:v>
                </c:pt>
                <c:pt idx="21">
                  <c:v>6.5</c:v>
                </c:pt>
                <c:pt idx="22">
                  <c:v>5.8</c:v>
                </c:pt>
                <c:pt idx="23">
                  <c:v>5.3</c:v>
                </c:pt>
                <c:pt idx="24">
                  <c:v>4.8</c:v>
                </c:pt>
                <c:pt idx="25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1E-41EE-973E-7985157F2A2A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Gulich!$M$16:$M$41</c:f>
              <c:numCache>
                <c:formatCode>General</c:formatCode>
                <c:ptCount val="26"/>
                <c:pt idx="0">
                  <c:v>32</c:v>
                </c:pt>
                <c:pt idx="1">
                  <c:v>40</c:v>
                </c:pt>
                <c:pt idx="2">
                  <c:v>45</c:v>
                </c:pt>
                <c:pt idx="3">
                  <c:v>50</c:v>
                </c:pt>
                <c:pt idx="4">
                  <c:v>55</c:v>
                </c:pt>
                <c:pt idx="5">
                  <c:v>60</c:v>
                </c:pt>
                <c:pt idx="6">
                  <c:v>65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</c:numCache>
            </c:numRef>
          </c:xVal>
          <c:yVal>
            <c:numRef>
              <c:f>Gulich!$P$16:$P$41</c:f>
              <c:numCache>
                <c:formatCode>General</c:formatCode>
                <c:ptCount val="26"/>
                <c:pt idx="0">
                  <c:v>270</c:v>
                </c:pt>
                <c:pt idx="1">
                  <c:v>165</c:v>
                </c:pt>
                <c:pt idx="2">
                  <c:v>120</c:v>
                </c:pt>
                <c:pt idx="3">
                  <c:v>100</c:v>
                </c:pt>
                <c:pt idx="4">
                  <c:v>80</c:v>
                </c:pt>
                <c:pt idx="5">
                  <c:v>65</c:v>
                </c:pt>
                <c:pt idx="6">
                  <c:v>55</c:v>
                </c:pt>
                <c:pt idx="7">
                  <c:v>46</c:v>
                </c:pt>
                <c:pt idx="8">
                  <c:v>34</c:v>
                </c:pt>
                <c:pt idx="9">
                  <c:v>25</c:v>
                </c:pt>
                <c:pt idx="10">
                  <c:v>20</c:v>
                </c:pt>
                <c:pt idx="11">
                  <c:v>16</c:v>
                </c:pt>
                <c:pt idx="12">
                  <c:v>13.5</c:v>
                </c:pt>
                <c:pt idx="13">
                  <c:v>11.3</c:v>
                </c:pt>
                <c:pt idx="14">
                  <c:v>9.4</c:v>
                </c:pt>
                <c:pt idx="15">
                  <c:v>8</c:v>
                </c:pt>
                <c:pt idx="16">
                  <c:v>7</c:v>
                </c:pt>
                <c:pt idx="17">
                  <c:v>6</c:v>
                </c:pt>
                <c:pt idx="18">
                  <c:v>5.3</c:v>
                </c:pt>
                <c:pt idx="19">
                  <c:v>4.7</c:v>
                </c:pt>
                <c:pt idx="20">
                  <c:v>4.2</c:v>
                </c:pt>
                <c:pt idx="21">
                  <c:v>3.8</c:v>
                </c:pt>
                <c:pt idx="22">
                  <c:v>3.4</c:v>
                </c:pt>
                <c:pt idx="23">
                  <c:v>3.1</c:v>
                </c:pt>
                <c:pt idx="24">
                  <c:v>2.8</c:v>
                </c:pt>
                <c:pt idx="25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1E-41EE-973E-7985157F2A2A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star"/>
            <c:size val="8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Gulich!$B$8</c:f>
              <c:numCache>
                <c:formatCode>0.0</c:formatCode>
                <c:ptCount val="1"/>
              </c:numCache>
            </c:numRef>
          </c:xVal>
          <c:yVal>
            <c:numRef>
              <c:f>Gulich!$C$8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1E-41EE-973E-7985157F2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578991"/>
        <c:axId val="1591579823"/>
      </c:scatterChart>
      <c:valAx>
        <c:axId val="1591578991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91579823"/>
        <c:crosses val="autoZero"/>
        <c:crossBetween val="midCat"/>
      </c:valAx>
      <c:valAx>
        <c:axId val="1591579823"/>
        <c:scaling>
          <c:logBase val="10"/>
          <c:orientation val="minMax"/>
          <c:max val="1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0" cap="flat" cmpd="sng" algn="ctr">
              <a:solidFill>
                <a:srgbClr val="FF0000"/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91578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55581941213259"/>
          <c:y val="6.0104685087124743E-2"/>
          <c:w val="0.84027196879964339"/>
          <c:h val="0.79143258445757458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"/>
                  <c:y val="3.3669917822703038E-2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Gulich!$AA$10:$AA$14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</c:numCache>
            </c:numRef>
          </c:xVal>
          <c:yVal>
            <c:numRef>
              <c:f>Gulich!$AB$10:$AB$14</c:f>
              <c:numCache>
                <c:formatCode>General</c:formatCode>
                <c:ptCount val="5"/>
                <c:pt idx="0">
                  <c:v>65</c:v>
                </c:pt>
                <c:pt idx="1">
                  <c:v>69</c:v>
                </c:pt>
                <c:pt idx="2">
                  <c:v>79</c:v>
                </c:pt>
                <c:pt idx="3">
                  <c:v>96</c:v>
                </c:pt>
                <c:pt idx="4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EE-4E98-B46B-5861CD785D0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1.4649679446941918E-2"/>
                  <c:y val="-6.372004271746666E-2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Gulich!$AA$10:$AA$14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</c:numCache>
            </c:numRef>
          </c:xVal>
          <c:yVal>
            <c:numRef>
              <c:f>Gulich!$AC$10:$AC$14</c:f>
              <c:numCache>
                <c:formatCode>General</c:formatCode>
                <c:ptCount val="5"/>
                <c:pt idx="0">
                  <c:v>50</c:v>
                </c:pt>
                <c:pt idx="1">
                  <c:v>53</c:v>
                </c:pt>
                <c:pt idx="2">
                  <c:v>60</c:v>
                </c:pt>
                <c:pt idx="3">
                  <c:v>72</c:v>
                </c:pt>
                <c:pt idx="4">
                  <c:v>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EE-4E98-B46B-5861CD785D0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1.2208066205784931E-2"/>
                  <c:y val="-9.8183811942534255E-2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Gulich!$AA$10:$AA$14</c:f>
              <c:numCache>
                <c:formatCode>General</c:formatCode>
                <c:ptCount val="5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</c:numCache>
            </c:numRef>
          </c:xVal>
          <c:yVal>
            <c:numRef>
              <c:f>Gulich!$AD$10:$AD$14</c:f>
              <c:numCache>
                <c:formatCode>General</c:formatCode>
                <c:ptCount val="5"/>
                <c:pt idx="0">
                  <c:v>38</c:v>
                </c:pt>
                <c:pt idx="1">
                  <c:v>40</c:v>
                </c:pt>
                <c:pt idx="2">
                  <c:v>45</c:v>
                </c:pt>
                <c:pt idx="3">
                  <c:v>55</c:v>
                </c:pt>
                <c:pt idx="4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EEE-4E98-B46B-5861CD785D01}"/>
            </c:ext>
          </c:extLst>
        </c:ser>
        <c:ser>
          <c:idx val="6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4.9966557588716591E-2"/>
                  <c:y val="-0.26156153158868889"/>
                </c:manualLayout>
              </c:layout>
              <c:numFmt formatCode="0.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Gulich!$AA$16:$AA$41</c:f>
              <c:numCache>
                <c:formatCode>General</c:formatCode>
                <c:ptCount val="26"/>
                <c:pt idx="0">
                  <c:v>32</c:v>
                </c:pt>
                <c:pt idx="1">
                  <c:v>40</c:v>
                </c:pt>
                <c:pt idx="2">
                  <c:v>45</c:v>
                </c:pt>
                <c:pt idx="3">
                  <c:v>50</c:v>
                </c:pt>
                <c:pt idx="4">
                  <c:v>55</c:v>
                </c:pt>
                <c:pt idx="5">
                  <c:v>60</c:v>
                </c:pt>
                <c:pt idx="6">
                  <c:v>65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</c:numCache>
            </c:numRef>
          </c:xVal>
          <c:yVal>
            <c:numRef>
              <c:f>Gulich!$AB$16:$AB$41</c:f>
              <c:numCache>
                <c:formatCode>General</c:formatCode>
                <c:ptCount val="26"/>
                <c:pt idx="0">
                  <c:v>128</c:v>
                </c:pt>
                <c:pt idx="1">
                  <c:v>103</c:v>
                </c:pt>
                <c:pt idx="2">
                  <c:v>92</c:v>
                </c:pt>
                <c:pt idx="3">
                  <c:v>84</c:v>
                </c:pt>
                <c:pt idx="4">
                  <c:v>77</c:v>
                </c:pt>
                <c:pt idx="5">
                  <c:v>71</c:v>
                </c:pt>
                <c:pt idx="6">
                  <c:v>66</c:v>
                </c:pt>
                <c:pt idx="7">
                  <c:v>62</c:v>
                </c:pt>
                <c:pt idx="8">
                  <c:v>55</c:v>
                </c:pt>
                <c:pt idx="9">
                  <c:v>50</c:v>
                </c:pt>
                <c:pt idx="10">
                  <c:v>46</c:v>
                </c:pt>
                <c:pt idx="11">
                  <c:v>43.5</c:v>
                </c:pt>
                <c:pt idx="12">
                  <c:v>41</c:v>
                </c:pt>
                <c:pt idx="13">
                  <c:v>38.700000000000003</c:v>
                </c:pt>
                <c:pt idx="14">
                  <c:v>36.6</c:v>
                </c:pt>
                <c:pt idx="15">
                  <c:v>35</c:v>
                </c:pt>
                <c:pt idx="16">
                  <c:v>34</c:v>
                </c:pt>
                <c:pt idx="17">
                  <c:v>33</c:v>
                </c:pt>
                <c:pt idx="18">
                  <c:v>32.299999999999997</c:v>
                </c:pt>
                <c:pt idx="19">
                  <c:v>31.5</c:v>
                </c:pt>
                <c:pt idx="20">
                  <c:v>31</c:v>
                </c:pt>
                <c:pt idx="21">
                  <c:v>30.7</c:v>
                </c:pt>
                <c:pt idx="22">
                  <c:v>30.3</c:v>
                </c:pt>
                <c:pt idx="23">
                  <c:v>30</c:v>
                </c:pt>
                <c:pt idx="24">
                  <c:v>29.5</c:v>
                </c:pt>
                <c:pt idx="25">
                  <c:v>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EEE-4E98-B46B-5861CD785D01}"/>
            </c:ext>
          </c:extLst>
        </c:ser>
        <c:ser>
          <c:idx val="7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4.9966557588716591E-2"/>
                  <c:y val="-0.14101205930888355"/>
                </c:manualLayout>
              </c:layout>
              <c:numFmt formatCode="0.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Gulich!$AA$16:$AA$41</c:f>
              <c:numCache>
                <c:formatCode>General</c:formatCode>
                <c:ptCount val="26"/>
                <c:pt idx="0">
                  <c:v>32</c:v>
                </c:pt>
                <c:pt idx="1">
                  <c:v>40</c:v>
                </c:pt>
                <c:pt idx="2">
                  <c:v>45</c:v>
                </c:pt>
                <c:pt idx="3">
                  <c:v>50</c:v>
                </c:pt>
                <c:pt idx="4">
                  <c:v>55</c:v>
                </c:pt>
                <c:pt idx="5">
                  <c:v>60</c:v>
                </c:pt>
                <c:pt idx="6">
                  <c:v>65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</c:numCache>
            </c:numRef>
          </c:xVal>
          <c:yVal>
            <c:numRef>
              <c:f>Gulich!$AC$16:$AC$41</c:f>
              <c:numCache>
                <c:formatCode>General</c:formatCode>
                <c:ptCount val="26"/>
                <c:pt idx="0">
                  <c:v>98</c:v>
                </c:pt>
                <c:pt idx="1">
                  <c:v>80</c:v>
                </c:pt>
                <c:pt idx="2">
                  <c:v>70</c:v>
                </c:pt>
                <c:pt idx="3">
                  <c:v>63</c:v>
                </c:pt>
                <c:pt idx="4">
                  <c:v>60</c:v>
                </c:pt>
                <c:pt idx="5">
                  <c:v>55</c:v>
                </c:pt>
                <c:pt idx="6">
                  <c:v>51</c:v>
                </c:pt>
                <c:pt idx="7">
                  <c:v>47</c:v>
                </c:pt>
                <c:pt idx="8">
                  <c:v>42</c:v>
                </c:pt>
                <c:pt idx="9">
                  <c:v>38</c:v>
                </c:pt>
                <c:pt idx="10">
                  <c:v>35</c:v>
                </c:pt>
                <c:pt idx="11">
                  <c:v>33</c:v>
                </c:pt>
                <c:pt idx="12">
                  <c:v>31</c:v>
                </c:pt>
                <c:pt idx="13">
                  <c:v>29.3</c:v>
                </c:pt>
                <c:pt idx="14">
                  <c:v>28</c:v>
                </c:pt>
                <c:pt idx="15">
                  <c:v>27</c:v>
                </c:pt>
                <c:pt idx="16">
                  <c:v>26</c:v>
                </c:pt>
                <c:pt idx="17">
                  <c:v>25.2</c:v>
                </c:pt>
                <c:pt idx="18">
                  <c:v>24.8</c:v>
                </c:pt>
                <c:pt idx="19">
                  <c:v>24.4</c:v>
                </c:pt>
                <c:pt idx="20">
                  <c:v>24</c:v>
                </c:pt>
                <c:pt idx="21">
                  <c:v>23.6</c:v>
                </c:pt>
                <c:pt idx="22">
                  <c:v>23.3</c:v>
                </c:pt>
                <c:pt idx="23">
                  <c:v>22.9</c:v>
                </c:pt>
                <c:pt idx="24">
                  <c:v>22.6</c:v>
                </c:pt>
                <c:pt idx="25">
                  <c:v>22.4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EEE-4E98-B46B-5861CD785D01}"/>
            </c:ext>
          </c:extLst>
        </c:ser>
        <c:ser>
          <c:idx val="8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numFmt formatCode="0.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Gulich!$AA$16:$AA$41</c:f>
              <c:numCache>
                <c:formatCode>General</c:formatCode>
                <c:ptCount val="26"/>
                <c:pt idx="0">
                  <c:v>32</c:v>
                </c:pt>
                <c:pt idx="1">
                  <c:v>40</c:v>
                </c:pt>
                <c:pt idx="2">
                  <c:v>45</c:v>
                </c:pt>
                <c:pt idx="3">
                  <c:v>50</c:v>
                </c:pt>
                <c:pt idx="4">
                  <c:v>55</c:v>
                </c:pt>
                <c:pt idx="5">
                  <c:v>60</c:v>
                </c:pt>
                <c:pt idx="6">
                  <c:v>65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</c:numCache>
            </c:numRef>
          </c:xVal>
          <c:yVal>
            <c:numRef>
              <c:f>Gulich!$AD$16:$AD$41</c:f>
              <c:numCache>
                <c:formatCode>General</c:formatCode>
                <c:ptCount val="26"/>
                <c:pt idx="0">
                  <c:v>75</c:v>
                </c:pt>
                <c:pt idx="1">
                  <c:v>60</c:v>
                </c:pt>
                <c:pt idx="2">
                  <c:v>54</c:v>
                </c:pt>
                <c:pt idx="3">
                  <c:v>49</c:v>
                </c:pt>
                <c:pt idx="4">
                  <c:v>45</c:v>
                </c:pt>
                <c:pt idx="5">
                  <c:v>42</c:v>
                </c:pt>
                <c:pt idx="6">
                  <c:v>39</c:v>
                </c:pt>
                <c:pt idx="7">
                  <c:v>36.299999999999997</c:v>
                </c:pt>
                <c:pt idx="8">
                  <c:v>32</c:v>
                </c:pt>
                <c:pt idx="9">
                  <c:v>29</c:v>
                </c:pt>
                <c:pt idx="10">
                  <c:v>27</c:v>
                </c:pt>
                <c:pt idx="11">
                  <c:v>25.5</c:v>
                </c:pt>
                <c:pt idx="12">
                  <c:v>24</c:v>
                </c:pt>
                <c:pt idx="13">
                  <c:v>22.5</c:v>
                </c:pt>
                <c:pt idx="14">
                  <c:v>21</c:v>
                </c:pt>
                <c:pt idx="15">
                  <c:v>20</c:v>
                </c:pt>
                <c:pt idx="16">
                  <c:v>19.399999999999999</c:v>
                </c:pt>
                <c:pt idx="17">
                  <c:v>19.2</c:v>
                </c:pt>
                <c:pt idx="18">
                  <c:v>18.7</c:v>
                </c:pt>
                <c:pt idx="19">
                  <c:v>18.3</c:v>
                </c:pt>
                <c:pt idx="20">
                  <c:v>18</c:v>
                </c:pt>
                <c:pt idx="21">
                  <c:v>17.7</c:v>
                </c:pt>
                <c:pt idx="22">
                  <c:v>17.5</c:v>
                </c:pt>
                <c:pt idx="23">
                  <c:v>17.399999999999999</c:v>
                </c:pt>
                <c:pt idx="24">
                  <c:v>17.2</c:v>
                </c:pt>
                <c:pt idx="25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EEE-4E98-B46B-5861CD785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578991"/>
        <c:axId val="1591579823"/>
      </c:scatterChart>
      <c:valAx>
        <c:axId val="1591578991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91579823"/>
        <c:crosses val="autoZero"/>
        <c:crossBetween val="midCat"/>
      </c:valAx>
      <c:valAx>
        <c:axId val="1591579823"/>
        <c:scaling>
          <c:orientation val="minMax"/>
          <c:max val="1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0" cap="flat" cmpd="sng" algn="ctr">
              <a:solidFill>
                <a:srgbClr val="FF0000"/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91578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1039962195614916E-2"/>
          <c:y val="8.8230738094198971E-2"/>
          <c:w val="0.87185953165832575"/>
          <c:h val="0.75934968456176077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8.3187815073146112E-2"/>
                  <c:y val="-1.026848354197404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'St-Wk-Bradshaw'!$B$5:$B$14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50</c:v>
                </c:pt>
                <c:pt idx="3">
                  <c:v>100</c:v>
                </c:pt>
                <c:pt idx="4">
                  <c:v>200</c:v>
                </c:pt>
                <c:pt idx="5">
                  <c:v>500</c:v>
                </c:pt>
                <c:pt idx="6">
                  <c:v>1000</c:v>
                </c:pt>
                <c:pt idx="7">
                  <c:v>2000</c:v>
                </c:pt>
                <c:pt idx="8">
                  <c:v>5000</c:v>
                </c:pt>
                <c:pt idx="9">
                  <c:v>10000</c:v>
                </c:pt>
              </c:numCache>
            </c:numRef>
          </c:xVal>
          <c:yVal>
            <c:numRef>
              <c:f>'St-Wk-Bradshaw'!$C$5:$C$14</c:f>
              <c:numCache>
                <c:formatCode>General</c:formatCode>
                <c:ptCount val="10"/>
                <c:pt idx="0">
                  <c:v>1000</c:v>
                </c:pt>
                <c:pt idx="1">
                  <c:v>800</c:v>
                </c:pt>
                <c:pt idx="2">
                  <c:v>600</c:v>
                </c:pt>
                <c:pt idx="3">
                  <c:v>470</c:v>
                </c:pt>
                <c:pt idx="4">
                  <c:v>365</c:v>
                </c:pt>
                <c:pt idx="5">
                  <c:v>280</c:v>
                </c:pt>
                <c:pt idx="6">
                  <c:v>220</c:v>
                </c:pt>
                <c:pt idx="7">
                  <c:v>175</c:v>
                </c:pt>
                <c:pt idx="8">
                  <c:v>128</c:v>
                </c:pt>
                <c:pt idx="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31-4717-9E8A-05196B6FF61F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7.5939013722380502E-2"/>
                  <c:y val="-1.430893261229239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'St-Wk-Bradshaw'!$B$5:$B$14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50</c:v>
                </c:pt>
                <c:pt idx="3">
                  <c:v>100</c:v>
                </c:pt>
                <c:pt idx="4">
                  <c:v>200</c:v>
                </c:pt>
                <c:pt idx="5">
                  <c:v>500</c:v>
                </c:pt>
                <c:pt idx="6">
                  <c:v>1000</c:v>
                </c:pt>
                <c:pt idx="7">
                  <c:v>2000</c:v>
                </c:pt>
                <c:pt idx="8">
                  <c:v>5000</c:v>
                </c:pt>
                <c:pt idx="9">
                  <c:v>10000</c:v>
                </c:pt>
              </c:numCache>
            </c:numRef>
          </c:xVal>
          <c:yVal>
            <c:numRef>
              <c:f>'St-Wk-Bradshaw'!$D$5:$D$14</c:f>
              <c:numCache>
                <c:formatCode>General</c:formatCode>
                <c:ptCount val="10"/>
                <c:pt idx="0">
                  <c:v>2350</c:v>
                </c:pt>
                <c:pt idx="1">
                  <c:v>1850</c:v>
                </c:pt>
                <c:pt idx="2">
                  <c:v>1380</c:v>
                </c:pt>
                <c:pt idx="3">
                  <c:v>1080</c:v>
                </c:pt>
                <c:pt idx="4">
                  <c:v>860</c:v>
                </c:pt>
                <c:pt idx="5">
                  <c:v>630</c:v>
                </c:pt>
                <c:pt idx="6">
                  <c:v>500</c:v>
                </c:pt>
                <c:pt idx="7">
                  <c:v>400</c:v>
                </c:pt>
                <c:pt idx="8">
                  <c:v>295</c:v>
                </c:pt>
                <c:pt idx="9">
                  <c:v>230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31-4717-9E8A-05196B6FF61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'St-Wk-Bradshaw'!$B$5:$B$14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50</c:v>
                </c:pt>
                <c:pt idx="3">
                  <c:v>100</c:v>
                </c:pt>
                <c:pt idx="4">
                  <c:v>200</c:v>
                </c:pt>
                <c:pt idx="5">
                  <c:v>500</c:v>
                </c:pt>
                <c:pt idx="6">
                  <c:v>1000</c:v>
                </c:pt>
                <c:pt idx="7">
                  <c:v>2000</c:v>
                </c:pt>
                <c:pt idx="8">
                  <c:v>5000</c:v>
                </c:pt>
                <c:pt idx="9">
                  <c:v>10000</c:v>
                </c:pt>
              </c:numCache>
            </c:numRef>
          </c:xVal>
          <c:yVal>
            <c:numRef>
              <c:f>'St-Wk-Bradshaw'!$G$5:$G$14</c:f>
              <c:numCache>
                <c:formatCode>General</c:formatCode>
                <c:ptCount val="10"/>
                <c:pt idx="0">
                  <c:v>990.81108205012447</c:v>
                </c:pt>
                <c:pt idx="1">
                  <c:v>786.58899662859699</c:v>
                </c:pt>
                <c:pt idx="2">
                  <c:v>579.74077133939068</c:v>
                </c:pt>
                <c:pt idx="3">
                  <c:v>460.24688247226368</c:v>
                </c:pt>
                <c:pt idx="4">
                  <c:v>365.38260425611901</c:v>
                </c:pt>
                <c:pt idx="5">
                  <c:v>269.29844395656608</c:v>
                </c:pt>
                <c:pt idx="6">
                  <c:v>213.79170728201598</c:v>
                </c:pt>
                <c:pt idx="7">
                  <c:v>169.72580097763608</c:v>
                </c:pt>
                <c:pt idx="8">
                  <c:v>125.09324081154243</c:v>
                </c:pt>
                <c:pt idx="9">
                  <c:v>99.309513748447117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031-4717-9E8A-05196B6FF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076464"/>
        <c:axId val="2133668704"/>
      </c:scatterChart>
      <c:valAx>
        <c:axId val="1098076464"/>
        <c:scaling>
          <c:logBase val="10"/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33668704"/>
        <c:crosses val="autoZero"/>
        <c:crossBetween val="midCat"/>
      </c:valAx>
      <c:valAx>
        <c:axId val="2133668704"/>
        <c:scaling>
          <c:logBase val="10"/>
          <c:orientation val="minMax"/>
          <c:max val="1000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98076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1039962195614916E-2"/>
          <c:y val="8.8230738094198971E-2"/>
          <c:w val="0.87185953165832575"/>
          <c:h val="0.75934968456176077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8.3187815073146112E-2"/>
                  <c:y val="-1.026848354197404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'St-Wk-Bradshaw'!$B$20:$B$29</c:f>
              <c:numCache>
                <c:formatCode>General</c:formatCode>
                <c:ptCount val="10"/>
                <c:pt idx="0">
                  <c:v>7.4570000000000007</c:v>
                </c:pt>
                <c:pt idx="1">
                  <c:v>14.914000000000001</c:v>
                </c:pt>
                <c:pt idx="2">
                  <c:v>37.285000000000004</c:v>
                </c:pt>
                <c:pt idx="3">
                  <c:v>74.570000000000007</c:v>
                </c:pt>
                <c:pt idx="4">
                  <c:v>149.14000000000001</c:v>
                </c:pt>
                <c:pt idx="5">
                  <c:v>372.85</c:v>
                </c:pt>
                <c:pt idx="6">
                  <c:v>745.7</c:v>
                </c:pt>
                <c:pt idx="7">
                  <c:v>1491.4</c:v>
                </c:pt>
                <c:pt idx="8">
                  <c:v>3728.5</c:v>
                </c:pt>
                <c:pt idx="9">
                  <c:v>7457</c:v>
                </c:pt>
              </c:numCache>
            </c:numRef>
          </c:xVal>
          <c:yVal>
            <c:numRef>
              <c:f>'St-Wk-Bradshaw'!$C$20:$C$29</c:f>
              <c:numCache>
                <c:formatCode>General</c:formatCode>
                <c:ptCount val="10"/>
                <c:pt idx="0">
                  <c:v>304.8</c:v>
                </c:pt>
                <c:pt idx="1">
                  <c:v>243.84</c:v>
                </c:pt>
                <c:pt idx="2">
                  <c:v>182.88</c:v>
                </c:pt>
                <c:pt idx="3">
                  <c:v>143.256</c:v>
                </c:pt>
                <c:pt idx="4">
                  <c:v>111.25200000000001</c:v>
                </c:pt>
                <c:pt idx="5">
                  <c:v>85.344000000000008</c:v>
                </c:pt>
                <c:pt idx="6">
                  <c:v>67.055999999999997</c:v>
                </c:pt>
                <c:pt idx="7">
                  <c:v>53.34</c:v>
                </c:pt>
                <c:pt idx="8">
                  <c:v>39.014400000000002</c:v>
                </c:pt>
                <c:pt idx="9">
                  <c:v>30.48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56-4BD5-8BCD-94FB5819ABB9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7.5939013722380502E-2"/>
                  <c:y val="-1.430893261229239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'St-Wk-Bradshaw'!$B$20:$B$29</c:f>
              <c:numCache>
                <c:formatCode>General</c:formatCode>
                <c:ptCount val="10"/>
                <c:pt idx="0">
                  <c:v>7.4570000000000007</c:v>
                </c:pt>
                <c:pt idx="1">
                  <c:v>14.914000000000001</c:v>
                </c:pt>
                <c:pt idx="2">
                  <c:v>37.285000000000004</c:v>
                </c:pt>
                <c:pt idx="3">
                  <c:v>74.570000000000007</c:v>
                </c:pt>
                <c:pt idx="4">
                  <c:v>149.14000000000001</c:v>
                </c:pt>
                <c:pt idx="5">
                  <c:v>372.85</c:v>
                </c:pt>
                <c:pt idx="6">
                  <c:v>745.7</c:v>
                </c:pt>
                <c:pt idx="7">
                  <c:v>1491.4</c:v>
                </c:pt>
                <c:pt idx="8">
                  <c:v>3728.5</c:v>
                </c:pt>
                <c:pt idx="9">
                  <c:v>7457</c:v>
                </c:pt>
              </c:numCache>
            </c:numRef>
          </c:xVal>
          <c:yVal>
            <c:numRef>
              <c:f>'St-Wk-Bradshaw'!$D$20:$D$29</c:f>
              <c:numCache>
                <c:formatCode>General</c:formatCode>
                <c:ptCount val="10"/>
                <c:pt idx="0">
                  <c:v>716.28000000000009</c:v>
                </c:pt>
                <c:pt idx="1">
                  <c:v>563.88</c:v>
                </c:pt>
                <c:pt idx="2">
                  <c:v>420.62400000000002</c:v>
                </c:pt>
                <c:pt idx="3">
                  <c:v>329.18400000000003</c:v>
                </c:pt>
                <c:pt idx="4">
                  <c:v>262.12799999999999</c:v>
                </c:pt>
                <c:pt idx="5">
                  <c:v>192.024</c:v>
                </c:pt>
                <c:pt idx="6">
                  <c:v>152.4</c:v>
                </c:pt>
                <c:pt idx="7">
                  <c:v>121.92</c:v>
                </c:pt>
                <c:pt idx="8">
                  <c:v>89.916000000000011</c:v>
                </c:pt>
                <c:pt idx="9">
                  <c:v>70.103999999999999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56-4BD5-8BCD-94FB5819ABB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'St-Wk-Bradshaw'!$B$20:$B$29</c:f>
              <c:numCache>
                <c:formatCode>General</c:formatCode>
                <c:ptCount val="10"/>
                <c:pt idx="0">
                  <c:v>7.4570000000000007</c:v>
                </c:pt>
                <c:pt idx="1">
                  <c:v>14.914000000000001</c:v>
                </c:pt>
                <c:pt idx="2">
                  <c:v>37.285000000000004</c:v>
                </c:pt>
                <c:pt idx="3">
                  <c:v>74.570000000000007</c:v>
                </c:pt>
                <c:pt idx="4">
                  <c:v>149.14000000000001</c:v>
                </c:pt>
                <c:pt idx="5">
                  <c:v>372.85</c:v>
                </c:pt>
                <c:pt idx="6">
                  <c:v>745.7</c:v>
                </c:pt>
                <c:pt idx="7">
                  <c:v>1491.4</c:v>
                </c:pt>
                <c:pt idx="8">
                  <c:v>3728.5</c:v>
                </c:pt>
                <c:pt idx="9">
                  <c:v>7457</c:v>
                </c:pt>
              </c:numCache>
            </c:numRef>
          </c:xVal>
          <c:yVal>
            <c:numRef>
              <c:f>'St-Wk-Bradshaw'!$G$20:$G$29</c:f>
              <c:numCache>
                <c:formatCode>General</c:formatCode>
                <c:ptCount val="10"/>
                <c:pt idx="0">
                  <c:v>304.7565904098426</c:v>
                </c:pt>
                <c:pt idx="1">
                  <c:v>241.94135997189341</c:v>
                </c:pt>
                <c:pt idx="2">
                  <c:v>178.31837369984805</c:v>
                </c:pt>
                <c:pt idx="3">
                  <c:v>141.56409147017476</c:v>
                </c:pt>
                <c:pt idx="4">
                  <c:v>112.38545741511039</c:v>
                </c:pt>
                <c:pt idx="5">
                  <c:v>82.831608436457998</c:v>
                </c:pt>
                <c:pt idx="6">
                  <c:v>65.758682910926694</c:v>
                </c:pt>
                <c:pt idx="7">
                  <c:v>52.204761682214574</c:v>
                </c:pt>
                <c:pt idx="8">
                  <c:v>38.476547390004299</c:v>
                </c:pt>
                <c:pt idx="9">
                  <c:v>30.545912690654628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E56-4BD5-8BCD-94FB5819ABB9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'St-Wk-Bradshaw'!$B$20:$B$29</c:f>
              <c:numCache>
                <c:formatCode>General</c:formatCode>
                <c:ptCount val="10"/>
                <c:pt idx="0">
                  <c:v>7.4570000000000007</c:v>
                </c:pt>
                <c:pt idx="1">
                  <c:v>14.914000000000001</c:v>
                </c:pt>
                <c:pt idx="2">
                  <c:v>37.285000000000004</c:v>
                </c:pt>
                <c:pt idx="3">
                  <c:v>74.570000000000007</c:v>
                </c:pt>
                <c:pt idx="4">
                  <c:v>149.14000000000001</c:v>
                </c:pt>
                <c:pt idx="5">
                  <c:v>372.85</c:v>
                </c:pt>
                <c:pt idx="6">
                  <c:v>745.7</c:v>
                </c:pt>
                <c:pt idx="7">
                  <c:v>1491.4</c:v>
                </c:pt>
                <c:pt idx="8">
                  <c:v>3728.5</c:v>
                </c:pt>
                <c:pt idx="9">
                  <c:v>7457</c:v>
                </c:pt>
              </c:numCache>
            </c:numRef>
          </c:xVal>
          <c:yVal>
            <c:numRef>
              <c:f>'St-Wk-Bradshaw'!$H$20:$H$29</c:f>
              <c:numCache>
                <c:formatCode>General</c:formatCode>
                <c:ptCount val="10"/>
                <c:pt idx="0">
                  <c:v>717.07433037610031</c:v>
                </c:pt>
                <c:pt idx="1">
                  <c:v>569.27378816916098</c:v>
                </c:pt>
                <c:pt idx="2">
                  <c:v>419.57264399964242</c:v>
                </c:pt>
                <c:pt idx="3">
                  <c:v>333.09197992982297</c:v>
                </c:pt>
                <c:pt idx="4">
                  <c:v>264.43637038849505</c:v>
                </c:pt>
                <c:pt idx="5">
                  <c:v>194.89790220343056</c:v>
                </c:pt>
                <c:pt idx="6">
                  <c:v>154.72631273159223</c:v>
                </c:pt>
                <c:pt idx="7">
                  <c:v>122.83473336991663</c:v>
                </c:pt>
                <c:pt idx="8">
                  <c:v>90.533052682363049</c:v>
                </c:pt>
                <c:pt idx="9">
                  <c:v>71.87273574271677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E56-4BD5-8BCD-94FB5819A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076464"/>
        <c:axId val="2133668704"/>
      </c:scatterChart>
      <c:valAx>
        <c:axId val="1098076464"/>
        <c:scaling>
          <c:logBase val="10"/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33668704"/>
        <c:crosses val="autoZero"/>
        <c:crossBetween val="midCat"/>
      </c:valAx>
      <c:valAx>
        <c:axId val="2133668704"/>
        <c:scaling>
          <c:logBase val="10"/>
          <c:orientation val="minMax"/>
          <c:max val="10000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98076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emf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3.png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chart" Target="../charts/chart12.xml"/><Relationship Id="rId1" Type="http://schemas.openxmlformats.org/officeDocument/2006/relationships/image" Target="../media/image6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image" Target="../media/image8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image" Target="../media/image9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78441</xdr:colOff>
      <xdr:row>30</xdr:row>
      <xdr:rowOff>56030</xdr:rowOff>
    </xdr:from>
    <xdr:to>
      <xdr:col>28</xdr:col>
      <xdr:colOff>80122</xdr:colOff>
      <xdr:row>38</xdr:row>
      <xdr:rowOff>46505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69A777D-C583-4BBD-838E-76772CE87D07}"/>
            </a:ext>
          </a:extLst>
        </xdr:cNvPr>
        <xdr:cNvSpPr txBox="1"/>
      </xdr:nvSpPr>
      <xdr:spPr>
        <a:xfrm>
          <a:off x="78441" y="5771030"/>
          <a:ext cx="6276975" cy="151447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it-IT" sz="1100" b="0" u="none"/>
            <a:t>use</a:t>
          </a:r>
          <a:r>
            <a:rPr lang="it-IT" sz="1100" b="0" u="none" baseline="0"/>
            <a:t> the module to categorize the energy level of the stage</a:t>
          </a:r>
          <a:endParaRPr lang="it-IT" sz="1100" b="0" u="none"/>
        </a:p>
        <a:p>
          <a:r>
            <a:rPr lang="it-IT" sz="1100" b="0" u="none">
              <a:effectLst/>
            </a:rPr>
            <a:t>fill only field of input data are in yellow</a:t>
          </a:r>
          <a:r>
            <a:rPr lang="it-IT" sz="1100" b="0" u="none" baseline="0">
              <a:effectLst/>
            </a:rPr>
            <a:t> cells</a:t>
          </a:r>
          <a:endParaRPr lang="it-IT" sz="1100" b="0" u="none">
            <a:effectLst/>
          </a:endParaRPr>
        </a:p>
        <a:p>
          <a:r>
            <a:rPr lang="it-IT" sz="1100" b="0" u="none">
              <a:effectLst/>
            </a:rPr>
            <a:t>calculated</a:t>
          </a:r>
          <a:r>
            <a:rPr lang="it-IT" sz="1100" b="0" u="none" baseline="0">
              <a:effectLst/>
            </a:rPr>
            <a:t> data are in white cells</a:t>
          </a:r>
          <a:endParaRPr lang="it-IT" sz="1100" b="0" u="none">
            <a:effectLst/>
          </a:endParaRPr>
        </a:p>
        <a:p>
          <a:endParaRPr lang="it-IT">
            <a:effectLst/>
          </a:endParaRPr>
        </a:p>
        <a:p>
          <a:endParaRPr lang="it-IT">
            <a:effectLst/>
          </a:endParaRPr>
        </a:p>
        <a:p>
          <a:endParaRPr lang="en-US" sz="1100" b="0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189698</xdr:colOff>
      <xdr:row>0</xdr:row>
      <xdr:rowOff>42423</xdr:rowOff>
    </xdr:from>
    <xdr:to>
      <xdr:col>3</xdr:col>
      <xdr:colOff>476845</xdr:colOff>
      <xdr:row>2</xdr:row>
      <xdr:rowOff>210417</xdr:rowOff>
    </xdr:to>
    <xdr:pic>
      <xdr:nvPicPr>
        <xdr:cNvPr id="4" name="Immagin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698" y="42423"/>
          <a:ext cx="2316175" cy="6578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9526</xdr:colOff>
      <xdr:row>14</xdr:row>
      <xdr:rowOff>0</xdr:rowOff>
    </xdr:from>
    <xdr:to>
      <xdr:col>5</xdr:col>
      <xdr:colOff>400051</xdr:colOff>
      <xdr:row>28</xdr:row>
      <xdr:rowOff>19050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6E21E30-7AC2-4FB9-80C5-9E79A2CD8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428625</xdr:colOff>
      <xdr:row>14</xdr:row>
      <xdr:rowOff>9525</xdr:rowOff>
    </xdr:from>
    <xdr:to>
      <xdr:col>10</xdr:col>
      <xdr:colOff>371475</xdr:colOff>
      <xdr:row>28</xdr:row>
      <xdr:rowOff>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8F86A6EE-41E7-4D4D-9DA8-366DBACBCC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28</xdr:row>
      <xdr:rowOff>0</xdr:rowOff>
    </xdr:from>
    <xdr:to>
      <xdr:col>5</xdr:col>
      <xdr:colOff>400050</xdr:colOff>
      <xdr:row>41</xdr:row>
      <xdr:rowOff>123825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6FC22E2F-14A3-4FDB-897E-F8C35BD6E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438150</xdr:colOff>
      <xdr:row>28</xdr:row>
      <xdr:rowOff>0</xdr:rowOff>
    </xdr:from>
    <xdr:to>
      <xdr:col>10</xdr:col>
      <xdr:colOff>371474</xdr:colOff>
      <xdr:row>41</xdr:row>
      <xdr:rowOff>133350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4571B1F-088B-4526-852F-577443A623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189698</xdr:colOff>
      <xdr:row>0</xdr:row>
      <xdr:rowOff>42423</xdr:rowOff>
    </xdr:from>
    <xdr:to>
      <xdr:col>3</xdr:col>
      <xdr:colOff>466039</xdr:colOff>
      <xdr:row>2</xdr:row>
      <xdr:rowOff>210417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698" y="42423"/>
          <a:ext cx="2312093" cy="6442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274864</xdr:colOff>
      <xdr:row>55</xdr:row>
      <xdr:rowOff>78921</xdr:rowOff>
    </xdr:from>
    <xdr:to>
      <xdr:col>37</xdr:col>
      <xdr:colOff>112938</xdr:colOff>
      <xdr:row>77</xdr:row>
      <xdr:rowOff>117701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347DA59-CE09-4BB8-8900-1B442D6B37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400051</xdr:colOff>
      <xdr:row>1</xdr:row>
      <xdr:rowOff>122465</xdr:rowOff>
    </xdr:from>
    <xdr:to>
      <xdr:col>38</xdr:col>
      <xdr:colOff>394608</xdr:colOff>
      <xdr:row>23</xdr:row>
      <xdr:rowOff>136072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F0ED686F-EE6B-4387-9E36-2288AD0321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148318</xdr:colOff>
      <xdr:row>1</xdr:row>
      <xdr:rowOff>17689</xdr:rowOff>
    </xdr:from>
    <xdr:to>
      <xdr:col>30</xdr:col>
      <xdr:colOff>220436</xdr:colOff>
      <xdr:row>23</xdr:row>
      <xdr:rowOff>51026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2B6563EE-4EA0-4051-8975-AAC214186E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530679</xdr:colOff>
      <xdr:row>55</xdr:row>
      <xdr:rowOff>23813</xdr:rowOff>
    </xdr:from>
    <xdr:to>
      <xdr:col>30</xdr:col>
      <xdr:colOff>299357</xdr:colOff>
      <xdr:row>77</xdr:row>
      <xdr:rowOff>86406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3DDC40B-4363-4E1E-8ADD-D38582EE2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28</xdr:col>
      <xdr:colOff>40821</xdr:colOff>
      <xdr:row>25</xdr:row>
      <xdr:rowOff>54430</xdr:rowOff>
    </xdr:from>
    <xdr:to>
      <xdr:col>38</xdr:col>
      <xdr:colOff>119247</xdr:colOff>
      <xdr:row>46</xdr:row>
      <xdr:rowOff>41381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3742A91B-9BE5-4AF9-AC3A-B0C6ACBF6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623971" y="4635955"/>
          <a:ext cx="6174426" cy="39969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6</xdr:row>
      <xdr:rowOff>190499</xdr:rowOff>
    </xdr:from>
    <xdr:to>
      <xdr:col>32</xdr:col>
      <xdr:colOff>265854</xdr:colOff>
      <xdr:row>51</xdr:row>
      <xdr:rowOff>28574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D2F5CA7-B168-4917-8C42-F2C6A68810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91450" y="1333499"/>
          <a:ext cx="13189918" cy="8410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</xdr:colOff>
      <xdr:row>0</xdr:row>
      <xdr:rowOff>0</xdr:rowOff>
    </xdr:from>
    <xdr:to>
      <xdr:col>28</xdr:col>
      <xdr:colOff>183193</xdr:colOff>
      <xdr:row>7</xdr:row>
      <xdr:rowOff>85724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5B33AA52-D8F3-46DC-8D0A-6E3E095C7E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68025" y="0"/>
          <a:ext cx="7469818" cy="1419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9525</xdr:colOff>
      <xdr:row>7</xdr:row>
      <xdr:rowOff>109536</xdr:rowOff>
    </xdr:from>
    <xdr:to>
      <xdr:col>28</xdr:col>
      <xdr:colOff>600075</xdr:colOff>
      <xdr:row>44</xdr:row>
      <xdr:rowOff>57149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4CB085A9-6AE1-4BF3-83BD-07B5C55624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585787</xdr:colOff>
      <xdr:row>21</xdr:row>
      <xdr:rowOff>138112</xdr:rowOff>
    </xdr:from>
    <xdr:to>
      <xdr:col>9</xdr:col>
      <xdr:colOff>252412</xdr:colOff>
      <xdr:row>36</xdr:row>
      <xdr:rowOff>23812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3A76A14B-2DD4-400E-A6D0-0F9DA3183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56</xdr:row>
      <xdr:rowOff>0</xdr:rowOff>
    </xdr:from>
    <xdr:to>
      <xdr:col>28</xdr:col>
      <xdr:colOff>590550</xdr:colOff>
      <xdr:row>92</xdr:row>
      <xdr:rowOff>138113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9E219970-B07A-4DB8-9FE6-02B3A40A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80893</xdr:colOff>
      <xdr:row>21</xdr:row>
      <xdr:rowOff>131693</xdr:rowOff>
    </xdr:from>
    <xdr:to>
      <xdr:col>25</xdr:col>
      <xdr:colOff>229830</xdr:colOff>
      <xdr:row>40</xdr:row>
      <xdr:rowOff>112024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5D7D7D45-B104-434C-9F09-B948CD1A9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35000"/>
        </a:blip>
        <a:stretch>
          <a:fillRect/>
        </a:stretch>
      </xdr:blipFill>
      <xdr:spPr>
        <a:xfrm>
          <a:off x="9834493" y="4484618"/>
          <a:ext cx="5406737" cy="3594789"/>
        </a:xfrm>
        <a:prstGeom prst="rect">
          <a:avLst/>
        </a:prstGeom>
      </xdr:spPr>
    </xdr:pic>
    <xdr:clientData/>
  </xdr:twoCellAnchor>
  <xdr:twoCellAnchor>
    <xdr:from>
      <xdr:col>17</xdr:col>
      <xdr:colOff>350354</xdr:colOff>
      <xdr:row>21</xdr:row>
      <xdr:rowOff>125344</xdr:rowOff>
    </xdr:from>
    <xdr:to>
      <xdr:col>25</xdr:col>
      <xdr:colOff>30093</xdr:colOff>
      <xdr:row>41</xdr:row>
      <xdr:rowOff>44174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C8CD6E6D-38B0-47AE-AE58-C043C4F226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30</xdr:col>
      <xdr:colOff>181602</xdr:colOff>
      <xdr:row>25</xdr:row>
      <xdr:rowOff>182216</xdr:rowOff>
    </xdr:from>
    <xdr:ext cx="5866473" cy="3611218"/>
    <xdr:pic>
      <xdr:nvPicPr>
        <xdr:cNvPr id="4" name="Immagine 3">
          <a:extLst>
            <a:ext uri="{FF2B5EF4-FFF2-40B4-BE49-F238E27FC236}">
              <a16:creationId xmlns:a16="http://schemas.microsoft.com/office/drawing/2014/main" id="{1FBD4DC4-0A93-497D-9775-DF5FB05B57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41002" y="5325716"/>
          <a:ext cx="5866473" cy="36112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20</xdr:col>
      <xdr:colOff>99391</xdr:colOff>
      <xdr:row>0</xdr:row>
      <xdr:rowOff>0</xdr:rowOff>
    </xdr:from>
    <xdr:ext cx="4721914" cy="1537712"/>
    <xdr:pic>
      <xdr:nvPicPr>
        <xdr:cNvPr id="5" name="Immagine 4">
          <a:extLst>
            <a:ext uri="{FF2B5EF4-FFF2-40B4-BE49-F238E27FC236}">
              <a16:creationId xmlns:a16="http://schemas.microsoft.com/office/drawing/2014/main" id="{33656C53-584A-4E39-BADA-2D1BD9A253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62791" y="0"/>
          <a:ext cx="4721914" cy="15377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10</xdr:col>
      <xdr:colOff>41410</xdr:colOff>
      <xdr:row>54</xdr:row>
      <xdr:rowOff>49695</xdr:rowOff>
    </xdr:from>
    <xdr:to>
      <xdr:col>18</xdr:col>
      <xdr:colOff>466583</xdr:colOff>
      <xdr:row>73</xdr:row>
      <xdr:rowOff>167308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447761F-C884-4870-AA66-81F69E4F7E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132521</xdr:colOff>
      <xdr:row>26</xdr:row>
      <xdr:rowOff>16565</xdr:rowOff>
    </xdr:from>
    <xdr:to>
      <xdr:col>39</xdr:col>
      <xdr:colOff>430695</xdr:colOff>
      <xdr:row>45</xdr:row>
      <xdr:rowOff>125895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AF540D4A-4930-4824-B6C2-BA6D09C3FF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152400</xdr:colOff>
      <xdr:row>2</xdr:row>
      <xdr:rowOff>47625</xdr:rowOff>
    </xdr:from>
    <xdr:to>
      <xdr:col>30</xdr:col>
      <xdr:colOff>28576</xdr:colOff>
      <xdr:row>29</xdr:row>
      <xdr:rowOff>142875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A1201953-270E-4CBA-B1CA-F7B8D5DAE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428625"/>
          <a:ext cx="9629776" cy="523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381000</xdr:colOff>
      <xdr:row>1</xdr:row>
      <xdr:rowOff>109536</xdr:rowOff>
    </xdr:from>
    <xdr:to>
      <xdr:col>30</xdr:col>
      <xdr:colOff>19050</xdr:colOff>
      <xdr:row>29</xdr:row>
      <xdr:rowOff>114299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62A9452-248A-4CC6-A42D-596CBB46C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30</xdr:row>
      <xdr:rowOff>0</xdr:rowOff>
    </xdr:from>
    <xdr:to>
      <xdr:col>29</xdr:col>
      <xdr:colOff>243168</xdr:colOff>
      <xdr:row>58</xdr:row>
      <xdr:rowOff>4763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CC9FE093-7918-4C21-BA23-E467F615EC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9</xdr:col>
      <xdr:colOff>492229</xdr:colOff>
      <xdr:row>18</xdr:row>
      <xdr:rowOff>104775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7724149D-AAC2-47AD-9AEA-FD5F8F0859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5369029" cy="3343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</xdr:row>
      <xdr:rowOff>0</xdr:rowOff>
    </xdr:from>
    <xdr:to>
      <xdr:col>18</xdr:col>
      <xdr:colOff>28575</xdr:colOff>
      <xdr:row>35</xdr:row>
      <xdr:rowOff>9525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ACFD8CFE-EB83-4825-B8A1-A232505D01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0" y="190500"/>
          <a:ext cx="4295775" cy="6486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97</xdr:row>
      <xdr:rowOff>28575</xdr:rowOff>
    </xdr:from>
    <xdr:to>
      <xdr:col>4</xdr:col>
      <xdr:colOff>1544026</xdr:colOff>
      <xdr:row>140</xdr:row>
      <xdr:rowOff>47625</xdr:rowOff>
    </xdr:to>
    <xdr:pic>
      <xdr:nvPicPr>
        <xdr:cNvPr id="13" name="Immagin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77525" y="16144875"/>
          <a:ext cx="6124575" cy="698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FWENVI\WWT%20Area\1-BH-0267A%20-%20prolungamento%20studio%20di%20fattibilit&#224;%20KRC\09%20Design%20calculations\calcoli%20finali\pfd%20nuovo%20impianto%20-%20falda%20+%20processo%20con%20biologic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-SRVFILE\TMP-SpA\TM_P\OH2\5%20Design\8%20Calculation\Bearing%20Lif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tmilfs002\b1h00\PROJECTS\1-BH-0389A%20KJO-RWTF2\09%20Design%20calculations\Linee\Linee%2010_12_16%20sketch%20Bottazzi\Design%20flowrate\line%2012%20pollici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0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fwfsc003/1cd1213a/ZoneExchange/Equipment%20list/front%20pag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\Backup%2029-09-06\Seam%201-025%20Politecnico%20Merone\09.0%20-%20Design%20Calculation\Linea%20fanghi\Progettazione%20impianto%20civile\progetto%20impianto%20di%20depurazione%20civil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DIP110\APPLICAT\pumps\PUMP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-SRVFILE\TMP-SpA\Rete\Svp\Borghetti\11%20API\01%20OH2\3%20Pump%20selector\Data%20base\REV\XLS\1%20Curve\Nq15%20f=0,935%20test13%20300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c medie inquinanti "/>
      <sheetName val="Schema a blocchi"/>
      <sheetName val="calcolo servizi"/>
      <sheetName val="API"/>
      <sheetName val="DAF"/>
      <sheetName val="Caldensitàmiscela"/>
      <sheetName val="Basi di progetto biologico"/>
      <sheetName val="Biologico tradizionale"/>
      <sheetName val="Calcolo ossigeno"/>
      <sheetName val="Sedimentazione Secondaria"/>
      <sheetName val="Valutazione fanghi prodotti"/>
      <sheetName val="Ispessitore"/>
      <sheetName val="Ricalcolo acqua in ingresso API"/>
      <sheetName val="Calcolo apparecchiature"/>
      <sheetName val="Compressori"/>
      <sheetName val="CPI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earing Life"/>
      <sheetName val="Bearings"/>
    </sheet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m RPI"/>
      <sheetName val="From Surge Tank"/>
      <sheetName val="From CPI"/>
    </sheetNames>
    <sheetDataSet>
      <sheetData sheetId="0"/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 "/>
      <sheetName val="Ra+losses_set1"/>
    </sheetNames>
    <sheetDataSet>
      <sheetData sheetId="0" refreshError="1"/>
      <sheetData sheetId="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rev1"/>
      <sheetName val="listes"/>
    </sheetNames>
    <sheetDataSet>
      <sheetData sheetId="0" refreshError="1"/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 di progetto"/>
      <sheetName val="Canaletta in ingresso"/>
      <sheetName val="Griglia grossolana"/>
      <sheetName val="Dissabbiatore"/>
      <sheetName val="Vasca di compenso"/>
      <sheetName val="Sedimentazione Primaria"/>
      <sheetName val="Biologico tradizionale"/>
      <sheetName val="Nitro"/>
      <sheetName val="Denitro"/>
      <sheetName val=" nitro denitro (T perm) e dim."/>
      <sheetName val="Sedimentazione Secondaria"/>
      <sheetName val="ossigeno in nitro"/>
      <sheetName val="Filtrazione"/>
      <sheetName val="Disinfezione"/>
      <sheetName val="Valutazione fanghi prodotti"/>
      <sheetName val="vasca di miscelazione fanghi"/>
      <sheetName val="Ispessitore"/>
      <sheetName val="Digestione Anaerobica"/>
      <sheetName val="Dimensionamento dig. anaer."/>
      <sheetName val="Filtropressatura"/>
      <sheetName val="Gasometro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MP CALCULATION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ulo2"/>
      <sheetName val="Utility"/>
      <sheetName val="Foglio1"/>
      <sheetName val="Modulo_Dati_1"/>
      <sheetName val="Modulo_Dati"/>
    </sheet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B151D-5899-4A99-BDD0-9FBFC2863881}">
  <sheetPr>
    <tabColor rgb="FF92D050"/>
  </sheetPr>
  <dimension ref="A1:AD48"/>
  <sheetViews>
    <sheetView tabSelected="1" topLeftCell="A14" zoomScaleNormal="100" zoomScaleSheetLayoutView="100" workbookViewId="0">
      <selection activeCell="A8" sqref="A8:AD39"/>
    </sheetView>
  </sheetViews>
  <sheetFormatPr defaultRowHeight="12" x14ac:dyDescent="0.2"/>
  <cols>
    <col min="1" max="30" width="3.28515625" style="21" customWidth="1"/>
    <col min="31" max="256" width="9.140625" style="21"/>
    <col min="257" max="286" width="3.28515625" style="21" customWidth="1"/>
    <col min="287" max="512" width="9.140625" style="21"/>
    <col min="513" max="542" width="3.28515625" style="21" customWidth="1"/>
    <col min="543" max="768" width="9.140625" style="21"/>
    <col min="769" max="798" width="3.28515625" style="21" customWidth="1"/>
    <col min="799" max="1024" width="9.140625" style="21"/>
    <col min="1025" max="1054" width="3.28515625" style="21" customWidth="1"/>
    <col min="1055" max="1280" width="9.140625" style="21"/>
    <col min="1281" max="1310" width="3.28515625" style="21" customWidth="1"/>
    <col min="1311" max="1536" width="9.140625" style="21"/>
    <col min="1537" max="1566" width="3.28515625" style="21" customWidth="1"/>
    <col min="1567" max="1792" width="9.140625" style="21"/>
    <col min="1793" max="1822" width="3.28515625" style="21" customWidth="1"/>
    <col min="1823" max="2048" width="9.140625" style="21"/>
    <col min="2049" max="2078" width="3.28515625" style="21" customWidth="1"/>
    <col min="2079" max="2304" width="9.140625" style="21"/>
    <col min="2305" max="2334" width="3.28515625" style="21" customWidth="1"/>
    <col min="2335" max="2560" width="9.140625" style="21"/>
    <col min="2561" max="2590" width="3.28515625" style="21" customWidth="1"/>
    <col min="2591" max="2816" width="9.140625" style="21"/>
    <col min="2817" max="2846" width="3.28515625" style="21" customWidth="1"/>
    <col min="2847" max="3072" width="9.140625" style="21"/>
    <col min="3073" max="3102" width="3.28515625" style="21" customWidth="1"/>
    <col min="3103" max="3328" width="9.140625" style="21"/>
    <col min="3329" max="3358" width="3.28515625" style="21" customWidth="1"/>
    <col min="3359" max="3584" width="9.140625" style="21"/>
    <col min="3585" max="3614" width="3.28515625" style="21" customWidth="1"/>
    <col min="3615" max="3840" width="9.140625" style="21"/>
    <col min="3841" max="3870" width="3.28515625" style="21" customWidth="1"/>
    <col min="3871" max="4096" width="9.140625" style="21"/>
    <col min="4097" max="4126" width="3.28515625" style="21" customWidth="1"/>
    <col min="4127" max="4352" width="9.140625" style="21"/>
    <col min="4353" max="4382" width="3.28515625" style="21" customWidth="1"/>
    <col min="4383" max="4608" width="9.140625" style="21"/>
    <col min="4609" max="4638" width="3.28515625" style="21" customWidth="1"/>
    <col min="4639" max="4864" width="9.140625" style="21"/>
    <col min="4865" max="4894" width="3.28515625" style="21" customWidth="1"/>
    <col min="4895" max="5120" width="9.140625" style="21"/>
    <col min="5121" max="5150" width="3.28515625" style="21" customWidth="1"/>
    <col min="5151" max="5376" width="9.140625" style="21"/>
    <col min="5377" max="5406" width="3.28515625" style="21" customWidth="1"/>
    <col min="5407" max="5632" width="9.140625" style="21"/>
    <col min="5633" max="5662" width="3.28515625" style="21" customWidth="1"/>
    <col min="5663" max="5888" width="9.140625" style="21"/>
    <col min="5889" max="5918" width="3.28515625" style="21" customWidth="1"/>
    <col min="5919" max="6144" width="9.140625" style="21"/>
    <col min="6145" max="6174" width="3.28515625" style="21" customWidth="1"/>
    <col min="6175" max="6400" width="9.140625" style="21"/>
    <col min="6401" max="6430" width="3.28515625" style="21" customWidth="1"/>
    <col min="6431" max="6656" width="9.140625" style="21"/>
    <col min="6657" max="6686" width="3.28515625" style="21" customWidth="1"/>
    <col min="6687" max="6912" width="9.140625" style="21"/>
    <col min="6913" max="6942" width="3.28515625" style="21" customWidth="1"/>
    <col min="6943" max="7168" width="9.140625" style="21"/>
    <col min="7169" max="7198" width="3.28515625" style="21" customWidth="1"/>
    <col min="7199" max="7424" width="9.140625" style="21"/>
    <col min="7425" max="7454" width="3.28515625" style="21" customWidth="1"/>
    <col min="7455" max="7680" width="9.140625" style="21"/>
    <col min="7681" max="7710" width="3.28515625" style="21" customWidth="1"/>
    <col min="7711" max="7936" width="9.140625" style="21"/>
    <col min="7937" max="7966" width="3.28515625" style="21" customWidth="1"/>
    <col min="7967" max="8192" width="9.140625" style="21"/>
    <col min="8193" max="8222" width="3.28515625" style="21" customWidth="1"/>
    <col min="8223" max="8448" width="9.140625" style="21"/>
    <col min="8449" max="8478" width="3.28515625" style="21" customWidth="1"/>
    <col min="8479" max="8704" width="9.140625" style="21"/>
    <col min="8705" max="8734" width="3.28515625" style="21" customWidth="1"/>
    <col min="8735" max="8960" width="9.140625" style="21"/>
    <col min="8961" max="8990" width="3.28515625" style="21" customWidth="1"/>
    <col min="8991" max="9216" width="9.140625" style="21"/>
    <col min="9217" max="9246" width="3.28515625" style="21" customWidth="1"/>
    <col min="9247" max="9472" width="9.140625" style="21"/>
    <col min="9473" max="9502" width="3.28515625" style="21" customWidth="1"/>
    <col min="9503" max="9728" width="9.140625" style="21"/>
    <col min="9729" max="9758" width="3.28515625" style="21" customWidth="1"/>
    <col min="9759" max="9984" width="9.140625" style="21"/>
    <col min="9985" max="10014" width="3.28515625" style="21" customWidth="1"/>
    <col min="10015" max="10240" width="9.140625" style="21"/>
    <col min="10241" max="10270" width="3.28515625" style="21" customWidth="1"/>
    <col min="10271" max="10496" width="9.140625" style="21"/>
    <col min="10497" max="10526" width="3.28515625" style="21" customWidth="1"/>
    <col min="10527" max="10752" width="9.140625" style="21"/>
    <col min="10753" max="10782" width="3.28515625" style="21" customWidth="1"/>
    <col min="10783" max="11008" width="9.140625" style="21"/>
    <col min="11009" max="11038" width="3.28515625" style="21" customWidth="1"/>
    <col min="11039" max="11264" width="9.140625" style="21"/>
    <col min="11265" max="11294" width="3.28515625" style="21" customWidth="1"/>
    <col min="11295" max="11520" width="9.140625" style="21"/>
    <col min="11521" max="11550" width="3.28515625" style="21" customWidth="1"/>
    <col min="11551" max="11776" width="9.140625" style="21"/>
    <col min="11777" max="11806" width="3.28515625" style="21" customWidth="1"/>
    <col min="11807" max="12032" width="9.140625" style="21"/>
    <col min="12033" max="12062" width="3.28515625" style="21" customWidth="1"/>
    <col min="12063" max="12288" width="9.140625" style="21"/>
    <col min="12289" max="12318" width="3.28515625" style="21" customWidth="1"/>
    <col min="12319" max="12544" width="9.140625" style="21"/>
    <col min="12545" max="12574" width="3.28515625" style="21" customWidth="1"/>
    <col min="12575" max="12800" width="9.140625" style="21"/>
    <col min="12801" max="12830" width="3.28515625" style="21" customWidth="1"/>
    <col min="12831" max="13056" width="9.140625" style="21"/>
    <col min="13057" max="13086" width="3.28515625" style="21" customWidth="1"/>
    <col min="13087" max="13312" width="9.140625" style="21"/>
    <col min="13313" max="13342" width="3.28515625" style="21" customWidth="1"/>
    <col min="13343" max="13568" width="9.140625" style="21"/>
    <col min="13569" max="13598" width="3.28515625" style="21" customWidth="1"/>
    <col min="13599" max="13824" width="9.140625" style="21"/>
    <col min="13825" max="13854" width="3.28515625" style="21" customWidth="1"/>
    <col min="13855" max="14080" width="9.140625" style="21"/>
    <col min="14081" max="14110" width="3.28515625" style="21" customWidth="1"/>
    <col min="14111" max="14336" width="9.140625" style="21"/>
    <col min="14337" max="14366" width="3.28515625" style="21" customWidth="1"/>
    <col min="14367" max="14592" width="9.140625" style="21"/>
    <col min="14593" max="14622" width="3.28515625" style="21" customWidth="1"/>
    <col min="14623" max="14848" width="9.140625" style="21"/>
    <col min="14849" max="14878" width="3.28515625" style="21" customWidth="1"/>
    <col min="14879" max="15104" width="9.140625" style="21"/>
    <col min="15105" max="15134" width="3.28515625" style="21" customWidth="1"/>
    <col min="15135" max="15360" width="9.140625" style="21"/>
    <col min="15361" max="15390" width="3.28515625" style="21" customWidth="1"/>
    <col min="15391" max="15616" width="9.140625" style="21"/>
    <col min="15617" max="15646" width="3.28515625" style="21" customWidth="1"/>
    <col min="15647" max="15872" width="9.140625" style="21"/>
    <col min="15873" max="15902" width="3.28515625" style="21" customWidth="1"/>
    <col min="15903" max="16128" width="9.140625" style="21"/>
    <col min="16129" max="16158" width="3.28515625" style="21" customWidth="1"/>
    <col min="16159" max="16384" width="9.140625" style="21"/>
  </cols>
  <sheetData>
    <row r="1" spans="1:30" ht="15" customHeight="1" x14ac:dyDescent="0.2">
      <c r="A1" s="18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20"/>
    </row>
    <row r="2" spans="1:30" ht="15" customHeight="1" x14ac:dyDescent="0.2">
      <c r="A2" s="22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4"/>
    </row>
    <row r="3" spans="1:30" ht="15" customHeight="1" x14ac:dyDescent="0.2">
      <c r="A3" s="22"/>
      <c r="B3" s="23"/>
      <c r="C3" s="23"/>
      <c r="D3" s="23"/>
      <c r="E3" s="23"/>
      <c r="F3" s="23"/>
      <c r="G3" s="23"/>
      <c r="H3" s="25"/>
      <c r="I3" s="25"/>
      <c r="J3" s="25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7"/>
      <c r="X3" s="27"/>
      <c r="Y3" s="27"/>
      <c r="Z3" s="27"/>
      <c r="AA3" s="27"/>
      <c r="AB3" s="27"/>
      <c r="AC3" s="27"/>
      <c r="AD3" s="28"/>
    </row>
    <row r="4" spans="1:30" ht="15" customHeight="1" x14ac:dyDescent="0.2">
      <c r="A4" s="22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4"/>
    </row>
    <row r="5" spans="1:30" ht="15" customHeight="1" x14ac:dyDescent="0.2">
      <c r="A5" s="22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4"/>
    </row>
    <row r="6" spans="1:30" ht="15" customHeight="1" x14ac:dyDescent="0.2">
      <c r="A6" s="22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4"/>
    </row>
    <row r="7" spans="1:30" ht="15" customHeight="1" thickBot="1" x14ac:dyDescent="0.25">
      <c r="A7" s="29"/>
      <c r="B7" s="30"/>
      <c r="C7" s="30"/>
      <c r="D7" s="30"/>
      <c r="E7" s="30"/>
      <c r="F7" s="31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30"/>
      <c r="AB7" s="30"/>
      <c r="AC7" s="30"/>
      <c r="AD7" s="32"/>
    </row>
    <row r="8" spans="1:30" ht="15" customHeight="1" x14ac:dyDescent="0.2">
      <c r="A8" s="114" t="s">
        <v>138</v>
      </c>
      <c r="B8" s="115"/>
      <c r="C8" s="115"/>
      <c r="D8" s="115"/>
      <c r="E8" s="115"/>
      <c r="F8" s="115"/>
      <c r="G8" s="115"/>
      <c r="H8" s="115"/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6"/>
    </row>
    <row r="9" spans="1:30" ht="15" customHeight="1" x14ac:dyDescent="0.2">
      <c r="A9" s="117"/>
      <c r="B9" s="118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9"/>
    </row>
    <row r="10" spans="1:30" ht="15" customHeight="1" x14ac:dyDescent="0.2">
      <c r="A10" s="117"/>
      <c r="B10" s="118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9"/>
    </row>
    <row r="11" spans="1:30" ht="15" customHeight="1" x14ac:dyDescent="0.2">
      <c r="A11" s="117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9"/>
    </row>
    <row r="12" spans="1:30" ht="15" customHeight="1" x14ac:dyDescent="0.2">
      <c r="A12" s="117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9"/>
    </row>
    <row r="13" spans="1:30" ht="15" customHeight="1" x14ac:dyDescent="0.2">
      <c r="A13" s="117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9"/>
    </row>
    <row r="14" spans="1:30" ht="15" customHeight="1" x14ac:dyDescent="0.2">
      <c r="A14" s="117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9"/>
    </row>
    <row r="15" spans="1:30" ht="15" customHeight="1" x14ac:dyDescent="0.2">
      <c r="A15" s="117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9"/>
    </row>
    <row r="16" spans="1:30" ht="15" customHeight="1" x14ac:dyDescent="0.2">
      <c r="A16" s="117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9"/>
    </row>
    <row r="17" spans="1:30" ht="15" customHeight="1" x14ac:dyDescent="0.2">
      <c r="A17" s="117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9"/>
    </row>
    <row r="18" spans="1:30" ht="15" customHeight="1" x14ac:dyDescent="0.2">
      <c r="A18" s="117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9"/>
    </row>
    <row r="19" spans="1:30" ht="15" customHeight="1" x14ac:dyDescent="0.2">
      <c r="A19" s="117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9"/>
    </row>
    <row r="20" spans="1:30" ht="15" customHeight="1" x14ac:dyDescent="0.2">
      <c r="A20" s="117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9"/>
    </row>
    <row r="21" spans="1:30" ht="15" customHeight="1" x14ac:dyDescent="0.2">
      <c r="A21" s="117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9"/>
    </row>
    <row r="22" spans="1:30" ht="15" customHeight="1" x14ac:dyDescent="0.2">
      <c r="A22" s="117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9"/>
    </row>
    <row r="23" spans="1:30" ht="15" customHeight="1" x14ac:dyDescent="0.2">
      <c r="A23" s="117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9"/>
    </row>
    <row r="24" spans="1:30" ht="15" customHeight="1" x14ac:dyDescent="0.2">
      <c r="A24" s="117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9"/>
    </row>
    <row r="25" spans="1:30" ht="15" customHeight="1" x14ac:dyDescent="0.2">
      <c r="A25" s="117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9"/>
    </row>
    <row r="26" spans="1:30" ht="15" customHeight="1" x14ac:dyDescent="0.2">
      <c r="A26" s="117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9"/>
    </row>
    <row r="27" spans="1:30" ht="15" customHeight="1" x14ac:dyDescent="0.2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9"/>
    </row>
    <row r="28" spans="1:30" ht="15" customHeight="1" x14ac:dyDescent="0.2">
      <c r="A28" s="117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9"/>
    </row>
    <row r="29" spans="1:30" ht="15" customHeight="1" x14ac:dyDescent="0.2">
      <c r="A29" s="117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9"/>
    </row>
    <row r="30" spans="1:30" ht="15" customHeight="1" x14ac:dyDescent="0.2">
      <c r="A30" s="117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9"/>
    </row>
    <row r="31" spans="1:30" ht="15" customHeight="1" x14ac:dyDescent="0.2">
      <c r="A31" s="117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9"/>
    </row>
    <row r="32" spans="1:30" ht="15" customHeight="1" x14ac:dyDescent="0.2">
      <c r="A32" s="117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9"/>
    </row>
    <row r="33" spans="1:30" ht="15" customHeight="1" x14ac:dyDescent="0.2">
      <c r="A33" s="117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9"/>
    </row>
    <row r="34" spans="1:30" ht="15" customHeight="1" x14ac:dyDescent="0.2">
      <c r="A34" s="117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9"/>
    </row>
    <row r="35" spans="1:30" ht="15" customHeight="1" x14ac:dyDescent="0.2">
      <c r="A35" s="117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9"/>
    </row>
    <row r="36" spans="1:30" ht="15" customHeight="1" x14ac:dyDescent="0.2">
      <c r="A36" s="117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9"/>
    </row>
    <row r="37" spans="1:30" ht="15" customHeight="1" x14ac:dyDescent="0.2">
      <c r="A37" s="117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9"/>
    </row>
    <row r="38" spans="1:30" ht="15" customHeight="1" x14ac:dyDescent="0.2">
      <c r="A38" s="117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9"/>
    </row>
    <row r="39" spans="1:30" ht="15" customHeight="1" thickBot="1" x14ac:dyDescent="0.25">
      <c r="A39" s="120"/>
      <c r="B39" s="121"/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2"/>
    </row>
    <row r="40" spans="1:30" ht="30" customHeight="1" x14ac:dyDescent="0.2">
      <c r="A40" s="123"/>
      <c r="B40" s="124"/>
      <c r="C40" s="125"/>
      <c r="D40" s="126"/>
      <c r="E40" s="126"/>
      <c r="F40" s="124"/>
      <c r="G40" s="125"/>
      <c r="H40" s="126"/>
      <c r="I40" s="126"/>
      <c r="J40" s="126"/>
      <c r="K40" s="126"/>
      <c r="L40" s="126"/>
      <c r="M40" s="126"/>
      <c r="N40" s="126"/>
      <c r="O40" s="126"/>
      <c r="P40" s="125"/>
      <c r="Q40" s="126"/>
      <c r="R40" s="126"/>
      <c r="S40" s="126"/>
      <c r="T40" s="124"/>
      <c r="U40" s="125"/>
      <c r="V40" s="126"/>
      <c r="W40" s="126"/>
      <c r="X40" s="126"/>
      <c r="Y40" s="124"/>
      <c r="Z40" s="125"/>
      <c r="AA40" s="126"/>
      <c r="AB40" s="126"/>
      <c r="AC40" s="126"/>
      <c r="AD40" s="127"/>
    </row>
    <row r="41" spans="1:30" ht="30" customHeight="1" x14ac:dyDescent="0.2">
      <c r="A41" s="131"/>
      <c r="B41" s="132"/>
      <c r="C41" s="128"/>
      <c r="D41" s="129"/>
      <c r="E41" s="129"/>
      <c r="F41" s="132"/>
      <c r="G41" s="128"/>
      <c r="H41" s="129"/>
      <c r="I41" s="129"/>
      <c r="J41" s="129"/>
      <c r="K41" s="129"/>
      <c r="L41" s="129"/>
      <c r="M41" s="129"/>
      <c r="N41" s="129"/>
      <c r="O41" s="129"/>
      <c r="P41" s="128"/>
      <c r="Q41" s="129"/>
      <c r="R41" s="129"/>
      <c r="S41" s="129"/>
      <c r="T41" s="132"/>
      <c r="U41" s="128"/>
      <c r="V41" s="129"/>
      <c r="W41" s="129"/>
      <c r="X41" s="129"/>
      <c r="Y41" s="132"/>
      <c r="Z41" s="128"/>
      <c r="AA41" s="129"/>
      <c r="AB41" s="129"/>
      <c r="AC41" s="129"/>
      <c r="AD41" s="130"/>
    </row>
    <row r="42" spans="1:30" ht="30" customHeight="1" x14ac:dyDescent="0.2">
      <c r="A42" s="131"/>
      <c r="B42" s="132"/>
      <c r="C42" s="128"/>
      <c r="D42" s="129"/>
      <c r="E42" s="129"/>
      <c r="F42" s="132"/>
      <c r="G42" s="128"/>
      <c r="H42" s="129"/>
      <c r="I42" s="129"/>
      <c r="J42" s="129"/>
      <c r="K42" s="129"/>
      <c r="L42" s="129"/>
      <c r="M42" s="129"/>
      <c r="N42" s="129"/>
      <c r="O42" s="129"/>
      <c r="P42" s="128"/>
      <c r="Q42" s="129"/>
      <c r="R42" s="129"/>
      <c r="S42" s="129"/>
      <c r="T42" s="132"/>
      <c r="U42" s="128"/>
      <c r="V42" s="129"/>
      <c r="W42" s="129"/>
      <c r="X42" s="129"/>
      <c r="Y42" s="132"/>
      <c r="Z42" s="128"/>
      <c r="AA42" s="129"/>
      <c r="AB42" s="129"/>
      <c r="AC42" s="129"/>
      <c r="AD42" s="130"/>
    </row>
    <row r="43" spans="1:30" ht="30" customHeight="1" x14ac:dyDescent="0.2">
      <c r="A43" s="131"/>
      <c r="B43" s="132"/>
      <c r="C43" s="128"/>
      <c r="D43" s="129"/>
      <c r="E43" s="129"/>
      <c r="F43" s="132"/>
      <c r="G43" s="128"/>
      <c r="H43" s="129"/>
      <c r="I43" s="129"/>
      <c r="J43" s="129"/>
      <c r="K43" s="129"/>
      <c r="L43" s="129"/>
      <c r="M43" s="129"/>
      <c r="N43" s="129"/>
      <c r="O43" s="129"/>
      <c r="P43" s="128"/>
      <c r="Q43" s="129"/>
      <c r="R43" s="129"/>
      <c r="S43" s="129"/>
      <c r="T43" s="132"/>
      <c r="U43" s="128"/>
      <c r="V43" s="129"/>
      <c r="W43" s="129"/>
      <c r="X43" s="129"/>
      <c r="Y43" s="132"/>
      <c r="Z43" s="128"/>
      <c r="AA43" s="129"/>
      <c r="AB43" s="129"/>
      <c r="AC43" s="129"/>
      <c r="AD43" s="130"/>
    </row>
    <row r="44" spans="1:30" ht="30" customHeight="1" x14ac:dyDescent="0.2">
      <c r="A44" s="131"/>
      <c r="B44" s="132"/>
      <c r="C44" s="128"/>
      <c r="D44" s="129"/>
      <c r="E44" s="129"/>
      <c r="F44" s="132"/>
      <c r="G44" s="128"/>
      <c r="H44" s="129"/>
      <c r="I44" s="129"/>
      <c r="J44" s="129"/>
      <c r="K44" s="129"/>
      <c r="L44" s="129"/>
      <c r="M44" s="129"/>
      <c r="N44" s="129"/>
      <c r="O44" s="129"/>
      <c r="P44" s="128"/>
      <c r="Q44" s="129"/>
      <c r="R44" s="129"/>
      <c r="S44" s="129"/>
      <c r="T44" s="132"/>
      <c r="U44" s="128"/>
      <c r="V44" s="129"/>
      <c r="W44" s="129"/>
      <c r="X44" s="129"/>
      <c r="Y44" s="132"/>
      <c r="Z44" s="128"/>
      <c r="AA44" s="129"/>
      <c r="AB44" s="129"/>
      <c r="AC44" s="129"/>
      <c r="AD44" s="130"/>
    </row>
    <row r="45" spans="1:30" ht="30" customHeight="1" x14ac:dyDescent="0.2">
      <c r="A45" s="131"/>
      <c r="B45" s="132"/>
      <c r="C45" s="128"/>
      <c r="D45" s="129"/>
      <c r="E45" s="129"/>
      <c r="F45" s="132"/>
      <c r="G45" s="128"/>
      <c r="H45" s="129"/>
      <c r="I45" s="129"/>
      <c r="J45" s="129"/>
      <c r="K45" s="129"/>
      <c r="L45" s="129"/>
      <c r="M45" s="129"/>
      <c r="N45" s="129"/>
      <c r="O45" s="129"/>
      <c r="P45" s="128"/>
      <c r="Q45" s="129"/>
      <c r="R45" s="129"/>
      <c r="S45" s="129"/>
      <c r="T45" s="132"/>
      <c r="U45" s="128"/>
      <c r="V45" s="129"/>
      <c r="W45" s="129"/>
      <c r="X45" s="129"/>
      <c r="Y45" s="132"/>
      <c r="Z45" s="128"/>
      <c r="AA45" s="129"/>
      <c r="AB45" s="129"/>
      <c r="AC45" s="129"/>
      <c r="AD45" s="130"/>
    </row>
    <row r="46" spans="1:30" ht="30" customHeight="1" x14ac:dyDescent="0.2">
      <c r="A46" s="136">
        <v>0</v>
      </c>
      <c r="B46" s="137"/>
      <c r="C46" s="138"/>
      <c r="D46" s="139"/>
      <c r="E46" s="139"/>
      <c r="F46" s="140"/>
      <c r="G46" s="141" t="s">
        <v>0</v>
      </c>
      <c r="H46" s="142"/>
      <c r="I46" s="142"/>
      <c r="J46" s="142"/>
      <c r="K46" s="142"/>
      <c r="L46" s="142"/>
      <c r="M46" s="142"/>
      <c r="N46" s="142"/>
      <c r="O46" s="142"/>
      <c r="P46" s="133" t="s">
        <v>1</v>
      </c>
      <c r="Q46" s="134"/>
      <c r="R46" s="134"/>
      <c r="S46" s="134"/>
      <c r="T46" s="143"/>
      <c r="U46" s="133" t="s">
        <v>2</v>
      </c>
      <c r="V46" s="134"/>
      <c r="W46" s="134"/>
      <c r="X46" s="134"/>
      <c r="Y46" s="143"/>
      <c r="Z46" s="133" t="s">
        <v>3</v>
      </c>
      <c r="AA46" s="134"/>
      <c r="AB46" s="134"/>
      <c r="AC46" s="134"/>
      <c r="AD46" s="135"/>
    </row>
    <row r="47" spans="1:30" ht="15" customHeight="1" thickBot="1" x14ac:dyDescent="0.25">
      <c r="A47" s="147" t="s">
        <v>4</v>
      </c>
      <c r="B47" s="148"/>
      <c r="C47" s="149" t="s">
        <v>5</v>
      </c>
      <c r="D47" s="150"/>
      <c r="E47" s="150"/>
      <c r="F47" s="151"/>
      <c r="G47" s="149" t="s">
        <v>6</v>
      </c>
      <c r="H47" s="150"/>
      <c r="I47" s="150"/>
      <c r="J47" s="150"/>
      <c r="K47" s="150"/>
      <c r="L47" s="150"/>
      <c r="M47" s="150"/>
      <c r="N47" s="150"/>
      <c r="O47" s="150"/>
      <c r="P47" s="149" t="s">
        <v>7</v>
      </c>
      <c r="Q47" s="150"/>
      <c r="R47" s="150"/>
      <c r="S47" s="150"/>
      <c r="T47" s="151"/>
      <c r="U47" s="149" t="s">
        <v>8</v>
      </c>
      <c r="V47" s="150"/>
      <c r="W47" s="150"/>
      <c r="X47" s="150"/>
      <c r="Y47" s="150"/>
      <c r="Z47" s="149" t="s">
        <v>9</v>
      </c>
      <c r="AA47" s="150"/>
      <c r="AB47" s="150"/>
      <c r="AC47" s="150"/>
      <c r="AD47" s="152"/>
    </row>
    <row r="48" spans="1:30" ht="15" customHeight="1" thickBot="1" x14ac:dyDescent="0.25">
      <c r="A48" s="144" t="s">
        <v>137</v>
      </c>
      <c r="B48" s="145"/>
      <c r="C48" s="145"/>
      <c r="D48" s="145"/>
      <c r="E48" s="145"/>
      <c r="F48" s="145"/>
      <c r="G48" s="145"/>
      <c r="H48" s="145"/>
      <c r="I48" s="145"/>
      <c r="J48" s="145"/>
      <c r="K48" s="145"/>
      <c r="L48" s="145"/>
      <c r="M48" s="145"/>
      <c r="N48" s="145"/>
      <c r="O48" s="145"/>
      <c r="P48" s="145"/>
      <c r="Q48" s="145"/>
      <c r="R48" s="145"/>
      <c r="S48" s="145"/>
      <c r="T48" s="145"/>
      <c r="U48" s="145"/>
      <c r="V48" s="145"/>
      <c r="W48" s="145"/>
      <c r="X48" s="145"/>
      <c r="Y48" s="145"/>
      <c r="Z48" s="145"/>
      <c r="AA48" s="145"/>
      <c r="AB48" s="145"/>
      <c r="AC48" s="145"/>
      <c r="AD48" s="146"/>
    </row>
  </sheetData>
  <mergeCells count="50">
    <mergeCell ref="A48:AD48"/>
    <mergeCell ref="A47:B47"/>
    <mergeCell ref="C47:F47"/>
    <mergeCell ref="G47:O47"/>
    <mergeCell ref="P47:T47"/>
    <mergeCell ref="U47:Y47"/>
    <mergeCell ref="Z47:AD47"/>
    <mergeCell ref="Z46:AD46"/>
    <mergeCell ref="A45:B45"/>
    <mergeCell ref="C45:F45"/>
    <mergeCell ref="G45:O45"/>
    <mergeCell ref="P45:T45"/>
    <mergeCell ref="U45:Y45"/>
    <mergeCell ref="Z45:AD45"/>
    <mergeCell ref="A46:B46"/>
    <mergeCell ref="C46:F46"/>
    <mergeCell ref="G46:O46"/>
    <mergeCell ref="P46:T46"/>
    <mergeCell ref="U46:Y46"/>
    <mergeCell ref="Z44:AD44"/>
    <mergeCell ref="A43:B43"/>
    <mergeCell ref="C43:F43"/>
    <mergeCell ref="G43:O43"/>
    <mergeCell ref="P43:T43"/>
    <mergeCell ref="U43:Y43"/>
    <mergeCell ref="Z43:AD43"/>
    <mergeCell ref="A44:B44"/>
    <mergeCell ref="C44:F44"/>
    <mergeCell ref="G44:O44"/>
    <mergeCell ref="P44:T44"/>
    <mergeCell ref="U44:Y44"/>
    <mergeCell ref="Z42:AD42"/>
    <mergeCell ref="A41:B41"/>
    <mergeCell ref="C41:F41"/>
    <mergeCell ref="G41:O41"/>
    <mergeCell ref="P41:T41"/>
    <mergeCell ref="U41:Y41"/>
    <mergeCell ref="Z41:AD41"/>
    <mergeCell ref="A42:B42"/>
    <mergeCell ref="C42:F42"/>
    <mergeCell ref="G42:O42"/>
    <mergeCell ref="P42:T42"/>
    <mergeCell ref="U42:Y42"/>
    <mergeCell ref="A8:AD39"/>
    <mergeCell ref="A40:B40"/>
    <mergeCell ref="C40:F40"/>
    <mergeCell ref="G40:O40"/>
    <mergeCell ref="P40:T40"/>
    <mergeCell ref="U40:Y40"/>
    <mergeCell ref="Z40:AD40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33B-5666-4079-AE91-3B340AA3BC9D}">
  <sheetPr codeName="Sheet2">
    <tabColor rgb="FF92D050"/>
    <pageSetUpPr fitToPage="1"/>
  </sheetPr>
  <dimension ref="A1:AI55"/>
  <sheetViews>
    <sheetView zoomScaleNormal="100" workbookViewId="0">
      <selection activeCell="E6" sqref="E6"/>
    </sheetView>
  </sheetViews>
  <sheetFormatPr defaultColWidth="9.140625" defaultRowHeight="12.75" x14ac:dyDescent="0.2"/>
  <cols>
    <col min="1" max="1" width="10.7109375" style="3" customWidth="1"/>
    <col min="2" max="2" width="7.7109375" style="3" customWidth="1"/>
    <col min="3" max="3" width="12" style="3" customWidth="1"/>
    <col min="4" max="4" width="11.5703125" style="3" customWidth="1"/>
    <col min="5" max="5" width="9.85546875" style="3" customWidth="1"/>
    <col min="6" max="6" width="9.5703125" style="3" customWidth="1"/>
    <col min="7" max="7" width="12.5703125" style="3" customWidth="1"/>
    <col min="8" max="8" width="16.140625" style="3" customWidth="1"/>
    <col min="9" max="9" width="9.42578125" style="3" customWidth="1"/>
    <col min="10" max="10" width="11.28515625" style="3" customWidth="1"/>
    <col min="11" max="11" width="5.85546875" style="3" customWidth="1"/>
    <col min="12" max="12" width="9.140625" style="3" customWidth="1"/>
    <col min="13" max="16384" width="9.140625" style="3"/>
  </cols>
  <sheetData>
    <row r="1" spans="1:11" ht="18.75" customHeight="1" x14ac:dyDescent="0.2">
      <c r="A1" s="163"/>
      <c r="B1" s="164"/>
      <c r="C1" s="164"/>
      <c r="D1" s="164"/>
      <c r="E1" s="165"/>
      <c r="F1" s="157" t="s">
        <v>10</v>
      </c>
      <c r="G1" s="158"/>
      <c r="H1" s="158"/>
      <c r="I1" s="158"/>
      <c r="J1" s="158"/>
      <c r="K1" s="159"/>
    </row>
    <row r="2" spans="1:11" ht="18.75" customHeight="1" x14ac:dyDescent="0.2">
      <c r="A2" s="166"/>
      <c r="B2" s="167"/>
      <c r="C2" s="167"/>
      <c r="D2" s="167"/>
      <c r="E2" s="168"/>
      <c r="F2" s="160"/>
      <c r="G2" s="161"/>
      <c r="H2" s="161"/>
      <c r="I2" s="161"/>
      <c r="J2" s="161"/>
      <c r="K2" s="162"/>
    </row>
    <row r="3" spans="1:11" ht="18.75" customHeight="1" x14ac:dyDescent="0.2">
      <c r="A3" s="166"/>
      <c r="B3" s="167"/>
      <c r="C3" s="167"/>
      <c r="D3" s="167"/>
      <c r="E3" s="168"/>
      <c r="F3" s="160"/>
      <c r="G3" s="161"/>
      <c r="H3" s="161"/>
      <c r="I3" s="161"/>
      <c r="J3" s="161"/>
      <c r="K3" s="162"/>
    </row>
    <row r="4" spans="1:11" ht="15" x14ac:dyDescent="0.2">
      <c r="A4" s="94" t="s">
        <v>11</v>
      </c>
      <c r="B4" s="95"/>
      <c r="C4" s="95"/>
      <c r="D4" s="95"/>
      <c r="E4" s="95"/>
      <c r="F4" s="95"/>
      <c r="G4" s="95"/>
      <c r="H4" s="95"/>
      <c r="I4" s="95"/>
      <c r="J4" s="95"/>
      <c r="K4" s="96"/>
    </row>
    <row r="5" spans="1:11" x14ac:dyDescent="0.2">
      <c r="A5" s="88"/>
      <c r="B5" s="106"/>
      <c r="C5" s="106"/>
      <c r="D5" s="106"/>
      <c r="E5" s="106"/>
      <c r="F5" s="106"/>
      <c r="G5" s="107"/>
      <c r="H5" s="107"/>
      <c r="I5" s="107"/>
      <c r="J5" s="107"/>
      <c r="K5" s="87"/>
    </row>
    <row r="6" spans="1:11" ht="15" x14ac:dyDescent="0.2">
      <c r="A6" s="88"/>
      <c r="B6" s="172" t="s">
        <v>12</v>
      </c>
      <c r="C6" s="173"/>
      <c r="D6" s="174"/>
      <c r="E6" s="104" t="s">
        <v>13</v>
      </c>
      <c r="F6" s="107"/>
      <c r="G6" s="107"/>
      <c r="H6" s="97" t="s">
        <v>14</v>
      </c>
      <c r="I6" s="178" t="s">
        <v>15</v>
      </c>
      <c r="J6" s="179"/>
      <c r="K6" s="87"/>
    </row>
    <row r="7" spans="1:11" ht="15" x14ac:dyDescent="0.2">
      <c r="A7" s="88"/>
      <c r="B7" s="172" t="s">
        <v>16</v>
      </c>
      <c r="C7" s="173"/>
      <c r="D7" s="174"/>
      <c r="E7" s="104">
        <v>595</v>
      </c>
      <c r="F7" s="97" t="s">
        <v>17</v>
      </c>
      <c r="G7" s="107"/>
      <c r="H7" s="97" t="s">
        <v>18</v>
      </c>
      <c r="I7" s="178">
        <v>1</v>
      </c>
      <c r="J7" s="179"/>
      <c r="K7" s="87"/>
    </row>
    <row r="8" spans="1:11" ht="15" x14ac:dyDescent="0.2">
      <c r="A8" s="88"/>
      <c r="B8" s="97" t="s">
        <v>19</v>
      </c>
      <c r="C8" s="97" t="s">
        <v>20</v>
      </c>
      <c r="D8" s="97" t="s">
        <v>21</v>
      </c>
      <c r="E8" s="97" t="s">
        <v>22</v>
      </c>
      <c r="F8" s="97" t="s">
        <v>23</v>
      </c>
      <c r="G8" s="107"/>
      <c r="H8" s="97" t="s">
        <v>24</v>
      </c>
      <c r="I8" s="180">
        <v>1</v>
      </c>
      <c r="J8" s="181"/>
      <c r="K8" s="87"/>
    </row>
    <row r="9" spans="1:11" ht="15" x14ac:dyDescent="0.2">
      <c r="A9" s="88"/>
      <c r="B9" s="97" t="str">
        <f>+IF($E$6="SI","m3h","GPM")</f>
        <v>m3h</v>
      </c>
      <c r="C9" s="97" t="str">
        <f>+IF($E$6="SI","m","ft")</f>
        <v>m</v>
      </c>
      <c r="D9" s="97" t="str">
        <f>+IF($E$6="SI","kW","HP")</f>
        <v>kW</v>
      </c>
      <c r="E9" s="97" t="s">
        <v>25</v>
      </c>
      <c r="F9" s="97" t="str">
        <f>+IF($E$6="SI","mm","in")</f>
        <v>mm</v>
      </c>
      <c r="G9" s="107"/>
      <c r="H9" s="107"/>
      <c r="I9" s="107"/>
      <c r="J9" s="107"/>
      <c r="K9" s="87"/>
    </row>
    <row r="10" spans="1:11" ht="15" x14ac:dyDescent="0.25">
      <c r="A10" s="110" t="s">
        <v>26</v>
      </c>
      <c r="B10" s="104">
        <v>13756</v>
      </c>
      <c r="C10" s="104">
        <v>25.4</v>
      </c>
      <c r="D10" s="104">
        <v>1225.2</v>
      </c>
      <c r="E10" s="104">
        <v>77.599999999999994</v>
      </c>
      <c r="F10" s="104">
        <v>892</v>
      </c>
      <c r="G10" s="107"/>
      <c r="H10" s="97" t="s">
        <v>27</v>
      </c>
      <c r="I10" s="109">
        <f>+B10/I8</f>
        <v>13756</v>
      </c>
      <c r="J10" s="97" t="str">
        <f>+IF($E$6="SI","m3h","GPM")</f>
        <v>m3h</v>
      </c>
      <c r="K10" s="87"/>
    </row>
    <row r="11" spans="1:11" ht="15" x14ac:dyDescent="0.2">
      <c r="A11" s="88"/>
      <c r="B11" s="106"/>
      <c r="C11" s="106"/>
      <c r="D11" s="106"/>
      <c r="E11" s="106"/>
      <c r="F11" s="106"/>
      <c r="G11" s="107"/>
      <c r="H11" s="97" t="s">
        <v>28</v>
      </c>
      <c r="I11" s="109">
        <f>+C10/I7</f>
        <v>25.4</v>
      </c>
      <c r="J11" s="97" t="str">
        <f>+IF($E$6="SI","m","ft")</f>
        <v>m</v>
      </c>
      <c r="K11" s="87"/>
    </row>
    <row r="12" spans="1:11" ht="15" x14ac:dyDescent="0.2">
      <c r="A12" s="88"/>
      <c r="B12" s="175" t="s">
        <v>29</v>
      </c>
      <c r="C12" s="176"/>
      <c r="D12" s="177"/>
      <c r="E12" s="104" t="s">
        <v>30</v>
      </c>
      <c r="F12" s="106"/>
      <c r="G12" s="107"/>
      <c r="H12" s="107"/>
      <c r="I12" s="107"/>
      <c r="J12" s="107"/>
      <c r="K12" s="87"/>
    </row>
    <row r="13" spans="1:11" x14ac:dyDescent="0.2">
      <c r="A13" s="88"/>
      <c r="B13" s="106"/>
      <c r="C13" s="106"/>
      <c r="D13" s="106"/>
      <c r="E13" s="106"/>
      <c r="F13" s="106"/>
      <c r="G13" s="106"/>
      <c r="H13" s="106"/>
      <c r="I13" s="106"/>
      <c r="J13" s="106"/>
      <c r="K13" s="89"/>
    </row>
    <row r="14" spans="1:11" ht="15" x14ac:dyDescent="0.2">
      <c r="A14" s="169" t="s">
        <v>31</v>
      </c>
      <c r="B14" s="170"/>
      <c r="C14" s="170"/>
      <c r="D14" s="170"/>
      <c r="E14" s="170"/>
      <c r="F14" s="170"/>
      <c r="G14" s="170"/>
      <c r="H14" s="170"/>
      <c r="I14" s="170"/>
      <c r="J14" s="170"/>
      <c r="K14" s="171"/>
    </row>
    <row r="15" spans="1:11" x14ac:dyDescent="0.2">
      <c r="A15" s="88"/>
      <c r="B15" s="106"/>
      <c r="C15" s="106"/>
      <c r="D15" s="106"/>
      <c r="E15" s="106"/>
      <c r="F15" s="106"/>
      <c r="G15" s="107"/>
      <c r="H15" s="107"/>
      <c r="I15" s="107"/>
      <c r="J15" s="107"/>
      <c r="K15" s="87"/>
    </row>
    <row r="16" spans="1:11" x14ac:dyDescent="0.2">
      <c r="A16" s="88"/>
      <c r="B16" s="106"/>
      <c r="C16" s="106"/>
      <c r="D16" s="106"/>
      <c r="E16" s="106"/>
      <c r="F16" s="106"/>
      <c r="G16" s="107"/>
      <c r="H16" s="107"/>
      <c r="I16" s="107"/>
      <c r="J16" s="107"/>
      <c r="K16" s="87"/>
    </row>
    <row r="17" spans="1:11" x14ac:dyDescent="0.2">
      <c r="A17" s="88"/>
      <c r="B17" s="106"/>
      <c r="C17" s="106"/>
      <c r="D17" s="106"/>
      <c r="E17" s="106"/>
      <c r="F17" s="106"/>
      <c r="G17" s="107"/>
      <c r="H17" s="107"/>
      <c r="I17" s="107"/>
      <c r="J17" s="107"/>
      <c r="K17" s="87"/>
    </row>
    <row r="18" spans="1:11" x14ac:dyDescent="0.2">
      <c r="A18" s="88"/>
      <c r="B18" s="106"/>
      <c r="C18" s="106"/>
      <c r="D18" s="106"/>
      <c r="E18" s="106"/>
      <c r="F18" s="106"/>
      <c r="G18" s="106"/>
      <c r="H18" s="107"/>
      <c r="I18" s="107"/>
      <c r="J18" s="107"/>
      <c r="K18" s="87"/>
    </row>
    <row r="19" spans="1:11" x14ac:dyDescent="0.2">
      <c r="A19" s="88"/>
      <c r="B19" s="106"/>
      <c r="C19" s="106"/>
      <c r="D19" s="106"/>
      <c r="E19" s="106"/>
      <c r="F19" s="106"/>
      <c r="G19" s="106"/>
      <c r="H19" s="106"/>
      <c r="I19" s="106"/>
      <c r="J19" s="106"/>
      <c r="K19" s="89"/>
    </row>
    <row r="20" spans="1:11" ht="14.25" customHeight="1" x14ac:dyDescent="0.2">
      <c r="A20" s="88"/>
      <c r="B20" s="106"/>
      <c r="C20" s="106"/>
      <c r="D20" s="106"/>
      <c r="E20" s="106"/>
      <c r="F20" s="106"/>
      <c r="G20" s="106"/>
      <c r="H20" s="108"/>
      <c r="I20" s="108"/>
      <c r="J20" s="108"/>
      <c r="K20" s="36"/>
    </row>
    <row r="21" spans="1:11" ht="14.25" customHeight="1" x14ac:dyDescent="0.2">
      <c r="A21" s="88"/>
      <c r="B21" s="106"/>
      <c r="C21" s="106"/>
      <c r="D21" s="106"/>
      <c r="E21" s="106"/>
      <c r="F21" s="106"/>
      <c r="G21" s="106"/>
      <c r="H21" s="108"/>
      <c r="I21" s="108"/>
      <c r="J21" s="108"/>
      <c r="K21" s="36"/>
    </row>
    <row r="22" spans="1:11" ht="14.25" customHeight="1" x14ac:dyDescent="0.2">
      <c r="A22" s="88"/>
      <c r="B22" s="106"/>
      <c r="C22" s="106"/>
      <c r="D22" s="106"/>
      <c r="E22" s="106"/>
      <c r="F22" s="106"/>
      <c r="G22" s="108"/>
      <c r="H22" s="108"/>
      <c r="I22" s="108"/>
      <c r="J22" s="108"/>
      <c r="K22" s="36"/>
    </row>
    <row r="23" spans="1:11" ht="14.25" customHeight="1" x14ac:dyDescent="0.2">
      <c r="A23" s="88"/>
      <c r="B23" s="106"/>
      <c r="C23" s="106"/>
      <c r="D23" s="106"/>
      <c r="E23" s="106"/>
      <c r="F23" s="106"/>
      <c r="G23" s="108"/>
      <c r="H23" s="108"/>
      <c r="I23" s="108"/>
      <c r="J23" s="108"/>
      <c r="K23" s="36"/>
    </row>
    <row r="24" spans="1:11" ht="14.25" customHeight="1" x14ac:dyDescent="0.2">
      <c r="A24" s="88"/>
      <c r="B24" s="106"/>
      <c r="C24" s="106"/>
      <c r="D24" s="106"/>
      <c r="E24" s="106"/>
      <c r="F24" s="106"/>
      <c r="G24" s="108"/>
      <c r="H24" s="108"/>
      <c r="I24" s="108"/>
      <c r="J24" s="108"/>
      <c r="K24" s="36"/>
    </row>
    <row r="25" spans="1:11" ht="14.25" customHeight="1" x14ac:dyDescent="0.2">
      <c r="A25" s="88"/>
      <c r="B25" s="106"/>
      <c r="C25" s="106"/>
      <c r="D25" s="106"/>
      <c r="E25" s="106"/>
      <c r="F25" s="106"/>
      <c r="G25" s="108"/>
      <c r="H25" s="108"/>
      <c r="I25" s="108"/>
      <c r="J25" s="108"/>
      <c r="K25" s="36"/>
    </row>
    <row r="26" spans="1:11" ht="14.25" customHeight="1" x14ac:dyDescent="0.2">
      <c r="A26" s="88"/>
      <c r="B26" s="106"/>
      <c r="C26" s="106"/>
      <c r="D26" s="106"/>
      <c r="E26" s="106"/>
      <c r="F26" s="106"/>
      <c r="G26" s="108"/>
      <c r="H26" s="108"/>
      <c r="I26" s="108"/>
      <c r="J26" s="108"/>
      <c r="K26" s="36"/>
    </row>
    <row r="27" spans="1:11" ht="14.25" customHeight="1" x14ac:dyDescent="0.2">
      <c r="A27" s="88"/>
      <c r="B27" s="106"/>
      <c r="C27" s="106"/>
      <c r="D27" s="106"/>
      <c r="E27" s="106"/>
      <c r="F27" s="106"/>
      <c r="G27" s="108"/>
      <c r="H27" s="108"/>
      <c r="I27" s="108"/>
      <c r="J27" s="108"/>
      <c r="K27" s="36"/>
    </row>
    <row r="28" spans="1:11" ht="14.25" customHeight="1" x14ac:dyDescent="0.2">
      <c r="A28" s="88"/>
      <c r="B28" s="106"/>
      <c r="C28" s="106"/>
      <c r="D28" s="106"/>
      <c r="E28" s="106"/>
      <c r="F28" s="106"/>
      <c r="G28" s="108"/>
      <c r="H28" s="108"/>
      <c r="I28" s="108"/>
      <c r="J28" s="108"/>
      <c r="K28" s="36"/>
    </row>
    <row r="29" spans="1:11" ht="14.25" customHeight="1" x14ac:dyDescent="0.2">
      <c r="A29" s="88"/>
      <c r="B29" s="106"/>
      <c r="C29" s="106"/>
      <c r="D29" s="106"/>
      <c r="E29" s="106"/>
      <c r="F29" s="106"/>
      <c r="G29" s="108"/>
      <c r="H29" s="108"/>
      <c r="I29" s="108"/>
      <c r="J29" s="108"/>
      <c r="K29" s="36"/>
    </row>
    <row r="30" spans="1:11" ht="14.25" customHeight="1" x14ac:dyDescent="0.2">
      <c r="A30" s="88"/>
      <c r="B30" s="106"/>
      <c r="C30" s="106"/>
      <c r="D30" s="106"/>
      <c r="E30" s="106"/>
      <c r="F30" s="106"/>
      <c r="G30" s="108"/>
      <c r="H30" s="108"/>
      <c r="I30" s="108"/>
      <c r="J30" s="108"/>
      <c r="K30" s="36"/>
    </row>
    <row r="31" spans="1:11" ht="14.25" customHeight="1" x14ac:dyDescent="0.2">
      <c r="A31" s="88"/>
      <c r="B31" s="106"/>
      <c r="C31" s="106"/>
      <c r="D31" s="106"/>
      <c r="E31" s="106"/>
      <c r="F31" s="106"/>
      <c r="G31" s="108"/>
      <c r="H31" s="108"/>
      <c r="I31" s="108"/>
      <c r="J31" s="108"/>
      <c r="K31" s="36"/>
    </row>
    <row r="32" spans="1:11" ht="14.25" customHeight="1" x14ac:dyDescent="0.2">
      <c r="A32" s="88"/>
      <c r="B32" s="106"/>
      <c r="C32" s="106"/>
      <c r="D32" s="106"/>
      <c r="E32" s="106"/>
      <c r="F32" s="106"/>
      <c r="G32" s="108"/>
      <c r="H32" s="108"/>
      <c r="I32" s="108"/>
      <c r="J32" s="108"/>
      <c r="K32" s="36"/>
    </row>
    <row r="33" spans="1:35" ht="14.25" customHeight="1" x14ac:dyDescent="0.2">
      <c r="A33" s="90"/>
      <c r="B33" s="108"/>
      <c r="C33" s="108"/>
      <c r="D33" s="108"/>
      <c r="E33" s="108"/>
      <c r="F33" s="108"/>
      <c r="G33" s="108"/>
      <c r="H33" s="108"/>
      <c r="I33" s="108"/>
      <c r="J33" s="108"/>
      <c r="K33" s="36"/>
    </row>
    <row r="34" spans="1:35" ht="14.25" customHeight="1" x14ac:dyDescent="0.2">
      <c r="A34" s="90"/>
      <c r="B34" s="108"/>
      <c r="C34" s="108"/>
      <c r="D34" s="108"/>
      <c r="E34" s="108"/>
      <c r="F34" s="108"/>
      <c r="G34" s="108"/>
      <c r="H34" s="108"/>
      <c r="I34" s="108"/>
      <c r="J34" s="108"/>
      <c r="K34" s="36"/>
    </row>
    <row r="35" spans="1:35" ht="14.25" customHeight="1" x14ac:dyDescent="0.2">
      <c r="A35" s="88"/>
      <c r="B35" s="106"/>
      <c r="C35" s="106"/>
      <c r="D35" s="106"/>
      <c r="E35" s="106"/>
      <c r="F35" s="106"/>
      <c r="G35" s="106"/>
      <c r="H35" s="106"/>
      <c r="I35" s="106"/>
      <c r="J35" s="106"/>
      <c r="K35" s="36"/>
    </row>
    <row r="36" spans="1:35" ht="14.25" customHeight="1" x14ac:dyDescent="0.2">
      <c r="A36" s="88"/>
      <c r="B36" s="107"/>
      <c r="C36" s="107"/>
      <c r="D36" s="107"/>
      <c r="E36" s="107"/>
      <c r="F36" s="107"/>
      <c r="G36" s="107"/>
      <c r="H36" s="107"/>
      <c r="I36" s="106"/>
      <c r="J36" s="106"/>
      <c r="K36" s="36"/>
    </row>
    <row r="37" spans="1:35" ht="14.25" customHeight="1" x14ac:dyDescent="0.2">
      <c r="A37" s="88"/>
      <c r="B37" s="106"/>
      <c r="C37" s="106"/>
      <c r="D37" s="106"/>
      <c r="E37" s="106"/>
      <c r="F37" s="106"/>
      <c r="G37" s="106"/>
      <c r="H37" s="106"/>
      <c r="I37" s="106"/>
      <c r="J37" s="106"/>
      <c r="K37" s="89"/>
    </row>
    <row r="38" spans="1:35" x14ac:dyDescent="0.2">
      <c r="A38" s="88"/>
      <c r="B38" s="106"/>
      <c r="C38" s="106"/>
      <c r="D38" s="106"/>
      <c r="E38" s="106"/>
      <c r="F38" s="106"/>
      <c r="G38" s="106"/>
      <c r="H38" s="106"/>
      <c r="I38" s="106"/>
      <c r="J38" s="106"/>
      <c r="K38" s="89"/>
    </row>
    <row r="39" spans="1:35" x14ac:dyDescent="0.2">
      <c r="A39" s="88"/>
      <c r="B39" s="106"/>
      <c r="C39" s="106"/>
      <c r="D39" s="106"/>
      <c r="E39" s="106"/>
      <c r="F39" s="106"/>
      <c r="G39" s="106"/>
      <c r="H39" s="106"/>
      <c r="I39" s="106"/>
      <c r="J39" s="106"/>
      <c r="K39" s="89"/>
    </row>
    <row r="40" spans="1:35" x14ac:dyDescent="0.2">
      <c r="A40" s="88"/>
      <c r="B40" s="106"/>
      <c r="C40" s="106"/>
      <c r="D40" s="106"/>
      <c r="E40" s="106"/>
      <c r="F40" s="106"/>
      <c r="G40" s="106"/>
      <c r="H40" s="106"/>
      <c r="I40" s="106"/>
      <c r="J40" s="106"/>
      <c r="K40" s="89"/>
    </row>
    <row r="41" spans="1:35" x14ac:dyDescent="0.2">
      <c r="A41" s="88"/>
      <c r="B41" s="106"/>
      <c r="C41" s="106"/>
      <c r="D41" s="106"/>
      <c r="E41" s="106"/>
      <c r="F41" s="106"/>
      <c r="G41" s="106"/>
      <c r="H41" s="106"/>
      <c r="I41" s="106"/>
      <c r="J41" s="106"/>
      <c r="K41" s="89"/>
    </row>
    <row r="42" spans="1:35" x14ac:dyDescent="0.2">
      <c r="A42" s="88"/>
      <c r="B42" s="106"/>
      <c r="C42" s="106"/>
      <c r="D42" s="106"/>
      <c r="E42" s="106"/>
      <c r="F42" s="107"/>
      <c r="G42" s="107"/>
      <c r="H42" s="107"/>
      <c r="I42" s="106"/>
      <c r="J42" s="106"/>
      <c r="K42" s="89"/>
    </row>
    <row r="43" spans="1:35" ht="15" x14ac:dyDescent="0.2">
      <c r="A43" s="169" t="s">
        <v>31</v>
      </c>
      <c r="B43" s="170"/>
      <c r="C43" s="170"/>
      <c r="D43" s="170"/>
      <c r="E43" s="170"/>
      <c r="F43" s="170"/>
      <c r="G43" s="170"/>
      <c r="H43" s="170"/>
      <c r="I43" s="170"/>
      <c r="J43" s="170"/>
      <c r="K43" s="171"/>
    </row>
    <row r="44" spans="1:35" x14ac:dyDescent="0.2">
      <c r="A44" s="88"/>
      <c r="B44" s="106"/>
      <c r="C44" s="106"/>
      <c r="D44" s="106"/>
      <c r="E44" s="106"/>
      <c r="F44" s="106"/>
      <c r="G44" s="106"/>
      <c r="H44" s="106"/>
      <c r="I44" s="106"/>
      <c r="J44" s="106"/>
      <c r="K44" s="89"/>
    </row>
    <row r="45" spans="1:35" s="4" customFormat="1" ht="15" x14ac:dyDescent="0.2">
      <c r="A45" s="93" t="s">
        <v>32</v>
      </c>
      <c r="B45" s="97" t="s">
        <v>33</v>
      </c>
      <c r="C45" s="97" t="s">
        <v>34</v>
      </c>
      <c r="D45" s="97" t="s">
        <v>35</v>
      </c>
      <c r="E45" s="97" t="s">
        <v>36</v>
      </c>
      <c r="F45" s="106"/>
      <c r="G45" s="107"/>
      <c r="H45" s="97" t="str">
        <f>+Metric_Conversion!H39</f>
        <v>Nq</v>
      </c>
      <c r="I45" s="103">
        <f>+Metric_Conversion!I39</f>
        <v>102.79843699546826</v>
      </c>
      <c r="J45" s="107"/>
      <c r="K45" s="87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</row>
    <row r="46" spans="1:35" ht="15" x14ac:dyDescent="0.2">
      <c r="A46" s="88"/>
      <c r="B46" s="97" t="s">
        <v>37</v>
      </c>
      <c r="C46" s="97">
        <v>0.1</v>
      </c>
      <c r="D46" s="97">
        <v>0.5</v>
      </c>
      <c r="E46" s="97">
        <v>1</v>
      </c>
      <c r="F46" s="106"/>
      <c r="G46" s="107"/>
      <c r="H46" s="97" t="str">
        <f>+Metric_Conversion!H40</f>
        <v>Ns</v>
      </c>
      <c r="I46" s="103">
        <f>+Metric_Conversion!I40</f>
        <v>5308.5112864459816</v>
      </c>
      <c r="J46" s="107"/>
      <c r="K46" s="87"/>
    </row>
    <row r="47" spans="1:35" ht="15" x14ac:dyDescent="0.2">
      <c r="A47" s="88"/>
      <c r="B47" s="98" t="s">
        <v>38</v>
      </c>
      <c r="C47" s="97" t="s">
        <v>39</v>
      </c>
      <c r="D47" s="97" t="s">
        <v>40</v>
      </c>
      <c r="E47" s="97" t="s">
        <v>41</v>
      </c>
      <c r="F47" s="106"/>
      <c r="G47" s="107"/>
      <c r="H47" s="97" t="str">
        <f>+Metric_Conversion!H41</f>
        <v>U2</v>
      </c>
      <c r="I47" s="103">
        <f>+Metric_Conversion!I41</f>
        <v>27.78948141610411</v>
      </c>
      <c r="J47" s="107"/>
      <c r="K47" s="89"/>
    </row>
    <row r="48" spans="1:35" x14ac:dyDescent="0.2">
      <c r="A48" s="88"/>
      <c r="B48" s="106"/>
      <c r="C48" s="106"/>
      <c r="D48" s="106"/>
      <c r="E48" s="106"/>
      <c r="F48" s="106"/>
      <c r="G48" s="106"/>
      <c r="H48" s="106"/>
      <c r="I48" s="106"/>
      <c r="J48" s="106"/>
      <c r="K48" s="89"/>
    </row>
    <row r="49" spans="1:11" x14ac:dyDescent="0.2">
      <c r="A49" s="88"/>
      <c r="B49" s="106"/>
      <c r="C49" s="106"/>
      <c r="D49" s="106"/>
      <c r="E49" s="106"/>
      <c r="F49" s="106"/>
      <c r="G49" s="106"/>
      <c r="H49" s="106"/>
      <c r="I49" s="106"/>
      <c r="J49" s="106"/>
      <c r="K49" s="89"/>
    </row>
    <row r="50" spans="1:11" s="4" customFormat="1" ht="30" x14ac:dyDescent="0.2">
      <c r="A50" s="97" t="s">
        <v>42</v>
      </c>
      <c r="B50" s="97" t="s">
        <v>43</v>
      </c>
      <c r="C50" s="105" t="s">
        <v>44</v>
      </c>
      <c r="D50" s="105" t="s">
        <v>45</v>
      </c>
      <c r="E50" s="97" t="s">
        <v>46</v>
      </c>
      <c r="F50" s="97" t="s">
        <v>47</v>
      </c>
      <c r="G50" s="108"/>
      <c r="H50" s="153" t="s">
        <v>48</v>
      </c>
      <c r="I50" s="155" t="str">
        <f>+Metric_Conversion!I50</f>
        <v>MID</v>
      </c>
      <c r="J50" s="108"/>
      <c r="K50" s="36"/>
    </row>
    <row r="51" spans="1:11" ht="13.5" customHeight="1" x14ac:dyDescent="0.2">
      <c r="A51" s="97" t="s">
        <v>49</v>
      </c>
      <c r="B51" s="99">
        <f>+Metric_Conversion!B51</f>
        <v>0.5</v>
      </c>
      <c r="C51" s="99">
        <f>+Metric_Conversion!C51</f>
        <v>0.1</v>
      </c>
      <c r="D51" s="99">
        <f>+Metric_Conversion!D51</f>
        <v>0.1</v>
      </c>
      <c r="E51" s="99">
        <f>+Metric_Conversion!E51</f>
        <v>0.1</v>
      </c>
      <c r="F51" s="99"/>
      <c r="G51" s="106"/>
      <c r="H51" s="154"/>
      <c r="I51" s="156"/>
      <c r="J51" s="106"/>
      <c r="K51" s="89"/>
    </row>
    <row r="52" spans="1:11" ht="15" x14ac:dyDescent="0.2">
      <c r="A52" s="97" t="s">
        <v>50</v>
      </c>
      <c r="B52" s="99">
        <f>+Metric_Conversion!B52</f>
        <v>0.5</v>
      </c>
      <c r="C52" s="99"/>
      <c r="D52" s="99"/>
      <c r="E52" s="99"/>
      <c r="F52" s="99"/>
      <c r="G52" s="106"/>
      <c r="H52" s="106"/>
      <c r="I52" s="106"/>
      <c r="J52" s="106"/>
      <c r="K52" s="89"/>
    </row>
    <row r="53" spans="1:11" ht="15" x14ac:dyDescent="0.2">
      <c r="A53" s="97" t="s">
        <v>21</v>
      </c>
      <c r="B53" s="99">
        <f>+Metric_Conversion!B53</f>
        <v>0.1</v>
      </c>
      <c r="C53" s="99"/>
      <c r="D53" s="99">
        <f>+Metric_Conversion!D53</f>
        <v>1</v>
      </c>
      <c r="E53" s="99"/>
      <c r="F53" s="99" t="str">
        <f>+Metric_Conversion!F53</f>
        <v/>
      </c>
      <c r="G53" s="106"/>
      <c r="H53" s="106"/>
      <c r="I53" s="106"/>
      <c r="J53" s="106"/>
      <c r="K53" s="89"/>
    </row>
    <row r="54" spans="1:11" ht="15" x14ac:dyDescent="0.2">
      <c r="A54" s="97" t="s">
        <v>51</v>
      </c>
      <c r="B54" s="100">
        <f>+MAX(B51:B53)</f>
        <v>0.5</v>
      </c>
      <c r="C54" s="101">
        <f>+MAX(C51:C53)</f>
        <v>0.1</v>
      </c>
      <c r="D54" s="102">
        <f>+IF(AND(D53=1,D51=1),1,0.1)</f>
        <v>0.1</v>
      </c>
      <c r="E54" s="101">
        <f>+MAX(E51:E53)</f>
        <v>0.1</v>
      </c>
      <c r="F54" s="99" t="str">
        <f>+IF(E12="n","",MAX(F51:F53))</f>
        <v/>
      </c>
      <c r="G54" s="106"/>
      <c r="H54" s="106"/>
      <c r="I54" s="106"/>
      <c r="J54" s="106"/>
      <c r="K54" s="89"/>
    </row>
    <row r="55" spans="1:11" x14ac:dyDescent="0.2">
      <c r="A55" s="111"/>
      <c r="B55" s="112"/>
      <c r="C55" s="112"/>
      <c r="D55" s="112"/>
      <c r="E55" s="112"/>
      <c r="F55" s="112"/>
      <c r="G55" s="112"/>
      <c r="H55" s="112"/>
      <c r="I55" s="112"/>
      <c r="J55" s="112"/>
      <c r="K55" s="113"/>
    </row>
  </sheetData>
  <sortState xmlns:xlrd2="http://schemas.microsoft.com/office/spreadsheetml/2017/richdata2" ref="B10:E17">
    <sortCondition ref="B10:B17"/>
  </sortState>
  <mergeCells count="12">
    <mergeCell ref="H50:H51"/>
    <mergeCell ref="I50:I51"/>
    <mergeCell ref="F1:K3"/>
    <mergeCell ref="A1:E3"/>
    <mergeCell ref="A14:K14"/>
    <mergeCell ref="A43:K43"/>
    <mergeCell ref="B6:D6"/>
    <mergeCell ref="B7:D7"/>
    <mergeCell ref="B12:D12"/>
    <mergeCell ref="I6:J6"/>
    <mergeCell ref="I7:J7"/>
    <mergeCell ref="I8:J8"/>
  </mergeCells>
  <phoneticPr fontId="13" type="noConversion"/>
  <conditionalFormatting sqref="B51:F53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51:F54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5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scale="69" orientation="portrait" r:id="rId1"/>
  <headerFooter alignWithMargins="0">
    <oddFooter>&amp;L&amp;F&amp;R&amp;D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A2B8D3C-CC52-4653-9A83-BC14AC1202F9}">
          <x14:formula1>
            <xm:f>setup!$B$5:$B$6</xm:f>
          </x14:formula1>
          <xm:sqref>E6</xm:sqref>
        </x14:dataValidation>
        <x14:dataValidation type="list" allowBlank="1" showInputMessage="1" showErrorMessage="1" xr:uid="{5FF727D4-0A89-4CAF-BF99-68B13AF2D250}">
          <x14:formula1>
            <xm:f>setup!$C$5:$C$6</xm:f>
          </x14:formula1>
          <xm:sqref>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92C8-E364-4B96-A0CF-42317912DF10}">
  <sheetPr codeName="Sheet3">
    <pageSetUpPr fitToPage="1"/>
  </sheetPr>
  <dimension ref="A1:S54"/>
  <sheetViews>
    <sheetView topLeftCell="A11" zoomScale="110" zoomScaleNormal="110" workbookViewId="0">
      <selection activeCell="L33" sqref="L33"/>
    </sheetView>
  </sheetViews>
  <sheetFormatPr defaultColWidth="9.140625" defaultRowHeight="12.75" x14ac:dyDescent="0.2"/>
  <cols>
    <col min="1" max="1" width="13" style="3" customWidth="1"/>
    <col min="2" max="2" width="7.7109375" style="3" customWidth="1"/>
    <col min="3" max="3" width="9.7109375" style="3" customWidth="1"/>
    <col min="4" max="4" width="9.140625" style="3" customWidth="1"/>
    <col min="5" max="5" width="9.85546875" style="3" customWidth="1"/>
    <col min="6" max="6" width="9.5703125" style="3" customWidth="1"/>
    <col min="7" max="7" width="12.5703125" style="3" customWidth="1"/>
    <col min="8" max="8" width="15.28515625" style="3" customWidth="1"/>
    <col min="9" max="10" width="9.42578125" style="3" customWidth="1"/>
    <col min="11" max="11" width="5.85546875" style="3" customWidth="1"/>
    <col min="12" max="12" width="10.28515625" style="3" customWidth="1"/>
    <col min="13" max="17" width="0" style="3" hidden="1" customWidth="1"/>
    <col min="18" max="16384" width="9.140625" style="3"/>
  </cols>
  <sheetData>
    <row r="1" spans="1:11" ht="18.75" customHeight="1" x14ac:dyDescent="0.2">
      <c r="A1" s="167"/>
      <c r="B1" s="167"/>
      <c r="C1" s="167"/>
      <c r="D1" s="167"/>
      <c r="E1" s="168"/>
      <c r="F1" s="182"/>
      <c r="G1" s="183"/>
      <c r="H1" s="183"/>
      <c r="I1" s="183"/>
      <c r="J1" s="183"/>
      <c r="K1" s="184"/>
    </row>
    <row r="2" spans="1:11" ht="18.75" customHeight="1" x14ac:dyDescent="0.2">
      <c r="A2" s="167"/>
      <c r="B2" s="167"/>
      <c r="C2" s="167"/>
      <c r="D2" s="167"/>
      <c r="E2" s="168"/>
      <c r="F2" s="185"/>
      <c r="G2" s="186"/>
      <c r="H2" s="186"/>
      <c r="I2" s="186"/>
      <c r="J2" s="186"/>
      <c r="K2" s="187"/>
    </row>
    <row r="3" spans="1:11" ht="18.75" customHeight="1" x14ac:dyDescent="0.2">
      <c r="A3" s="167"/>
      <c r="B3" s="167"/>
      <c r="C3" s="167"/>
      <c r="D3" s="167"/>
      <c r="E3" s="168"/>
      <c r="F3" s="188"/>
      <c r="G3" s="189"/>
      <c r="H3" s="189"/>
      <c r="I3" s="189"/>
      <c r="J3" s="189"/>
      <c r="K3" s="190"/>
    </row>
    <row r="4" spans="1:11" ht="18.75" x14ac:dyDescent="0.3">
      <c r="A4" s="35" t="s">
        <v>11</v>
      </c>
      <c r="B4" s="35"/>
      <c r="C4" s="34"/>
      <c r="D4" s="34"/>
      <c r="E4" s="34"/>
      <c r="F4" s="34"/>
      <c r="G4" s="34"/>
      <c r="H4" s="34"/>
      <c r="I4" s="34"/>
      <c r="J4" s="34"/>
      <c r="K4" s="34"/>
    </row>
    <row r="5" spans="1:11" x14ac:dyDescent="0.2">
      <c r="A5" s="8"/>
      <c r="B5" s="8"/>
      <c r="C5" s="8"/>
      <c r="D5" s="8"/>
      <c r="E5" s="8"/>
      <c r="F5" s="8"/>
      <c r="G5" s="11"/>
      <c r="H5" s="11"/>
      <c r="I5" s="11"/>
      <c r="J5" s="11"/>
      <c r="K5" s="11"/>
    </row>
    <row r="6" spans="1:11" x14ac:dyDescent="0.2">
      <c r="A6" s="8"/>
      <c r="B6" s="13" t="str">
        <f>+Input_Output!B6</f>
        <v>unit system</v>
      </c>
      <c r="C6" s="14"/>
      <c r="D6" s="15"/>
      <c r="E6" s="68" t="s">
        <v>13</v>
      </c>
      <c r="F6" s="11"/>
      <c r="G6" s="11"/>
      <c r="H6" s="13" t="s">
        <v>14</v>
      </c>
      <c r="I6" s="66"/>
      <c r="J6" s="70"/>
      <c r="K6" s="12"/>
    </row>
    <row r="7" spans="1:11" x14ac:dyDescent="0.2">
      <c r="A7" s="8"/>
      <c r="B7" s="13" t="str">
        <f>+Input_Output!B7</f>
        <v>Pump speed</v>
      </c>
      <c r="C7" s="14"/>
      <c r="D7" s="15"/>
      <c r="E7" s="69">
        <f>+Input_Output!E7</f>
        <v>595</v>
      </c>
      <c r="F7" s="11" t="s">
        <v>17</v>
      </c>
      <c r="G7" s="11"/>
      <c r="H7" s="13" t="s">
        <v>52</v>
      </c>
      <c r="I7" s="67">
        <f>+Input_Output!I7</f>
        <v>1</v>
      </c>
      <c r="J7" s="70"/>
      <c r="K7" s="12"/>
    </row>
    <row r="8" spans="1:11" x14ac:dyDescent="0.2">
      <c r="A8" s="8"/>
      <c r="B8" s="13" t="str">
        <f>+Input_Output!B8</f>
        <v>Q</v>
      </c>
      <c r="C8" s="13" t="str">
        <f>+Input_Output!C8</f>
        <v>Hpump</v>
      </c>
      <c r="D8" s="13" t="str">
        <f>+Input_Output!D8</f>
        <v>Power</v>
      </c>
      <c r="E8" s="13" t="str">
        <f>+Input_Output!E8</f>
        <v>ETA</v>
      </c>
      <c r="F8" s="13" t="str">
        <f>+Input_Output!F8</f>
        <v>D2</v>
      </c>
      <c r="G8" s="11"/>
      <c r="H8" s="13" t="s">
        <v>24</v>
      </c>
      <c r="I8" s="67">
        <f>+Input_Output!I8</f>
        <v>1</v>
      </c>
      <c r="J8" s="70"/>
      <c r="K8" s="12"/>
    </row>
    <row r="9" spans="1:11" x14ac:dyDescent="0.2">
      <c r="A9" s="8"/>
      <c r="B9" s="33" t="str">
        <f>+IF($E$6="SI","m3h","GPM")</f>
        <v>m3h</v>
      </c>
      <c r="C9" s="33" t="str">
        <f>+IF($E$6="SI","m","ft")</f>
        <v>m</v>
      </c>
      <c r="D9" s="33" t="str">
        <f>+IF($E$6="SI","kW","HP")</f>
        <v>kW</v>
      </c>
      <c r="E9" s="33" t="s">
        <v>25</v>
      </c>
      <c r="F9" s="33" t="str">
        <f>+IF($E$6="SI","mm","in")</f>
        <v>mm</v>
      </c>
      <c r="G9" s="11"/>
      <c r="H9" s="11"/>
      <c r="I9" s="11"/>
      <c r="J9" s="11"/>
      <c r="K9" s="12"/>
    </row>
    <row r="10" spans="1:11" x14ac:dyDescent="0.2">
      <c r="A10" s="8" t="s">
        <v>26</v>
      </c>
      <c r="B10" s="64">
        <f>+IF(Input_Output!$E$6="SI",Input_Output!B10,Input_Output!B10*0.227)</f>
        <v>13756</v>
      </c>
      <c r="C10" s="64">
        <f>+IF(Input_Output!$E$6="SI",Input_Output!C10,Input_Output!C10*0.3048)</f>
        <v>25.4</v>
      </c>
      <c r="D10" s="64">
        <f>+IF(Input_Output!$E$6="SI",Input_Output!D10,Input_Output!D10*0.7457)</f>
        <v>1225.2</v>
      </c>
      <c r="E10" s="65">
        <f>+Input_Output!E10</f>
        <v>77.599999999999994</v>
      </c>
      <c r="F10" s="64">
        <f>+IF(Input_Output!$E$6="SI",Input_Output!F10,Input_Output!F10*25.4)</f>
        <v>892</v>
      </c>
      <c r="G10" s="11"/>
      <c r="H10" s="33" t="s">
        <v>27</v>
      </c>
      <c r="I10" s="64">
        <f>+B10/I8</f>
        <v>13756</v>
      </c>
      <c r="J10" s="33" t="str">
        <f>+IF($E$6="SI","m3h","GPM")</f>
        <v>m3h</v>
      </c>
      <c r="K10" s="12"/>
    </row>
    <row r="11" spans="1:11" x14ac:dyDescent="0.2">
      <c r="A11" s="8"/>
      <c r="B11" s="8"/>
      <c r="C11" s="8"/>
      <c r="D11" s="8"/>
      <c r="E11" s="8"/>
      <c r="F11" s="8"/>
      <c r="G11" s="11"/>
      <c r="H11" s="33" t="s">
        <v>28</v>
      </c>
      <c r="I11" s="64">
        <f>+C10/I7</f>
        <v>25.4</v>
      </c>
      <c r="J11" s="33" t="str">
        <f>+IF($E$6="SI","m","ft")</f>
        <v>m</v>
      </c>
      <c r="K11" s="12"/>
    </row>
    <row r="12" spans="1:11" x14ac:dyDescent="0.2">
      <c r="A12" s="8"/>
      <c r="B12" s="8"/>
      <c r="C12" s="8"/>
      <c r="D12" s="8"/>
      <c r="E12" s="8"/>
      <c r="F12" s="8"/>
      <c r="G12" s="11"/>
      <c r="H12" s="33" t="s">
        <v>53</v>
      </c>
      <c r="I12" s="64">
        <f>1000*9.81/3600*B10*C10*I14/1000</f>
        <v>950.75519999999995</v>
      </c>
      <c r="J12" s="33" t="str">
        <f>+IF($E$6="SI","kW","HP")</f>
        <v>kW</v>
      </c>
      <c r="K12" s="12"/>
    </row>
    <row r="13" spans="1:11" x14ac:dyDescent="0.2">
      <c r="A13" s="8"/>
      <c r="B13" s="8"/>
      <c r="C13" s="8"/>
      <c r="D13" s="8"/>
      <c r="E13" s="8"/>
      <c r="F13" s="8"/>
      <c r="G13" s="11"/>
      <c r="H13" s="11"/>
      <c r="I13" s="11"/>
      <c r="J13" s="11"/>
      <c r="K13" s="12"/>
    </row>
    <row r="14" spans="1:11" x14ac:dyDescent="0.2">
      <c r="A14" s="8"/>
      <c r="B14" s="8"/>
      <c r="C14" s="8"/>
      <c r="D14" s="8"/>
      <c r="E14" s="8"/>
      <c r="F14" s="8"/>
      <c r="G14" s="11"/>
      <c r="H14" s="33" t="s">
        <v>54</v>
      </c>
      <c r="I14" s="71">
        <f>E10*D10*10*3600/9.81/B10/C10/1000</f>
        <v>0.99856495211735263</v>
      </c>
      <c r="J14" s="11"/>
      <c r="K14" s="12"/>
    </row>
    <row r="15" spans="1:11" x14ac:dyDescent="0.2">
      <c r="A15" s="8"/>
      <c r="B15" s="8"/>
      <c r="C15" s="8"/>
      <c r="D15" s="8"/>
      <c r="E15" s="8"/>
      <c r="F15" s="8"/>
      <c r="G15" s="11"/>
      <c r="H15" s="33" t="s">
        <v>55</v>
      </c>
      <c r="I15" s="71">
        <f>+I14*I11</f>
        <v>25.363549783780755</v>
      </c>
      <c r="J15" s="11"/>
      <c r="K15" s="12"/>
    </row>
    <row r="16" spans="1:11" x14ac:dyDescent="0.2">
      <c r="A16" s="8"/>
      <c r="B16" s="8"/>
      <c r="C16" s="8"/>
      <c r="D16" s="8"/>
      <c r="E16" s="8"/>
      <c r="F16" s="8"/>
      <c r="G16" s="11"/>
      <c r="H16" s="11"/>
      <c r="I16" s="11"/>
      <c r="J16" s="11"/>
      <c r="K16" s="12"/>
    </row>
    <row r="17" spans="1:19" x14ac:dyDescent="0.2">
      <c r="A17" s="8"/>
      <c r="B17" s="8"/>
      <c r="C17" s="8"/>
      <c r="D17" s="8"/>
      <c r="E17" s="8"/>
      <c r="F17" s="8"/>
      <c r="G17" s="11"/>
      <c r="H17" s="11"/>
      <c r="I17" s="11"/>
      <c r="J17" s="11"/>
      <c r="K17" s="12"/>
    </row>
    <row r="18" spans="1:19" x14ac:dyDescent="0.2">
      <c r="A18" s="8"/>
      <c r="B18" s="8"/>
      <c r="C18" s="8"/>
      <c r="D18" s="8"/>
      <c r="E18" s="8"/>
      <c r="F18" s="8"/>
      <c r="G18" s="8"/>
      <c r="H18" s="11"/>
      <c r="I18" s="11"/>
      <c r="J18" s="11"/>
      <c r="K18" s="12"/>
    </row>
    <row r="19" spans="1:19" ht="18.75" x14ac:dyDescent="0.3">
      <c r="A19" s="191" t="s">
        <v>31</v>
      </c>
      <c r="B19" s="191"/>
      <c r="C19" s="191"/>
      <c r="D19" s="191"/>
      <c r="E19" s="191"/>
      <c r="F19" s="191"/>
      <c r="G19" s="191"/>
      <c r="H19" s="191"/>
      <c r="I19" s="191"/>
      <c r="J19" s="191"/>
      <c r="K19" s="192"/>
    </row>
    <row r="20" spans="1:19" x14ac:dyDescent="0.2">
      <c r="A20" s="8"/>
      <c r="B20" s="8"/>
      <c r="C20" s="8"/>
      <c r="D20" s="8"/>
      <c r="E20" s="8"/>
      <c r="F20" s="8"/>
      <c r="G20" s="8"/>
      <c r="H20" s="9"/>
      <c r="I20" s="9"/>
      <c r="J20" s="9"/>
      <c r="K20" s="10"/>
    </row>
    <row r="21" spans="1:19" x14ac:dyDescent="0.2">
      <c r="A21" s="8"/>
      <c r="B21" s="8"/>
      <c r="C21" s="8"/>
      <c r="D21" s="8"/>
      <c r="E21" s="8"/>
      <c r="F21" s="8"/>
      <c r="G21" s="8"/>
      <c r="H21" s="9"/>
      <c r="I21" s="9"/>
      <c r="J21" s="9"/>
      <c r="K21" s="10"/>
    </row>
    <row r="22" spans="1:19" ht="22.5" customHeight="1" x14ac:dyDescent="0.2">
      <c r="A22" s="8"/>
      <c r="B22" s="8"/>
      <c r="C22" s="8"/>
      <c r="D22" s="8"/>
      <c r="E22" s="8"/>
      <c r="F22" s="8"/>
      <c r="G22" s="9"/>
      <c r="H22" s="9"/>
      <c r="I22" s="9"/>
      <c r="J22" s="9"/>
      <c r="K22" s="10"/>
    </row>
    <row r="23" spans="1:19" ht="22.5" customHeight="1" x14ac:dyDescent="0.2">
      <c r="A23" s="8"/>
      <c r="B23" s="8"/>
      <c r="C23" s="8"/>
      <c r="D23" s="8"/>
      <c r="E23" s="8"/>
      <c r="F23" s="8"/>
      <c r="G23" s="9"/>
      <c r="H23" s="9"/>
      <c r="I23" s="9"/>
      <c r="J23" s="9"/>
      <c r="K23" s="10"/>
    </row>
    <row r="24" spans="1:19" ht="22.5" customHeight="1" x14ac:dyDescent="0.2">
      <c r="A24" s="8"/>
      <c r="B24" s="8"/>
      <c r="C24" s="8"/>
      <c r="D24" s="8"/>
      <c r="E24" s="8"/>
      <c r="F24" s="8"/>
      <c r="G24" s="9"/>
      <c r="H24" s="9"/>
      <c r="I24" s="9"/>
      <c r="J24" s="9"/>
      <c r="K24" s="10"/>
    </row>
    <row r="25" spans="1:19" ht="22.5" customHeight="1" x14ac:dyDescent="0.2">
      <c r="A25" s="8"/>
      <c r="B25" s="8"/>
      <c r="C25" s="8"/>
      <c r="D25" s="8"/>
      <c r="E25" s="8"/>
      <c r="F25" s="8"/>
      <c r="G25" s="9"/>
      <c r="H25" s="9"/>
      <c r="I25" s="9"/>
      <c r="J25" s="9"/>
      <c r="K25" s="10"/>
    </row>
    <row r="26" spans="1:19" ht="22.5" customHeight="1" x14ac:dyDescent="0.2">
      <c r="A26" s="8"/>
      <c r="B26" s="8"/>
      <c r="C26" s="8"/>
      <c r="D26" s="8"/>
      <c r="E26" s="8"/>
      <c r="F26" s="8"/>
      <c r="G26" s="9"/>
      <c r="H26" s="9"/>
      <c r="I26" s="9"/>
      <c r="J26" s="9"/>
      <c r="K26" s="10"/>
    </row>
    <row r="27" spans="1:19" ht="22.5" customHeight="1" x14ac:dyDescent="0.2">
      <c r="A27" s="8"/>
      <c r="B27" s="8"/>
      <c r="C27" s="8"/>
      <c r="D27" s="8"/>
      <c r="E27" s="8"/>
      <c r="F27" s="8"/>
      <c r="G27" s="9"/>
      <c r="H27" s="9"/>
      <c r="I27" s="9"/>
      <c r="J27" s="9"/>
      <c r="K27" s="10"/>
    </row>
    <row r="28" spans="1:19" ht="22.5" customHeight="1" x14ac:dyDescent="0.2">
      <c r="A28" s="8"/>
      <c r="B28" s="8"/>
      <c r="C28" s="8"/>
      <c r="D28" s="8"/>
      <c r="E28" s="8"/>
      <c r="F28" s="8"/>
      <c r="G28" s="9"/>
      <c r="H28" s="9"/>
      <c r="I28" s="9"/>
      <c r="J28" s="9"/>
      <c r="K28" s="10"/>
      <c r="S28" s="17"/>
    </row>
    <row r="29" spans="1:19" ht="22.5" customHeight="1" x14ac:dyDescent="0.2">
      <c r="A29" s="8"/>
      <c r="B29" s="8"/>
      <c r="C29" s="8"/>
      <c r="D29" s="8"/>
      <c r="E29" s="8"/>
      <c r="F29" s="8"/>
      <c r="G29" s="9"/>
      <c r="H29" s="9"/>
      <c r="I29" s="9"/>
      <c r="J29" s="9"/>
      <c r="K29" s="10"/>
    </row>
    <row r="30" spans="1:19" ht="22.5" customHeight="1" x14ac:dyDescent="0.2">
      <c r="A30" s="8"/>
      <c r="B30" s="8"/>
      <c r="C30" s="8"/>
      <c r="D30" s="8"/>
      <c r="E30" s="8"/>
      <c r="F30" s="8"/>
      <c r="G30" s="9"/>
      <c r="H30" s="9"/>
      <c r="I30" s="9"/>
      <c r="J30" s="9"/>
      <c r="K30" s="10"/>
    </row>
    <row r="31" spans="1:19" ht="22.5" customHeight="1" x14ac:dyDescent="0.2">
      <c r="A31" s="8"/>
      <c r="B31" s="8"/>
      <c r="C31" s="8"/>
      <c r="D31" s="8"/>
      <c r="E31" s="8"/>
      <c r="F31" s="8"/>
      <c r="G31" s="9"/>
      <c r="H31" s="9"/>
      <c r="I31" s="9"/>
      <c r="J31" s="9"/>
      <c r="K31" s="10"/>
    </row>
    <row r="32" spans="1:19" ht="22.5" customHeight="1" x14ac:dyDescent="0.2">
      <c r="A32" s="8"/>
      <c r="B32" s="8"/>
      <c r="C32" s="8"/>
      <c r="D32" s="8"/>
      <c r="E32" s="8"/>
      <c r="F32" s="8"/>
      <c r="G32" s="9"/>
      <c r="H32" s="9"/>
      <c r="I32" s="9"/>
      <c r="J32" s="9"/>
      <c r="K32" s="10"/>
    </row>
    <row r="33" spans="1:17" x14ac:dyDescent="0.2">
      <c r="A33" s="9"/>
      <c r="B33" s="9"/>
      <c r="C33" s="9"/>
      <c r="D33" s="9"/>
      <c r="E33" s="9"/>
      <c r="F33" s="9"/>
      <c r="G33" s="9"/>
      <c r="H33" s="9"/>
      <c r="I33" s="9"/>
      <c r="J33" s="9"/>
      <c r="K33" s="10"/>
    </row>
    <row r="34" spans="1:17" x14ac:dyDescent="0.2">
      <c r="A34" s="9"/>
      <c r="B34" s="9"/>
      <c r="C34" s="9"/>
      <c r="D34" s="9"/>
      <c r="E34" s="9"/>
      <c r="F34" s="9"/>
      <c r="G34" s="9"/>
      <c r="H34" s="9"/>
      <c r="I34" s="9"/>
      <c r="J34" s="9"/>
      <c r="K34" s="10"/>
    </row>
    <row r="35" spans="1:17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10"/>
      <c r="L35" s="16"/>
    </row>
    <row r="36" spans="1:17" x14ac:dyDescent="0.2">
      <c r="A36" s="8"/>
      <c r="B36" s="11"/>
      <c r="C36" s="11"/>
      <c r="D36" s="11"/>
      <c r="E36" s="11"/>
      <c r="F36" s="11"/>
      <c r="G36" s="11"/>
      <c r="H36" s="11"/>
      <c r="I36" s="8"/>
      <c r="J36" s="8"/>
      <c r="K36" s="10"/>
    </row>
    <row r="37" spans="1:17" ht="19.5" thickBot="1" x14ac:dyDescent="0.35">
      <c r="A37" s="37" t="s">
        <v>31</v>
      </c>
      <c r="B37" s="37"/>
      <c r="C37" s="37"/>
      <c r="D37" s="37"/>
      <c r="E37" s="37"/>
      <c r="F37" s="37"/>
      <c r="G37" s="37"/>
      <c r="H37" s="37"/>
      <c r="I37" s="37"/>
      <c r="J37" s="37"/>
      <c r="K37" s="38"/>
    </row>
    <row r="38" spans="1:17" ht="13.5" thickBot="1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M38" s="5"/>
      <c r="P38" s="5"/>
    </row>
    <row r="39" spans="1:17" x14ac:dyDescent="0.2">
      <c r="A39" s="193" t="s">
        <v>32</v>
      </c>
      <c r="B39" s="13" t="s">
        <v>33</v>
      </c>
      <c r="C39" s="13" t="s">
        <v>56</v>
      </c>
      <c r="D39" s="13" t="s">
        <v>35</v>
      </c>
      <c r="E39" s="13" t="s">
        <v>36</v>
      </c>
      <c r="F39" s="8"/>
      <c r="G39" s="11"/>
      <c r="H39" s="13" t="s">
        <v>57</v>
      </c>
      <c r="I39" s="64">
        <f>IF(I7=1,E7/60*(I10)^0.5/I11^0.75,E7/60*B10^0.5/I11^0.75)</f>
        <v>102.79843699546826</v>
      </c>
      <c r="J39" s="11"/>
      <c r="K39" s="11"/>
    </row>
    <row r="40" spans="1:17" x14ac:dyDescent="0.2">
      <c r="A40" s="194"/>
      <c r="B40" s="13" t="s">
        <v>58</v>
      </c>
      <c r="C40" s="13" t="s">
        <v>39</v>
      </c>
      <c r="D40" s="13" t="s">
        <v>40</v>
      </c>
      <c r="E40" s="13" t="s">
        <v>41</v>
      </c>
      <c r="F40" s="8"/>
      <c r="G40" s="11"/>
      <c r="H40" s="13" t="s">
        <v>59</v>
      </c>
      <c r="I40" s="64">
        <f>+I39*51.64</f>
        <v>5308.5112864459816</v>
      </c>
      <c r="J40" s="11"/>
      <c r="K40" s="11"/>
    </row>
    <row r="41" spans="1:17" x14ac:dyDescent="0.2">
      <c r="A41" s="195"/>
      <c r="B41" s="13" t="s">
        <v>37</v>
      </c>
      <c r="C41" s="13">
        <v>0.1</v>
      </c>
      <c r="D41" s="13">
        <v>0.5</v>
      </c>
      <c r="E41" s="13">
        <v>1</v>
      </c>
      <c r="F41" s="8"/>
      <c r="G41" s="11"/>
      <c r="H41" s="13" t="s">
        <v>50</v>
      </c>
      <c r="I41" s="64">
        <f>2*PI()/60*E7*F10/2000</f>
        <v>27.78948141610411</v>
      </c>
      <c r="J41" s="11" t="s">
        <v>60</v>
      </c>
      <c r="K41" s="8"/>
    </row>
    <row r="42" spans="1:17" x14ac:dyDescent="0.2">
      <c r="A42" s="8"/>
      <c r="B42" s="8"/>
      <c r="C42" s="8"/>
      <c r="D42" s="8"/>
      <c r="E42" s="8"/>
      <c r="F42" s="11"/>
      <c r="G42" s="11"/>
      <c r="H42" s="11"/>
      <c r="I42" s="8"/>
      <c r="J42" s="8"/>
      <c r="K42" s="8"/>
    </row>
    <row r="43" spans="1:17" x14ac:dyDescent="0.2">
      <c r="A43" s="8"/>
      <c r="B43" s="13" t="s">
        <v>49</v>
      </c>
      <c r="C43" s="13"/>
      <c r="D43" s="13"/>
      <c r="E43" s="13" t="s">
        <v>50</v>
      </c>
      <c r="F43" s="13"/>
      <c r="G43" s="13"/>
      <c r="H43" s="13" t="s">
        <v>21</v>
      </c>
      <c r="I43" s="13"/>
      <c r="J43" s="13"/>
      <c r="K43" s="8"/>
    </row>
    <row r="44" spans="1:17" x14ac:dyDescent="0.2">
      <c r="A44" s="8"/>
      <c r="B44" s="13" t="s">
        <v>61</v>
      </c>
      <c r="C44" s="13" t="s">
        <v>62</v>
      </c>
      <c r="D44" s="13" t="s">
        <v>63</v>
      </c>
      <c r="E44" s="13" t="s">
        <v>61</v>
      </c>
      <c r="F44" s="13" t="s">
        <v>62</v>
      </c>
      <c r="G44" s="13" t="s">
        <v>63</v>
      </c>
      <c r="H44" s="13" t="s">
        <v>61</v>
      </c>
      <c r="I44" s="13" t="s">
        <v>62</v>
      </c>
      <c r="J44" s="13" t="s">
        <v>63</v>
      </c>
      <c r="K44" s="8"/>
    </row>
    <row r="45" spans="1:17" x14ac:dyDescent="0.2">
      <c r="A45" s="13" t="s">
        <v>43</v>
      </c>
      <c r="B45" s="64">
        <f>+EnergyLevel!G54</f>
        <v>56.783430860165808</v>
      </c>
      <c r="C45" s="64">
        <f>+EnergyLevel!H54</f>
        <v>32.668338217540501</v>
      </c>
      <c r="D45" s="64">
        <f>+EnergyLevel!I54</f>
        <v>19.052746948198752</v>
      </c>
      <c r="E45" s="64">
        <f>+EnergyLevel!O54</f>
        <v>45.823901319006772</v>
      </c>
      <c r="F45" s="64">
        <f>+EnergyLevel!P54</f>
        <v>34.7780958003395</v>
      </c>
      <c r="G45" s="64">
        <f>+EnergyLevel!Q54</f>
        <v>26.786303372986847</v>
      </c>
      <c r="H45" s="64">
        <f>+EnergyLevel!R54</f>
        <v>2749.4864303476961</v>
      </c>
      <c r="I45" s="64">
        <f>+EnergyLevel!S54</f>
        <v>5204.0409387268655</v>
      </c>
      <c r="J45" s="64">
        <f>+EnergyLevel!T54</f>
        <v>2474.4812729361906</v>
      </c>
      <c r="K45" s="8"/>
      <c r="M45" s="1"/>
      <c r="N45" s="6"/>
      <c r="P45" s="1"/>
      <c r="Q45" s="6"/>
    </row>
    <row r="46" spans="1:17" x14ac:dyDescent="0.2">
      <c r="A46" s="13" t="s">
        <v>64</v>
      </c>
      <c r="B46" s="64"/>
      <c r="C46" s="64">
        <f>+EnergyLevel!J54</f>
        <v>14.652700002352328</v>
      </c>
      <c r="D46" s="64"/>
      <c r="E46" s="64"/>
      <c r="F46" s="64"/>
      <c r="G46" s="64"/>
      <c r="H46" s="64"/>
      <c r="I46" s="64"/>
      <c r="J46" s="64"/>
      <c r="K46" s="8"/>
      <c r="M46" s="2"/>
    </row>
    <row r="47" spans="1:17" x14ac:dyDescent="0.2">
      <c r="A47" s="13" t="s">
        <v>65</v>
      </c>
      <c r="B47" s="64"/>
      <c r="C47" s="64">
        <v>200</v>
      </c>
      <c r="D47" s="64"/>
      <c r="E47" s="64"/>
      <c r="F47" s="64"/>
      <c r="G47" s="64"/>
      <c r="H47" s="64"/>
      <c r="I47" s="64">
        <v>225</v>
      </c>
      <c r="J47" s="64"/>
      <c r="K47" s="8"/>
    </row>
    <row r="48" spans="1:17" x14ac:dyDescent="0.2">
      <c r="A48" s="13" t="s">
        <v>46</v>
      </c>
      <c r="B48" s="64"/>
      <c r="C48" s="64">
        <f>+EnergyLevel!K54</f>
        <v>142.70235998346388</v>
      </c>
      <c r="D48" s="64">
        <f>+EnergyLevel!L54</f>
        <v>60.648502992972148</v>
      </c>
      <c r="E48" s="64"/>
      <c r="F48" s="64"/>
      <c r="G48" s="64"/>
      <c r="H48" s="64"/>
      <c r="I48" s="64"/>
      <c r="J48" s="64"/>
      <c r="K48" s="8"/>
    </row>
    <row r="49" spans="1:11" s="4" customFormat="1" x14ac:dyDescent="0.2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</row>
    <row r="50" spans="1:11" x14ac:dyDescent="0.2">
      <c r="A50" s="8"/>
      <c r="B50" s="13" t="s">
        <v>43</v>
      </c>
      <c r="C50" s="13" t="s">
        <v>64</v>
      </c>
      <c r="D50" s="13" t="s">
        <v>65</v>
      </c>
      <c r="E50" s="13" t="s">
        <v>46</v>
      </c>
      <c r="F50" s="13" t="s">
        <v>47</v>
      </c>
      <c r="G50" s="8"/>
      <c r="H50" s="85" t="s">
        <v>48</v>
      </c>
      <c r="I50" s="86" t="str">
        <f>+IF(OR(MAX(B51:C53,E51:F53)=1,AND(D51=1,D53=1)),"HIGH",IF(MAX(B51:C53,E51:F53)=0.5,"MID","LOW"))</f>
        <v>MID</v>
      </c>
      <c r="J50" s="8"/>
      <c r="K50" s="8"/>
    </row>
    <row r="51" spans="1:11" x14ac:dyDescent="0.2">
      <c r="A51" s="13" t="s">
        <v>49</v>
      </c>
      <c r="B51" s="84">
        <f>+IF(I15&lt;D45,0.1,IF(AND(I15&gt;D45,I15&lt;C45),0.5,1))</f>
        <v>0.5</v>
      </c>
      <c r="C51" s="84">
        <f>+IF(I39&gt;77,0.1,IF(I11&lt;C46,0.1,1))</f>
        <v>0.1</v>
      </c>
      <c r="D51" s="84">
        <f>+IF(I11&lt;C47,0.1,1)</f>
        <v>0.1</v>
      </c>
      <c r="E51" s="84">
        <f>+IF(I11&lt;D48,0.1,IF(I11&gt;C48,1,0.5))</f>
        <v>0.1</v>
      </c>
      <c r="F51" s="84"/>
      <c r="G51" s="8"/>
      <c r="H51" s="8"/>
      <c r="I51" s="8"/>
      <c r="J51" s="8"/>
      <c r="K51" s="8"/>
    </row>
    <row r="52" spans="1:11" x14ac:dyDescent="0.2">
      <c r="A52" s="13" t="s">
        <v>50</v>
      </c>
      <c r="B52" s="84">
        <f>+IF(I41&lt;G45,0.1,IF(AND(I41&gt;G45,I41&lt;F45),0.5,1))</f>
        <v>0.5</v>
      </c>
      <c r="C52" s="84"/>
      <c r="D52" s="84"/>
      <c r="E52" s="84"/>
      <c r="F52" s="84"/>
      <c r="G52" s="8"/>
      <c r="H52" s="8"/>
      <c r="I52" s="8"/>
      <c r="J52" s="8"/>
      <c r="K52" s="8"/>
    </row>
    <row r="53" spans="1:11" x14ac:dyDescent="0.2">
      <c r="A53" s="13" t="s">
        <v>21</v>
      </c>
      <c r="B53" s="84">
        <f>+IF(I12&lt;J45,0.1,IF(AND(I12&gt;J45,I12&lt;I45),0.5,1))</f>
        <v>0.1</v>
      </c>
      <c r="C53" s="84"/>
      <c r="D53" s="84">
        <f>+IF(I12&lt;I47,0.1,1)</f>
        <v>1</v>
      </c>
      <c r="E53" s="84"/>
      <c r="F53" s="84" t="str">
        <f>+IF(Input_Output!E12="y",IF(I12&gt;224,1,0.1),"")</f>
        <v/>
      </c>
      <c r="G53" s="8"/>
      <c r="H53" s="8"/>
      <c r="I53" s="8"/>
      <c r="J53" s="8"/>
      <c r="K53" s="8"/>
    </row>
    <row r="54" spans="1:11" x14ac:dyDescent="0.2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</row>
  </sheetData>
  <mergeCells count="4">
    <mergeCell ref="A1:E3"/>
    <mergeCell ref="F1:K3"/>
    <mergeCell ref="A19:K19"/>
    <mergeCell ref="A39:A41"/>
  </mergeCells>
  <pageMargins left="0.7" right="0.7" top="0.75" bottom="0.75" header="0.3" footer="0.3"/>
  <pageSetup scale="78" orientation="portrait" r:id="rId1"/>
  <headerFooter alignWithMargins="0">
    <oddFooter>&amp;L&amp;F&amp;R&amp;D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B7F9568-4AE6-4602-80F1-BF9872E28720}">
          <x14:formula1>
            <xm:f>setup!$B$5:$B$6</xm:f>
          </x14:formula1>
          <xm:sqref>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8BFF9-BDA9-4F8F-8B8A-AD76A31562BA}">
  <sheetPr codeName="Foglio4"/>
  <dimension ref="A1:BN309"/>
  <sheetViews>
    <sheetView zoomScale="55" zoomScaleNormal="55" workbookViewId="0">
      <selection activeCell="L33" sqref="L33"/>
    </sheetView>
  </sheetViews>
  <sheetFormatPr defaultColWidth="9.140625" defaultRowHeight="15" x14ac:dyDescent="0.25"/>
  <cols>
    <col min="1" max="6" width="9.140625" style="40"/>
    <col min="7" max="9" width="8.42578125" style="40" customWidth="1"/>
    <col min="10" max="10" width="10" style="40" customWidth="1"/>
    <col min="11" max="18" width="9.140625" style="40"/>
    <col min="19" max="19" width="12.42578125" style="40" customWidth="1"/>
    <col min="20" max="20" width="9.140625" style="40"/>
    <col min="21" max="21" width="13" style="40" customWidth="1"/>
    <col min="22" max="22" width="11" style="40" customWidth="1"/>
    <col min="23" max="16384" width="9.140625" style="40"/>
  </cols>
  <sheetData>
    <row r="1" spans="3:66" ht="15.75" thickBot="1" x14ac:dyDescent="0.3"/>
    <row r="2" spans="3:66" ht="15.75" thickBot="1" x14ac:dyDescent="0.3">
      <c r="C2" s="198" t="s">
        <v>55</v>
      </c>
      <c r="D2" s="196"/>
      <c r="E2" s="196"/>
      <c r="F2" s="196"/>
      <c r="G2" s="196"/>
      <c r="H2" s="196"/>
      <c r="I2" s="197"/>
      <c r="J2" s="196" t="s">
        <v>21</v>
      </c>
      <c r="K2" s="196"/>
      <c r="L2" s="196"/>
      <c r="M2" s="196"/>
      <c r="N2" s="196"/>
      <c r="O2" s="196"/>
      <c r="P2" s="197"/>
      <c r="Q2" s="196" t="s">
        <v>50</v>
      </c>
      <c r="R2" s="196"/>
      <c r="S2" s="196"/>
      <c r="T2" s="197"/>
      <c r="U2" s="196" t="s">
        <v>66</v>
      </c>
      <c r="V2" s="196"/>
      <c r="W2" s="196"/>
      <c r="X2" s="197"/>
      <c r="Y2" s="39"/>
      <c r="AO2" s="198" t="s">
        <v>55</v>
      </c>
      <c r="AP2" s="196"/>
      <c r="AQ2" s="196"/>
      <c r="AR2" s="196"/>
      <c r="AS2" s="196"/>
      <c r="AT2" s="196"/>
      <c r="AU2" s="197"/>
      <c r="AV2" s="196" t="s">
        <v>21</v>
      </c>
      <c r="AW2" s="196"/>
      <c r="AX2" s="196"/>
      <c r="AY2" s="196"/>
      <c r="AZ2" s="196"/>
      <c r="BA2" s="196"/>
      <c r="BB2" s="197"/>
      <c r="BC2" s="196" t="s">
        <v>50</v>
      </c>
      <c r="BD2" s="196"/>
      <c r="BE2" s="196"/>
      <c r="BF2" s="197"/>
      <c r="BG2" s="196" t="s">
        <v>66</v>
      </c>
      <c r="BH2" s="196"/>
      <c r="BI2" s="196"/>
      <c r="BJ2" s="197"/>
      <c r="BL2" s="40" t="s">
        <v>47</v>
      </c>
    </row>
    <row r="3" spans="3:66" x14ac:dyDescent="0.25">
      <c r="C3" s="41"/>
      <c r="D3" s="198" t="s">
        <v>67</v>
      </c>
      <c r="E3" s="196"/>
      <c r="F3" s="196"/>
      <c r="G3" s="198" t="s">
        <v>68</v>
      </c>
      <c r="H3" s="196"/>
      <c r="I3" s="197"/>
      <c r="J3" s="39"/>
      <c r="K3" s="198" t="s">
        <v>69</v>
      </c>
      <c r="L3" s="196"/>
      <c r="M3" s="197"/>
      <c r="N3" s="198" t="s">
        <v>70</v>
      </c>
      <c r="O3" s="196"/>
      <c r="P3" s="197"/>
      <c r="Q3" s="39"/>
      <c r="R3" s="198" t="s">
        <v>43</v>
      </c>
      <c r="S3" s="196"/>
      <c r="T3" s="197"/>
      <c r="U3" s="39"/>
      <c r="V3" s="198" t="s">
        <v>43</v>
      </c>
      <c r="W3" s="196"/>
      <c r="X3" s="197"/>
      <c r="Y3" s="39"/>
      <c r="AO3" s="41"/>
      <c r="AP3" s="198" t="s">
        <v>67</v>
      </c>
      <c r="AQ3" s="196"/>
      <c r="AR3" s="196"/>
      <c r="AS3" s="198" t="s">
        <v>68</v>
      </c>
      <c r="AT3" s="196"/>
      <c r="AU3" s="197"/>
      <c r="AV3" s="39"/>
      <c r="AW3" s="198" t="s">
        <v>69</v>
      </c>
      <c r="AX3" s="196"/>
      <c r="AY3" s="197"/>
      <c r="AZ3" s="198" t="s">
        <v>70</v>
      </c>
      <c r="BA3" s="196"/>
      <c r="BB3" s="197"/>
      <c r="BC3" s="39"/>
      <c r="BD3" s="198" t="s">
        <v>43</v>
      </c>
      <c r="BE3" s="196"/>
      <c r="BF3" s="197"/>
      <c r="BG3" s="39"/>
      <c r="BH3" s="198" t="s">
        <v>43</v>
      </c>
      <c r="BI3" s="196"/>
      <c r="BJ3" s="197"/>
    </row>
    <row r="4" spans="3:66" x14ac:dyDescent="0.25">
      <c r="C4" s="41"/>
      <c r="D4" s="41"/>
      <c r="G4" s="41"/>
      <c r="I4" s="42"/>
      <c r="K4" s="41"/>
      <c r="M4" s="42"/>
      <c r="N4" s="41"/>
      <c r="P4" s="42"/>
      <c r="R4" s="41"/>
      <c r="T4" s="42"/>
      <c r="V4" s="41"/>
      <c r="X4" s="42"/>
      <c r="AO4" s="41"/>
      <c r="AP4" s="41"/>
      <c r="AS4" s="41"/>
      <c r="AU4" s="42"/>
      <c r="AW4" s="41"/>
      <c r="AY4" s="42"/>
      <c r="AZ4" s="41"/>
      <c r="BB4" s="42"/>
      <c r="BD4" s="41"/>
      <c r="BF4" s="42"/>
      <c r="BH4" s="41"/>
      <c r="BJ4" s="42"/>
      <c r="BL4" s="40" t="s">
        <v>57</v>
      </c>
      <c r="BM4" s="40" t="s">
        <v>71</v>
      </c>
      <c r="BN4" s="40" t="s">
        <v>21</v>
      </c>
    </row>
    <row r="5" spans="3:66" x14ac:dyDescent="0.25">
      <c r="C5" s="41"/>
      <c r="D5" s="43" t="s">
        <v>63</v>
      </c>
      <c r="E5" s="44" t="s">
        <v>62</v>
      </c>
      <c r="F5" s="45" t="s">
        <v>61</v>
      </c>
      <c r="G5" s="43" t="s">
        <v>63</v>
      </c>
      <c r="H5" s="44" t="s">
        <v>62</v>
      </c>
      <c r="I5" s="46" t="s">
        <v>61</v>
      </c>
      <c r="J5" s="47"/>
      <c r="K5" s="43" t="s">
        <v>63</v>
      </c>
      <c r="L5" s="44" t="s">
        <v>62</v>
      </c>
      <c r="M5" s="46" t="s">
        <v>61</v>
      </c>
      <c r="N5" s="43" t="s">
        <v>63</v>
      </c>
      <c r="O5" s="44" t="s">
        <v>62</v>
      </c>
      <c r="P5" s="46" t="s">
        <v>61</v>
      </c>
      <c r="R5" s="43" t="s">
        <v>63</v>
      </c>
      <c r="S5" s="44" t="s">
        <v>62</v>
      </c>
      <c r="T5" s="46" t="s">
        <v>61</v>
      </c>
      <c r="V5" s="43" t="s">
        <v>63</v>
      </c>
      <c r="W5" s="44" t="s">
        <v>62</v>
      </c>
      <c r="X5" s="46" t="s">
        <v>61</v>
      </c>
      <c r="AO5" s="41"/>
      <c r="AP5" s="43"/>
      <c r="AQ5" s="44"/>
      <c r="AR5" s="45"/>
      <c r="AS5" s="43"/>
      <c r="AT5" s="44"/>
      <c r="AU5" s="46"/>
      <c r="AV5" s="47"/>
      <c r="AW5" s="43"/>
      <c r="AX5" s="44"/>
      <c r="AY5" s="46"/>
      <c r="AZ5" s="43"/>
      <c r="BA5" s="44"/>
      <c r="BB5" s="46"/>
      <c r="BD5" s="43"/>
      <c r="BE5" s="44"/>
      <c r="BF5" s="46"/>
      <c r="BH5" s="43"/>
      <c r="BI5" s="44"/>
      <c r="BJ5" s="46"/>
      <c r="BL5" s="40">
        <v>1</v>
      </c>
      <c r="BM5" s="40">
        <v>1</v>
      </c>
      <c r="BN5" s="40">
        <v>224</v>
      </c>
    </row>
    <row r="6" spans="3:66" x14ac:dyDescent="0.25">
      <c r="C6" s="41" t="s">
        <v>72</v>
      </c>
      <c r="D6" s="41">
        <v>196</v>
      </c>
      <c r="E6" s="40">
        <v>94.4</v>
      </c>
      <c r="F6" s="40">
        <v>55.6</v>
      </c>
      <c r="G6" s="41"/>
      <c r="I6" s="42"/>
      <c r="K6" s="41"/>
      <c r="M6" s="42"/>
      <c r="N6" s="41"/>
      <c r="P6" s="42"/>
      <c r="Q6" s="48" t="s">
        <v>72</v>
      </c>
      <c r="R6" s="41">
        <v>60.4</v>
      </c>
      <c r="S6" s="40">
        <v>43.6</v>
      </c>
      <c r="T6" s="42">
        <v>34.6</v>
      </c>
      <c r="U6" s="40" t="s">
        <v>72</v>
      </c>
      <c r="V6" s="40">
        <v>-373.92</v>
      </c>
      <c r="W6" s="40">
        <v>-29.056000000000001</v>
      </c>
      <c r="X6" s="40">
        <v>73.245000000000005</v>
      </c>
      <c r="AO6" s="41"/>
      <c r="AP6" s="41"/>
      <c r="AS6" s="41"/>
      <c r="AU6" s="42"/>
      <c r="AW6" s="41"/>
      <c r="AY6" s="42"/>
      <c r="AZ6" s="41"/>
      <c r="BB6" s="42"/>
      <c r="BC6" s="48"/>
      <c r="BD6" s="41"/>
      <c r="BF6" s="42"/>
      <c r="BL6" s="40">
        <v>200</v>
      </c>
      <c r="BM6" s="40">
        <v>200</v>
      </c>
      <c r="BN6" s="40">
        <v>224</v>
      </c>
    </row>
    <row r="7" spans="3:66" x14ac:dyDescent="0.25">
      <c r="C7" s="41" t="s">
        <v>73</v>
      </c>
      <c r="D7" s="41">
        <v>18.190476189999998</v>
      </c>
      <c r="E7" s="40">
        <v>15.433333333</v>
      </c>
      <c r="F7" s="40">
        <v>9.3428571429999998</v>
      </c>
      <c r="G7" s="41"/>
      <c r="I7" s="42"/>
      <c r="K7" s="41"/>
      <c r="M7" s="42"/>
      <c r="N7" s="41"/>
      <c r="P7" s="42"/>
      <c r="Q7" s="48" t="s">
        <v>73</v>
      </c>
      <c r="R7" s="41">
        <v>1.2</v>
      </c>
      <c r="S7" s="40">
        <v>1.861904762</v>
      </c>
      <c r="T7" s="42">
        <v>1.0190479189999999</v>
      </c>
      <c r="U7" s="40" t="s">
        <v>73</v>
      </c>
      <c r="V7" s="40">
        <v>61.216000000000001</v>
      </c>
      <c r="W7" s="40">
        <v>17.134</v>
      </c>
      <c r="X7" s="40">
        <v>-0.73909999999999998</v>
      </c>
      <c r="AO7" s="41"/>
      <c r="AP7" s="41"/>
      <c r="AS7" s="41"/>
      <c r="AU7" s="42"/>
      <c r="AW7" s="41"/>
      <c r="AY7" s="42"/>
      <c r="AZ7" s="41"/>
      <c r="BB7" s="42"/>
      <c r="BC7" s="48"/>
      <c r="BD7" s="41"/>
      <c r="BF7" s="42"/>
      <c r="BM7" s="40">
        <v>1000</v>
      </c>
      <c r="BN7" s="40">
        <v>224</v>
      </c>
    </row>
    <row r="8" spans="3:66" x14ac:dyDescent="0.25">
      <c r="C8" s="41" t="s">
        <v>74</v>
      </c>
      <c r="D8" s="41">
        <v>-1.928571429</v>
      </c>
      <c r="E8" s="40">
        <v>-1.5</v>
      </c>
      <c r="F8" s="40">
        <v>-0.88142857100000005</v>
      </c>
      <c r="G8" s="41"/>
      <c r="I8" s="42"/>
      <c r="K8" s="41"/>
      <c r="M8" s="42"/>
      <c r="N8" s="41"/>
      <c r="P8" s="42"/>
      <c r="Q8" s="48" t="s">
        <v>74</v>
      </c>
      <c r="R8" s="41">
        <v>-0.09</v>
      </c>
      <c r="S8" s="40">
        <v>-0.15428571399999999</v>
      </c>
      <c r="T8" s="42">
        <v>-9.2857143000000003E-2</v>
      </c>
      <c r="U8" s="40" t="s">
        <v>74</v>
      </c>
      <c r="V8" s="40">
        <v>-0.87560000000000004</v>
      </c>
      <c r="W8" s="40">
        <v>-0.31909999999999999</v>
      </c>
      <c r="X8" s="40">
        <v>9.0499999999999997E-2</v>
      </c>
      <c r="AO8" s="41"/>
      <c r="AP8" s="41"/>
      <c r="AS8" s="41"/>
      <c r="AU8" s="42"/>
      <c r="AW8" s="41"/>
      <c r="AY8" s="42"/>
      <c r="AZ8" s="41"/>
      <c r="BB8" s="42"/>
      <c r="BC8" s="48"/>
      <c r="BD8" s="41"/>
      <c r="BF8" s="42"/>
    </row>
    <row r="9" spans="3:66" x14ac:dyDescent="0.25">
      <c r="C9" s="41" t="s">
        <v>75</v>
      </c>
      <c r="D9" s="41">
        <v>8.6666667000000003E-2</v>
      </c>
      <c r="E9" s="40">
        <v>5.8666666999999999E-2</v>
      </c>
      <c r="F9" s="40">
        <v>3.4000000000000002E-2</v>
      </c>
      <c r="G9" s="41"/>
      <c r="I9" s="42"/>
      <c r="K9" s="41"/>
      <c r="M9" s="42"/>
      <c r="N9" s="41"/>
      <c r="P9" s="42"/>
      <c r="Q9" s="48" t="s">
        <v>75</v>
      </c>
      <c r="R9" s="41">
        <v>6.0000000000000001E-3</v>
      </c>
      <c r="S9" s="40">
        <v>6.6666670000000003E-3</v>
      </c>
      <c r="T9" s="42">
        <v>4.6666670000000002E-3</v>
      </c>
      <c r="U9" s="40" t="s">
        <v>75</v>
      </c>
      <c r="V9" s="40">
        <v>5.5999999999999999E-3</v>
      </c>
      <c r="W9" s="40">
        <v>6.3E-3</v>
      </c>
      <c r="X9" s="40">
        <v>1.4E-3</v>
      </c>
      <c r="AO9" s="41"/>
      <c r="AP9" s="41"/>
      <c r="AS9" s="41"/>
      <c r="AU9" s="42"/>
      <c r="AW9" s="41"/>
      <c r="AY9" s="42"/>
      <c r="AZ9" s="41"/>
      <c r="BB9" s="42"/>
      <c r="BC9" s="48"/>
      <c r="BD9" s="41"/>
      <c r="BF9" s="42"/>
    </row>
    <row r="10" spans="3:66" x14ac:dyDescent="0.25">
      <c r="C10" s="41" t="s">
        <v>76</v>
      </c>
      <c r="D10" s="41">
        <v>800</v>
      </c>
      <c r="E10" s="40">
        <v>460</v>
      </c>
      <c r="F10" s="40">
        <v>270</v>
      </c>
      <c r="G10" s="41"/>
      <c r="I10" s="42"/>
      <c r="K10" s="41"/>
      <c r="M10" s="42"/>
      <c r="N10" s="41"/>
      <c r="Q10" s="48" t="s">
        <v>76</v>
      </c>
      <c r="R10" s="41">
        <v>128</v>
      </c>
      <c r="S10" s="40">
        <v>98</v>
      </c>
      <c r="T10" s="42">
        <v>75</v>
      </c>
      <c r="AO10" s="41"/>
      <c r="AP10" s="41"/>
      <c r="AS10" s="41"/>
      <c r="AU10" s="42"/>
      <c r="AW10" s="41"/>
      <c r="AY10" s="42"/>
      <c r="AZ10" s="41"/>
      <c r="BC10" s="48"/>
      <c r="BD10" s="41"/>
      <c r="BF10" s="42"/>
    </row>
    <row r="11" spans="3:66" x14ac:dyDescent="0.25">
      <c r="C11" s="41" t="s">
        <v>77</v>
      </c>
      <c r="D11" s="41">
        <v>2111221.9556685998</v>
      </c>
      <c r="E11" s="40">
        <v>1256659.1670234799</v>
      </c>
      <c r="F11" s="40">
        <v>713901.87880245701</v>
      </c>
      <c r="G11" s="41"/>
      <c r="H11" s="40">
        <f>+'API610-12ed-preview'!K5</f>
        <v>210.974884470615</v>
      </c>
      <c r="I11" s="42"/>
      <c r="J11" s="40" t="s">
        <v>77</v>
      </c>
      <c r="K11" s="41"/>
      <c r="M11" s="42"/>
      <c r="N11" s="41"/>
      <c r="O11" s="40">
        <v>1400</v>
      </c>
      <c r="P11" s="42">
        <v>595</v>
      </c>
      <c r="Q11" s="48" t="s">
        <v>72</v>
      </c>
      <c r="R11" s="41">
        <v>327.69153626999997</v>
      </c>
      <c r="S11" s="40">
        <v>249.78261234799999</v>
      </c>
      <c r="T11" s="42">
        <v>192.964697718</v>
      </c>
      <c r="AO11" s="41"/>
      <c r="AP11" s="41"/>
      <c r="AS11" s="41"/>
      <c r="AU11" s="42"/>
      <c r="AW11" s="41"/>
      <c r="AY11" s="42"/>
      <c r="AZ11" s="41"/>
      <c r="BB11" s="42"/>
      <c r="BC11" s="48"/>
      <c r="BD11" s="41"/>
      <c r="BF11" s="42"/>
    </row>
    <row r="12" spans="3:66" x14ac:dyDescent="0.25">
      <c r="C12" s="41" t="s">
        <v>78</v>
      </c>
      <c r="D12" s="41">
        <v>-2.2715421990000002</v>
      </c>
      <c r="E12" s="40">
        <v>-2.2788872759999999</v>
      </c>
      <c r="F12" s="40">
        <v>-2.2732164949999998</v>
      </c>
      <c r="G12" s="49"/>
      <c r="H12" s="40">
        <f>+'API610-12ed-preview'!L5</f>
        <v>27.110766847405113</v>
      </c>
      <c r="I12" s="50"/>
      <c r="J12" s="40" t="s">
        <v>78</v>
      </c>
      <c r="K12" s="41"/>
      <c r="M12" s="42"/>
      <c r="N12" s="49"/>
      <c r="O12" s="40">
        <v>-0.33300000000000002</v>
      </c>
      <c r="P12" s="42">
        <v>-0.33300000000000002</v>
      </c>
      <c r="Q12" s="48" t="s">
        <v>73</v>
      </c>
      <c r="R12" s="41">
        <v>-10.286049308999999</v>
      </c>
      <c r="S12" s="40">
        <v>-7.8037310169999996</v>
      </c>
      <c r="T12" s="42">
        <v>-6.115721035</v>
      </c>
      <c r="AO12" s="41"/>
      <c r="AP12" s="41"/>
      <c r="AS12" s="49"/>
      <c r="AU12" s="50"/>
      <c r="AW12" s="41"/>
      <c r="AY12" s="42"/>
      <c r="AZ12" s="49"/>
      <c r="BB12" s="42"/>
      <c r="BC12" s="48"/>
      <c r="BD12" s="41"/>
      <c r="BF12" s="42"/>
    </row>
    <row r="13" spans="3:66" x14ac:dyDescent="0.25">
      <c r="C13" s="41"/>
      <c r="D13" s="41"/>
      <c r="G13" s="41"/>
      <c r="I13" s="42"/>
      <c r="K13" s="41"/>
      <c r="M13" s="42"/>
      <c r="N13" s="41"/>
      <c r="P13" s="42"/>
      <c r="Q13" s="48" t="s">
        <v>74</v>
      </c>
      <c r="R13" s="41">
        <v>0.16544667499999999</v>
      </c>
      <c r="S13" s="40">
        <v>0.12543210699999999</v>
      </c>
      <c r="T13" s="42">
        <v>9.9579511999999995E-2</v>
      </c>
      <c r="AO13" s="41"/>
      <c r="AP13" s="41"/>
      <c r="AS13" s="41"/>
      <c r="AU13" s="42"/>
      <c r="AW13" s="41"/>
      <c r="AY13" s="42"/>
      <c r="AZ13" s="41"/>
      <c r="BB13" s="42"/>
      <c r="BC13" s="48"/>
      <c r="BD13" s="41"/>
      <c r="BF13" s="42"/>
    </row>
    <row r="14" spans="3:66" x14ac:dyDescent="0.25">
      <c r="C14" s="41"/>
      <c r="D14" s="41"/>
      <c r="G14" s="41"/>
      <c r="I14" s="42"/>
      <c r="K14" s="41"/>
      <c r="M14" s="42"/>
      <c r="N14" s="41"/>
      <c r="P14" s="42"/>
      <c r="Q14" s="48" t="s">
        <v>75</v>
      </c>
      <c r="R14" s="41">
        <v>-1.4588310000000001E-3</v>
      </c>
      <c r="S14" s="40">
        <v>-1.1108050000000001E-3</v>
      </c>
      <c r="T14" s="42">
        <v>-8.8939399999999995E-4</v>
      </c>
      <c r="AO14" s="41"/>
      <c r="AP14" s="41"/>
      <c r="AS14" s="41"/>
      <c r="AU14" s="42"/>
      <c r="AW14" s="41"/>
      <c r="AY14" s="42"/>
      <c r="AZ14" s="41"/>
      <c r="BB14" s="42"/>
      <c r="BC14" s="48"/>
      <c r="BD14" s="41"/>
      <c r="BF14" s="42"/>
    </row>
    <row r="15" spans="3:66" x14ac:dyDescent="0.25">
      <c r="C15" s="41"/>
      <c r="D15" s="41"/>
      <c r="G15" s="41"/>
      <c r="I15" s="42"/>
      <c r="K15" s="41"/>
      <c r="M15" s="42"/>
      <c r="N15" s="41"/>
      <c r="P15" s="42"/>
      <c r="Q15" s="48" t="s">
        <v>79</v>
      </c>
      <c r="R15" s="41">
        <v>7.1609999999999997E-6</v>
      </c>
      <c r="S15" s="40">
        <v>5.4960000000000004E-6</v>
      </c>
      <c r="T15" s="42">
        <v>4.4159999999999997E-6</v>
      </c>
      <c r="AO15" s="41"/>
      <c r="AP15" s="41"/>
      <c r="AS15" s="41"/>
      <c r="AU15" s="42"/>
      <c r="AW15" s="41"/>
      <c r="AY15" s="42"/>
      <c r="AZ15" s="41"/>
      <c r="BB15" s="42"/>
      <c r="BC15" s="48"/>
      <c r="BD15" s="41"/>
      <c r="BF15" s="42"/>
    </row>
    <row r="16" spans="3:66" x14ac:dyDescent="0.25">
      <c r="C16" s="41"/>
      <c r="D16" s="41"/>
      <c r="G16" s="41"/>
      <c r="I16" s="42"/>
      <c r="K16" s="41"/>
      <c r="M16" s="42"/>
      <c r="N16" s="41"/>
      <c r="P16" s="42"/>
      <c r="Q16" s="48" t="s">
        <v>80</v>
      </c>
      <c r="R16" s="41">
        <v>-1.8306504670000001E-8</v>
      </c>
      <c r="S16" s="40">
        <v>-1.418966008E-8</v>
      </c>
      <c r="T16" s="42">
        <v>-1.139580414E-8</v>
      </c>
      <c r="AO16" s="41"/>
      <c r="AP16" s="41"/>
      <c r="AS16" s="41"/>
      <c r="AU16" s="42"/>
      <c r="AW16" s="41"/>
      <c r="AY16" s="42"/>
      <c r="AZ16" s="41"/>
      <c r="BB16" s="42"/>
      <c r="BC16" s="48"/>
      <c r="BD16" s="41"/>
      <c r="BF16" s="42"/>
    </row>
    <row r="17" spans="2:63" x14ac:dyDescent="0.25">
      <c r="C17" s="41"/>
      <c r="D17" s="41"/>
      <c r="G17" s="41"/>
      <c r="I17" s="42"/>
      <c r="K17" s="41"/>
      <c r="M17" s="42"/>
      <c r="N17" s="41"/>
      <c r="P17" s="42"/>
      <c r="Q17" s="48" t="s">
        <v>81</v>
      </c>
      <c r="R17" s="41">
        <v>1.897531741E-11</v>
      </c>
      <c r="S17" s="40">
        <v>1.4860842430000002E-11</v>
      </c>
      <c r="T17" s="42">
        <v>1.190212187E-11</v>
      </c>
      <c r="AN17" s="199"/>
      <c r="AO17" s="199"/>
      <c r="AP17" s="199"/>
      <c r="AQ17" s="199"/>
      <c r="AR17" s="199"/>
      <c r="AS17" s="199"/>
      <c r="AT17" s="199"/>
      <c r="AU17" s="199"/>
      <c r="AV17" s="199"/>
      <c r="AW17" s="199"/>
      <c r="AX17" s="199"/>
      <c r="AY17" s="199"/>
      <c r="AZ17" s="199"/>
      <c r="BA17" s="199"/>
      <c r="BB17" s="199"/>
      <c r="BC17" s="199"/>
      <c r="BD17" s="199"/>
      <c r="BE17" s="199"/>
      <c r="BF17" s="199"/>
      <c r="BG17" s="199"/>
      <c r="BH17" s="199"/>
      <c r="BI17" s="199"/>
      <c r="BJ17" s="199"/>
      <c r="BK17" s="199"/>
    </row>
    <row r="18" spans="2:63" x14ac:dyDescent="0.25">
      <c r="C18" s="51" t="s">
        <v>57</v>
      </c>
      <c r="D18" s="43" t="s">
        <v>63</v>
      </c>
      <c r="E18" s="44" t="s">
        <v>62</v>
      </c>
      <c r="F18" s="45" t="s">
        <v>61</v>
      </c>
      <c r="G18" s="43" t="s">
        <v>63</v>
      </c>
      <c r="H18" s="44" t="s">
        <v>62</v>
      </c>
      <c r="I18" s="46" t="s">
        <v>61</v>
      </c>
      <c r="J18" s="47" t="s">
        <v>82</v>
      </c>
      <c r="K18" s="43" t="s">
        <v>63</v>
      </c>
      <c r="L18" s="44" t="s">
        <v>62</v>
      </c>
      <c r="M18" s="46" t="s">
        <v>61</v>
      </c>
      <c r="N18" s="43" t="s">
        <v>63</v>
      </c>
      <c r="O18" s="44" t="s">
        <v>62</v>
      </c>
      <c r="P18" s="46" t="s">
        <v>61</v>
      </c>
      <c r="Q18" s="47" t="s">
        <v>57</v>
      </c>
      <c r="R18" s="43" t="s">
        <v>63</v>
      </c>
      <c r="S18" s="44" t="s">
        <v>62</v>
      </c>
      <c r="T18" s="46" t="s">
        <v>61</v>
      </c>
      <c r="U18" s="47" t="s">
        <v>57</v>
      </c>
      <c r="AO18" s="51" t="s">
        <v>57</v>
      </c>
      <c r="AP18" s="43" t="s">
        <v>63</v>
      </c>
      <c r="AQ18" s="44" t="s">
        <v>62</v>
      </c>
      <c r="AR18" s="45" t="s">
        <v>61</v>
      </c>
      <c r="AS18" s="43" t="s">
        <v>63</v>
      </c>
      <c r="AT18" s="44" t="s">
        <v>62</v>
      </c>
      <c r="AU18" s="46" t="s">
        <v>61</v>
      </c>
      <c r="AV18" s="47" t="s">
        <v>82</v>
      </c>
      <c r="AW18" s="43" t="s">
        <v>63</v>
      </c>
      <c r="AX18" s="44" t="s">
        <v>62</v>
      </c>
      <c r="AY18" s="46" t="s">
        <v>61</v>
      </c>
      <c r="AZ18" s="43" t="s">
        <v>63</v>
      </c>
      <c r="BA18" s="44" t="s">
        <v>62</v>
      </c>
      <c r="BB18" s="46" t="s">
        <v>61</v>
      </c>
      <c r="BC18" s="47" t="s">
        <v>57</v>
      </c>
      <c r="BD18" s="43" t="s">
        <v>63</v>
      </c>
      <c r="BE18" s="44" t="s">
        <v>62</v>
      </c>
      <c r="BF18" s="46" t="s">
        <v>61</v>
      </c>
      <c r="BG18" s="47" t="s">
        <v>57</v>
      </c>
    </row>
    <row r="19" spans="2:63" x14ac:dyDescent="0.25">
      <c r="C19" s="51">
        <v>5</v>
      </c>
      <c r="D19" s="43">
        <f t="shared" ref="D19:F46" si="0">+IF($C19&lt;26,D$6+D$7*$C19+D$8*$C19^2+D$9*$C19^3,IF($C19&gt;32,D$11*$C19^D$12,D$10))</f>
        <v>249.57142860000002</v>
      </c>
      <c r="E19" s="44">
        <f t="shared" si="0"/>
        <v>141.40000004000001</v>
      </c>
      <c r="F19" s="45">
        <f t="shared" si="0"/>
        <v>84.528571440000007</v>
      </c>
      <c r="G19" s="43"/>
      <c r="H19" s="44">
        <f>$H$11*($H$12/C19)^2*Metric_Conversion!$I$14*Metric_Conversion!$I$14</f>
        <v>6184.8189547197362</v>
      </c>
      <c r="I19" s="46"/>
      <c r="J19" s="47">
        <v>10</v>
      </c>
      <c r="K19" s="43"/>
      <c r="L19" s="44"/>
      <c r="M19" s="46"/>
      <c r="N19" s="43"/>
      <c r="O19" s="44">
        <f>O$11*$J19^O$12</f>
        <v>650.3213853118491</v>
      </c>
      <c r="P19" s="46">
        <f t="shared" ref="O19:P46" si="1">P$11*$J19^P$12</f>
        <v>276.38658875753589</v>
      </c>
      <c r="Q19" s="47">
        <f t="shared" ref="Q19:Q46" si="2">+C19</f>
        <v>5</v>
      </c>
      <c r="R19" s="43">
        <f t="shared" ref="R19:T45" si="3">+IF($C19&lt;26,R$6+R$7*$C19+R$8*$C19^2+R$9*$C19^3,IF($C19&gt;32,R$11+R$12*$C19+R$13*$C19^2+R$14*$C19^3+R$15*$C19^4+R$16*$C19^5+R$17*$C19^6,R$10))</f>
        <v>64.900000000000006</v>
      </c>
      <c r="S19" s="43">
        <f t="shared" si="3"/>
        <v>49.885714335000003</v>
      </c>
      <c r="T19" s="43">
        <f t="shared" si="3"/>
        <v>37.957144395000007</v>
      </c>
      <c r="U19" s="47">
        <f>+C19</f>
        <v>5</v>
      </c>
      <c r="V19" s="40">
        <f>+V$6+V$7*$U19+V$8*$U19^2+V$9*$U19^3</f>
        <v>-89.03000000000003</v>
      </c>
      <c r="W19" s="40">
        <f>+W$6+W$7*$U19+W$8*$U19^2+W$9*$U19^3</f>
        <v>49.424000000000007</v>
      </c>
      <c r="X19" s="40">
        <f>+X$6+X$7*$U19+X$8*$U19^2+X$9*$U19^3</f>
        <v>71.987000000000009</v>
      </c>
      <c r="AO19" s="51">
        <f>+IF(Input_Output!$E$6="SI",EnergyLevel!C19,EnergyLevel!C19*51.64)</f>
        <v>5</v>
      </c>
      <c r="AP19" s="51">
        <f>+IF(Input_Output!$E$6="SI",EnergyLevel!D19,EnergyLevel!D19*0.3048)</f>
        <v>249.57142860000002</v>
      </c>
      <c r="AQ19" s="51">
        <f>+IF(Input_Output!$E$6="SI",EnergyLevel!E19,EnergyLevel!E19*0.3048)</f>
        <v>141.40000004000001</v>
      </c>
      <c r="AR19" s="51">
        <f>+IF(Input_Output!$E$6="SI",EnergyLevel!F19,EnergyLevel!F19*0.3048)</f>
        <v>84.528571440000007</v>
      </c>
      <c r="AS19" s="51">
        <f>+IF(Input_Output!$E$6="SI",EnergyLevel!G19,EnergyLevel!G19*0.3048)</f>
        <v>0</v>
      </c>
      <c r="AT19" s="51">
        <f>+IF(Input_Output!$E$6="SI",EnergyLevel!H19,EnergyLevel!H19*0.3048)</f>
        <v>6184.8189547197362</v>
      </c>
      <c r="AU19" s="51">
        <f>+IF(Input_Output!$E$6="SI",EnergyLevel!I19,EnergyLevel!I19*0.3048)</f>
        <v>0</v>
      </c>
      <c r="AV19" s="51">
        <f>+IF(Input_Output!$E$6="SI",EnergyLevel!J19,EnergyLevel!J19/0.7457)</f>
        <v>10</v>
      </c>
      <c r="AW19" s="51">
        <f>+IF(Input_Output!$E$6="SI",EnergyLevel!K19,EnergyLevel!K19*0.3048)</f>
        <v>0</v>
      </c>
      <c r="AX19" s="51">
        <f>+IF(Input_Output!$E$6="SI",EnergyLevel!L19,EnergyLevel!L19*0.3048)</f>
        <v>0</v>
      </c>
      <c r="AY19" s="51">
        <f>+IF(Input_Output!$E$6="SI",EnergyLevel!M19,EnergyLevel!M19*0.3048)</f>
        <v>0</v>
      </c>
      <c r="AZ19" s="51">
        <f>+IF(Input_Output!$E$6="SI",EnergyLevel!N19,EnergyLevel!N19*0.3048)</f>
        <v>0</v>
      </c>
      <c r="BA19" s="51">
        <f>+IF(Input_Output!$E$6="SI",EnergyLevel!O19,EnergyLevel!O19*0.3048)</f>
        <v>650.3213853118491</v>
      </c>
      <c r="BB19" s="51">
        <f>+IF(Input_Output!$E$6="SI",EnergyLevel!P19,EnergyLevel!P19*0.3048)</f>
        <v>276.38658875753589</v>
      </c>
      <c r="BC19" s="51">
        <f>+IF(Input_Output!$E$6="SI",EnergyLevel!Q19,EnergyLevel!Q19*51.64)</f>
        <v>5</v>
      </c>
      <c r="BD19" s="51">
        <f>+IF(Input_Output!$E$6="SI",EnergyLevel!R19,EnergyLevel!R19*0.3048)</f>
        <v>64.900000000000006</v>
      </c>
      <c r="BE19" s="51">
        <f>+IF(Input_Output!$E$6="SI",EnergyLevel!S19,EnergyLevel!S19*0.3048)</f>
        <v>49.885714335000003</v>
      </c>
      <c r="BF19" s="51">
        <f>+IF(Input_Output!$E$6="SI",EnergyLevel!T19,EnergyLevel!T19*0.3048)</f>
        <v>37.957144395000007</v>
      </c>
      <c r="BG19" s="51">
        <f>+IF(Input_Output!$E$6="SI",EnergyLevel!U19,EnergyLevel!U19*51.64)</f>
        <v>5</v>
      </c>
      <c r="BH19" s="51">
        <f>+IF(Input_Output!$E$6="SI",EnergyLevel!V19,EnergyLevel!V19/0.7457)</f>
        <v>-89.03000000000003</v>
      </c>
      <c r="BI19" s="51">
        <f>+IF(Input_Output!$E$6="SI",EnergyLevel!W19,EnergyLevel!W19/0.7457)</f>
        <v>49.424000000000007</v>
      </c>
      <c r="BJ19" s="51">
        <f>+IF(Input_Output!$E$6="SI",EnergyLevel!X19,EnergyLevel!X19/0.7457)</f>
        <v>71.987000000000009</v>
      </c>
    </row>
    <row r="20" spans="2:63" x14ac:dyDescent="0.25">
      <c r="C20" s="51">
        <v>10</v>
      </c>
      <c r="D20" s="43">
        <f t="shared" si="0"/>
        <v>271.71428599999996</v>
      </c>
      <c r="E20" s="44">
        <f t="shared" si="0"/>
        <v>157.40000033000001</v>
      </c>
      <c r="F20" s="45">
        <f t="shared" si="0"/>
        <v>94.885714329999999</v>
      </c>
      <c r="G20" s="43"/>
      <c r="H20" s="44">
        <f>$H$11*($H$12/C20)^2*Metric_Conversion!$I$14*Metric_Conversion!$I$14</f>
        <v>1546.2047386799341</v>
      </c>
      <c r="I20" s="46"/>
      <c r="J20" s="47">
        <v>20</v>
      </c>
      <c r="K20" s="43"/>
      <c r="L20" s="44"/>
      <c r="M20" s="46"/>
      <c r="N20" s="43"/>
      <c r="O20" s="44">
        <f t="shared" si="1"/>
        <v>516.27969774028861</v>
      </c>
      <c r="P20" s="46">
        <f t="shared" si="1"/>
        <v>219.41887153962267</v>
      </c>
      <c r="Q20" s="47">
        <f t="shared" si="2"/>
        <v>10</v>
      </c>
      <c r="R20" s="43">
        <f t="shared" si="3"/>
        <v>69.400000000000006</v>
      </c>
      <c r="S20" s="43">
        <f t="shared" si="3"/>
        <v>53.457143220000006</v>
      </c>
      <c r="T20" s="43">
        <f t="shared" si="3"/>
        <v>40.171431889999994</v>
      </c>
      <c r="U20" s="47">
        <f t="shared" ref="U20:U46" si="4">+C20</f>
        <v>10</v>
      </c>
      <c r="V20" s="40">
        <f t="shared" ref="V20:X46" si="5">+V$6+V$7*$U20+V$8*$U20^2+V$9*$U20^3</f>
        <v>156.27999999999994</v>
      </c>
      <c r="W20" s="40">
        <f t="shared" si="5"/>
        <v>116.67399999999999</v>
      </c>
      <c r="X20" s="40">
        <f t="shared" si="5"/>
        <v>76.304000000000002</v>
      </c>
      <c r="AO20" s="51">
        <f>+IF(Input_Output!$E$6="SI",EnergyLevel!C20,EnergyLevel!C20*51.64)</f>
        <v>10</v>
      </c>
      <c r="AP20" s="51">
        <f>+IF(Input_Output!$E$6="SI",EnergyLevel!D20,EnergyLevel!D20*0.3048)</f>
        <v>271.71428599999996</v>
      </c>
      <c r="AQ20" s="51">
        <f>+IF(Input_Output!$E$6="SI",EnergyLevel!E20,EnergyLevel!E20*0.3048)</f>
        <v>157.40000033000001</v>
      </c>
      <c r="AR20" s="51">
        <f>+IF(Input_Output!$E$6="SI",EnergyLevel!F20,EnergyLevel!F20*0.3048)</f>
        <v>94.885714329999999</v>
      </c>
      <c r="AS20" s="51">
        <f>+IF(Input_Output!$E$6="SI",EnergyLevel!G20,EnergyLevel!G20*0.3048)</f>
        <v>0</v>
      </c>
      <c r="AT20" s="51">
        <f>+IF(Input_Output!$E$6="SI",EnergyLevel!H20,EnergyLevel!H20*0.3048)</f>
        <v>1546.2047386799341</v>
      </c>
      <c r="AU20" s="51">
        <f>+IF(Input_Output!$E$6="SI",EnergyLevel!I20,EnergyLevel!I20*0.3048)</f>
        <v>0</v>
      </c>
      <c r="AV20" s="51">
        <f>+IF(Input_Output!$E$6="SI",EnergyLevel!J20,EnergyLevel!J20/0.7457)</f>
        <v>20</v>
      </c>
      <c r="AW20" s="51">
        <f>+IF(Input_Output!$E$6="SI",EnergyLevel!K20,EnergyLevel!K20*0.3048)</f>
        <v>0</v>
      </c>
      <c r="AX20" s="51">
        <f>+IF(Input_Output!$E$6="SI",EnergyLevel!L20,EnergyLevel!L20*0.3048)</f>
        <v>0</v>
      </c>
      <c r="AY20" s="51">
        <f>+IF(Input_Output!$E$6="SI",EnergyLevel!M20,EnergyLevel!M20*0.3048)</f>
        <v>0</v>
      </c>
      <c r="AZ20" s="51">
        <f>+IF(Input_Output!$E$6="SI",EnergyLevel!N20,EnergyLevel!N20*0.3048)</f>
        <v>0</v>
      </c>
      <c r="BA20" s="51">
        <f>+IF(Input_Output!$E$6="SI",EnergyLevel!O20,EnergyLevel!O20*0.3048)</f>
        <v>516.27969774028861</v>
      </c>
      <c r="BB20" s="51">
        <f>+IF(Input_Output!$E$6="SI",EnergyLevel!P20,EnergyLevel!P20*0.3048)</f>
        <v>219.41887153962267</v>
      </c>
      <c r="BC20" s="51">
        <f>+IF(Input_Output!$E$6="SI",EnergyLevel!Q20,EnergyLevel!Q20*51.64)</f>
        <v>10</v>
      </c>
      <c r="BD20" s="51">
        <f>+IF(Input_Output!$E$6="SI",EnergyLevel!R20,EnergyLevel!R20*0.3048)</f>
        <v>69.400000000000006</v>
      </c>
      <c r="BE20" s="51">
        <f>+IF(Input_Output!$E$6="SI",EnergyLevel!S20,EnergyLevel!S20*0.3048)</f>
        <v>53.457143220000006</v>
      </c>
      <c r="BF20" s="51">
        <f>+IF(Input_Output!$E$6="SI",EnergyLevel!T20,EnergyLevel!T20*0.3048)</f>
        <v>40.171431889999994</v>
      </c>
      <c r="BG20" s="51">
        <f>+IF(Input_Output!$E$6="SI",EnergyLevel!U20,EnergyLevel!U20*51.64)</f>
        <v>10</v>
      </c>
      <c r="BH20" s="51">
        <f>+IF(Input_Output!$E$6="SI",EnergyLevel!V20,EnergyLevel!V20/0.7457)</f>
        <v>156.27999999999994</v>
      </c>
      <c r="BI20" s="51">
        <f>+IF(Input_Output!$E$6="SI",EnergyLevel!W20,EnergyLevel!W20/0.7457)</f>
        <v>116.67399999999999</v>
      </c>
      <c r="BJ20" s="51">
        <f>+IF(Input_Output!$E$6="SI",EnergyLevel!X20,EnergyLevel!X20/0.7457)</f>
        <v>76.304000000000002</v>
      </c>
    </row>
    <row r="21" spans="2:63" x14ac:dyDescent="0.25">
      <c r="C21" s="51">
        <v>15</v>
      </c>
      <c r="D21" s="43">
        <f t="shared" si="0"/>
        <v>327.42857244999993</v>
      </c>
      <c r="E21" s="44">
        <f t="shared" si="0"/>
        <v>186.40000112000001</v>
      </c>
      <c r="F21" s="45">
        <f t="shared" si="0"/>
        <v>112.17142867</v>
      </c>
      <c r="G21" s="43"/>
      <c r="H21" s="44">
        <f>$H$11*($H$12/C21)^2*Metric_Conversion!$I$14*Metric_Conversion!$I$14</f>
        <v>687.20210607997092</v>
      </c>
      <c r="I21" s="46"/>
      <c r="J21" s="47">
        <v>50</v>
      </c>
      <c r="K21" s="43"/>
      <c r="L21" s="44"/>
      <c r="M21" s="46"/>
      <c r="N21" s="43"/>
      <c r="O21" s="44">
        <f t="shared" si="1"/>
        <v>380.51433655656206</v>
      </c>
      <c r="P21" s="46">
        <f t="shared" si="1"/>
        <v>161.71859303653889</v>
      </c>
      <c r="Q21" s="47">
        <f t="shared" si="2"/>
        <v>15</v>
      </c>
      <c r="R21" s="43">
        <f t="shared" si="3"/>
        <v>78.400000000000006</v>
      </c>
      <c r="S21" s="43">
        <f t="shared" si="3"/>
        <v>59.314286905000003</v>
      </c>
      <c r="T21" s="43">
        <f t="shared" si="3"/>
        <v>44.742862735000003</v>
      </c>
      <c r="U21" s="47">
        <f t="shared" si="4"/>
        <v>15</v>
      </c>
      <c r="V21" s="40">
        <f t="shared" si="5"/>
        <v>366.20999999999992</v>
      </c>
      <c r="W21" s="40">
        <f t="shared" si="5"/>
        <v>177.41899999999998</v>
      </c>
      <c r="X21" s="40">
        <f t="shared" si="5"/>
        <v>87.245999999999995</v>
      </c>
      <c r="AO21" s="51">
        <f>+IF(Input_Output!$E$6="SI",EnergyLevel!C21,EnergyLevel!C21*51.64)</f>
        <v>15</v>
      </c>
      <c r="AP21" s="51">
        <f>+IF(Input_Output!$E$6="SI",EnergyLevel!D21,EnergyLevel!D21*0.3048)</f>
        <v>327.42857244999993</v>
      </c>
      <c r="AQ21" s="51">
        <f>+IF(Input_Output!$E$6="SI",EnergyLevel!E21,EnergyLevel!E21*0.3048)</f>
        <v>186.40000112000001</v>
      </c>
      <c r="AR21" s="51">
        <f>+IF(Input_Output!$E$6="SI",EnergyLevel!F21,EnergyLevel!F21*0.3048)</f>
        <v>112.17142867</v>
      </c>
      <c r="AS21" s="51">
        <f>+IF(Input_Output!$E$6="SI",EnergyLevel!G21,EnergyLevel!G21*0.3048)</f>
        <v>0</v>
      </c>
      <c r="AT21" s="51">
        <f>+IF(Input_Output!$E$6="SI",EnergyLevel!H21,EnergyLevel!H21*0.3048)</f>
        <v>687.20210607997092</v>
      </c>
      <c r="AU21" s="51">
        <f>+IF(Input_Output!$E$6="SI",EnergyLevel!I21,EnergyLevel!I21*0.3048)</f>
        <v>0</v>
      </c>
      <c r="AV21" s="51">
        <f>+IF(Input_Output!$E$6="SI",EnergyLevel!J21,EnergyLevel!J21/0.7457)</f>
        <v>50</v>
      </c>
      <c r="AW21" s="51">
        <f>+IF(Input_Output!$E$6="SI",EnergyLevel!K21,EnergyLevel!K21*0.3048)</f>
        <v>0</v>
      </c>
      <c r="AX21" s="51">
        <f>+IF(Input_Output!$E$6="SI",EnergyLevel!L21,EnergyLevel!L21*0.3048)</f>
        <v>0</v>
      </c>
      <c r="AY21" s="51">
        <f>+IF(Input_Output!$E$6="SI",EnergyLevel!M21,EnergyLevel!M21*0.3048)</f>
        <v>0</v>
      </c>
      <c r="AZ21" s="51">
        <f>+IF(Input_Output!$E$6="SI",EnergyLevel!N21,EnergyLevel!N21*0.3048)</f>
        <v>0</v>
      </c>
      <c r="BA21" s="51">
        <f>+IF(Input_Output!$E$6="SI",EnergyLevel!O21,EnergyLevel!O21*0.3048)</f>
        <v>380.51433655656206</v>
      </c>
      <c r="BB21" s="51">
        <f>+IF(Input_Output!$E$6="SI",EnergyLevel!P21,EnergyLevel!P21*0.3048)</f>
        <v>161.71859303653889</v>
      </c>
      <c r="BC21" s="51">
        <f>+IF(Input_Output!$E$6="SI",EnergyLevel!Q21,EnergyLevel!Q21*51.64)</f>
        <v>15</v>
      </c>
      <c r="BD21" s="51">
        <f>+IF(Input_Output!$E$6="SI",EnergyLevel!R21,EnergyLevel!R21*0.3048)</f>
        <v>78.400000000000006</v>
      </c>
      <c r="BE21" s="51">
        <f>+IF(Input_Output!$E$6="SI",EnergyLevel!S21,EnergyLevel!S21*0.3048)</f>
        <v>59.314286905000003</v>
      </c>
      <c r="BF21" s="51">
        <f>+IF(Input_Output!$E$6="SI",EnergyLevel!T21,EnergyLevel!T21*0.3048)</f>
        <v>44.742862735000003</v>
      </c>
      <c r="BG21" s="51">
        <f>+IF(Input_Output!$E$6="SI",EnergyLevel!U21,EnergyLevel!U21*51.64)</f>
        <v>15</v>
      </c>
      <c r="BH21" s="51">
        <f>+IF(Input_Output!$E$6="SI",EnergyLevel!V21,EnergyLevel!V21/0.7457)</f>
        <v>366.20999999999992</v>
      </c>
      <c r="BI21" s="51">
        <f>+IF(Input_Output!$E$6="SI",EnergyLevel!W21,EnergyLevel!W21/0.7457)</f>
        <v>177.41899999999998</v>
      </c>
      <c r="BJ21" s="51">
        <f>+IF(Input_Output!$E$6="SI",EnergyLevel!X21,EnergyLevel!X21/0.7457)</f>
        <v>87.245999999999995</v>
      </c>
    </row>
    <row r="22" spans="2:63" x14ac:dyDescent="0.25">
      <c r="C22" s="51">
        <v>20</v>
      </c>
      <c r="D22" s="43">
        <f t="shared" si="0"/>
        <v>481.71428819999994</v>
      </c>
      <c r="E22" s="44">
        <f t="shared" si="0"/>
        <v>272.40000265999998</v>
      </c>
      <c r="F22" s="45">
        <f t="shared" si="0"/>
        <v>161.88571446</v>
      </c>
      <c r="G22" s="43"/>
      <c r="H22" s="44">
        <f>$H$11*($H$12/C22)^2*Metric_Conversion!$I$14*Metric_Conversion!$I$14</f>
        <v>386.55118466998351</v>
      </c>
      <c r="I22" s="46"/>
      <c r="J22" s="47">
        <v>100</v>
      </c>
      <c r="K22" s="43"/>
      <c r="L22" s="44"/>
      <c r="M22" s="46"/>
      <c r="N22" s="43"/>
      <c r="O22" s="44">
        <f t="shared" si="1"/>
        <v>302.08421728137324</v>
      </c>
      <c r="P22" s="46">
        <f t="shared" si="1"/>
        <v>128.38579234458362</v>
      </c>
      <c r="Q22" s="47">
        <f t="shared" si="2"/>
        <v>20</v>
      </c>
      <c r="R22" s="43">
        <f t="shared" si="3"/>
        <v>96.4</v>
      </c>
      <c r="S22" s="43">
        <f t="shared" si="3"/>
        <v>72.457145640000007</v>
      </c>
      <c r="T22" s="43">
        <f t="shared" si="3"/>
        <v>55.171437180000005</v>
      </c>
      <c r="U22" s="47">
        <f t="shared" si="4"/>
        <v>20</v>
      </c>
      <c r="V22" s="40">
        <f t="shared" si="5"/>
        <v>544.95999999999981</v>
      </c>
      <c r="W22" s="40">
        <f t="shared" si="5"/>
        <v>236.38400000000004</v>
      </c>
      <c r="X22" s="40">
        <f t="shared" si="5"/>
        <v>105.86300000000001</v>
      </c>
      <c r="AO22" s="51">
        <f>+IF(Input_Output!$E$6="SI",EnergyLevel!C22,EnergyLevel!C22*51.64)</f>
        <v>20</v>
      </c>
      <c r="AP22" s="51">
        <f>+IF(Input_Output!$E$6="SI",EnergyLevel!D22,EnergyLevel!D22*0.3048)</f>
        <v>481.71428819999994</v>
      </c>
      <c r="AQ22" s="51">
        <f>+IF(Input_Output!$E$6="SI",EnergyLevel!E22,EnergyLevel!E22*0.3048)</f>
        <v>272.40000265999998</v>
      </c>
      <c r="AR22" s="51">
        <f>+IF(Input_Output!$E$6="SI",EnergyLevel!F22,EnergyLevel!F22*0.3048)</f>
        <v>161.88571446</v>
      </c>
      <c r="AS22" s="51">
        <f>+IF(Input_Output!$E$6="SI",EnergyLevel!G22,EnergyLevel!G22*0.3048)</f>
        <v>0</v>
      </c>
      <c r="AT22" s="51">
        <f>+IF(Input_Output!$E$6="SI",EnergyLevel!H22,EnergyLevel!H22*0.3048)</f>
        <v>386.55118466998351</v>
      </c>
      <c r="AU22" s="51">
        <f>+IF(Input_Output!$E$6="SI",EnergyLevel!I22,EnergyLevel!I22*0.3048)</f>
        <v>0</v>
      </c>
      <c r="AV22" s="51">
        <f>+IF(Input_Output!$E$6="SI",EnergyLevel!J22,EnergyLevel!J22/0.7457)</f>
        <v>100</v>
      </c>
      <c r="AW22" s="51">
        <f>+IF(Input_Output!$E$6="SI",EnergyLevel!K22,EnergyLevel!K22*0.3048)</f>
        <v>0</v>
      </c>
      <c r="AX22" s="51">
        <f>+IF(Input_Output!$E$6="SI",EnergyLevel!L22,EnergyLevel!L22*0.3048)</f>
        <v>0</v>
      </c>
      <c r="AY22" s="51">
        <f>+IF(Input_Output!$E$6="SI",EnergyLevel!M22,EnergyLevel!M22*0.3048)</f>
        <v>0</v>
      </c>
      <c r="AZ22" s="51">
        <f>+IF(Input_Output!$E$6="SI",EnergyLevel!N22,EnergyLevel!N22*0.3048)</f>
        <v>0</v>
      </c>
      <c r="BA22" s="51">
        <f>+IF(Input_Output!$E$6="SI",EnergyLevel!O22,EnergyLevel!O22*0.3048)</f>
        <v>302.08421728137324</v>
      </c>
      <c r="BB22" s="51">
        <f>+IF(Input_Output!$E$6="SI",EnergyLevel!P22,EnergyLevel!P22*0.3048)</f>
        <v>128.38579234458362</v>
      </c>
      <c r="BC22" s="51">
        <f>+IF(Input_Output!$E$6="SI",EnergyLevel!Q22,EnergyLevel!Q22*51.64)</f>
        <v>20</v>
      </c>
      <c r="BD22" s="51">
        <f>+IF(Input_Output!$E$6="SI",EnergyLevel!R22,EnergyLevel!R22*0.3048)</f>
        <v>96.4</v>
      </c>
      <c r="BE22" s="51">
        <f>+IF(Input_Output!$E$6="SI",EnergyLevel!S22,EnergyLevel!S22*0.3048)</f>
        <v>72.457145640000007</v>
      </c>
      <c r="BF22" s="51">
        <f>+IF(Input_Output!$E$6="SI",EnergyLevel!T22,EnergyLevel!T22*0.3048)</f>
        <v>55.171437180000005</v>
      </c>
      <c r="BG22" s="51">
        <f>+IF(Input_Output!$E$6="SI",EnergyLevel!U22,EnergyLevel!U22*51.64)</f>
        <v>20</v>
      </c>
      <c r="BH22" s="51">
        <f>+IF(Input_Output!$E$6="SI",EnergyLevel!V22,EnergyLevel!V22/0.7457)</f>
        <v>544.95999999999981</v>
      </c>
      <c r="BI22" s="51">
        <f>+IF(Input_Output!$E$6="SI",EnergyLevel!W22,EnergyLevel!W22/0.7457)</f>
        <v>236.38400000000004</v>
      </c>
      <c r="BJ22" s="51">
        <f>+IF(Input_Output!$E$6="SI",EnergyLevel!X22,EnergyLevel!X22/0.7457)</f>
        <v>105.86300000000001</v>
      </c>
    </row>
    <row r="23" spans="2:63" x14ac:dyDescent="0.25">
      <c r="C23" s="51">
        <v>26</v>
      </c>
      <c r="D23" s="43">
        <f t="shared" si="0"/>
        <v>800</v>
      </c>
      <c r="E23" s="44">
        <f t="shared" si="0"/>
        <v>460</v>
      </c>
      <c r="F23" s="45">
        <f t="shared" si="0"/>
        <v>270</v>
      </c>
      <c r="G23" s="43"/>
      <c r="H23" s="44">
        <f>$H$11*($H$12/C23)^2*Metric_Conversion!$I$14*Metric_Conversion!$I$14</f>
        <v>228.72851163904349</v>
      </c>
      <c r="I23" s="46"/>
      <c r="J23" s="47">
        <v>200</v>
      </c>
      <c r="K23" s="43"/>
      <c r="L23" s="44"/>
      <c r="M23" s="46"/>
      <c r="N23" s="43"/>
      <c r="O23" s="44">
        <f t="shared" si="1"/>
        <v>239.81980588774806</v>
      </c>
      <c r="P23" s="46">
        <f t="shared" si="1"/>
        <v>101.92341750229293</v>
      </c>
      <c r="Q23" s="47">
        <f t="shared" si="2"/>
        <v>26</v>
      </c>
      <c r="R23" s="43">
        <f t="shared" si="3"/>
        <v>128</v>
      </c>
      <c r="S23" s="43">
        <f t="shared" si="3"/>
        <v>98</v>
      </c>
      <c r="T23" s="43">
        <f t="shared" si="3"/>
        <v>75</v>
      </c>
      <c r="U23" s="47">
        <f t="shared" si="4"/>
        <v>26</v>
      </c>
      <c r="V23" s="40">
        <f t="shared" si="5"/>
        <v>724.21599999999989</v>
      </c>
      <c r="W23" s="40">
        <f t="shared" si="5"/>
        <v>311.44520000000006</v>
      </c>
      <c r="X23" s="40">
        <f t="shared" si="5"/>
        <v>139.81280000000001</v>
      </c>
      <c r="AO23" s="51">
        <f>+IF(Input_Output!$E$6="SI",EnergyLevel!C23,EnergyLevel!C23*51.64)</f>
        <v>26</v>
      </c>
      <c r="AP23" s="51">
        <f>+IF(Input_Output!$E$6="SI",EnergyLevel!D23,EnergyLevel!D23*0.3048)</f>
        <v>800</v>
      </c>
      <c r="AQ23" s="51">
        <f>+IF(Input_Output!$E$6="SI",EnergyLevel!E23,EnergyLevel!E23*0.3048)</f>
        <v>460</v>
      </c>
      <c r="AR23" s="51">
        <f>+IF(Input_Output!$E$6="SI",EnergyLevel!F23,EnergyLevel!F23*0.3048)</f>
        <v>270</v>
      </c>
      <c r="AS23" s="51">
        <f>+IF(Input_Output!$E$6="SI",EnergyLevel!G23,EnergyLevel!G23*0.3048)</f>
        <v>0</v>
      </c>
      <c r="AT23" s="51">
        <f>+IF(Input_Output!$E$6="SI",EnergyLevel!H23,EnergyLevel!H23*0.3048)</f>
        <v>228.72851163904349</v>
      </c>
      <c r="AU23" s="51">
        <f>+IF(Input_Output!$E$6="SI",EnergyLevel!I23,EnergyLevel!I23*0.3048)</f>
        <v>0</v>
      </c>
      <c r="AV23" s="51">
        <f>+IF(Input_Output!$E$6="SI",EnergyLevel!J23,EnergyLevel!J23/0.7457)</f>
        <v>200</v>
      </c>
      <c r="AW23" s="51">
        <f>+IF(Input_Output!$E$6="SI",EnergyLevel!K23,EnergyLevel!K23*0.3048)</f>
        <v>0</v>
      </c>
      <c r="AX23" s="51">
        <f>+IF(Input_Output!$E$6="SI",EnergyLevel!L23,EnergyLevel!L23*0.3048)</f>
        <v>0</v>
      </c>
      <c r="AY23" s="51">
        <f>+IF(Input_Output!$E$6="SI",EnergyLevel!M23,EnergyLevel!M23*0.3048)</f>
        <v>0</v>
      </c>
      <c r="AZ23" s="51">
        <f>+IF(Input_Output!$E$6="SI",EnergyLevel!N23,EnergyLevel!N23*0.3048)</f>
        <v>0</v>
      </c>
      <c r="BA23" s="51">
        <f>+IF(Input_Output!$E$6="SI",EnergyLevel!O23,EnergyLevel!O23*0.3048)</f>
        <v>239.81980588774806</v>
      </c>
      <c r="BB23" s="51">
        <f>+IF(Input_Output!$E$6="SI",EnergyLevel!P23,EnergyLevel!P23*0.3048)</f>
        <v>101.92341750229293</v>
      </c>
      <c r="BC23" s="51">
        <f>+IF(Input_Output!$E$6="SI",EnergyLevel!Q23,EnergyLevel!Q23*51.64)</f>
        <v>26</v>
      </c>
      <c r="BD23" s="51">
        <f>+IF(Input_Output!$E$6="SI",EnergyLevel!R23,EnergyLevel!R23*0.3048)</f>
        <v>128</v>
      </c>
      <c r="BE23" s="51">
        <f>+IF(Input_Output!$E$6="SI",EnergyLevel!S23,EnergyLevel!S23*0.3048)</f>
        <v>98</v>
      </c>
      <c r="BF23" s="51">
        <f>+IF(Input_Output!$E$6="SI",EnergyLevel!T23,EnergyLevel!T23*0.3048)</f>
        <v>75</v>
      </c>
      <c r="BG23" s="51">
        <f>+IF(Input_Output!$E$6="SI",EnergyLevel!U23,EnergyLevel!U23*51.64)</f>
        <v>26</v>
      </c>
      <c r="BH23" s="51">
        <f>+IF(Input_Output!$E$6="SI",EnergyLevel!V23,EnergyLevel!V23/0.7457)</f>
        <v>724.21599999999989</v>
      </c>
      <c r="BI23" s="51">
        <f>+IF(Input_Output!$E$6="SI",EnergyLevel!W23,EnergyLevel!W23/0.7457)</f>
        <v>311.44520000000006</v>
      </c>
      <c r="BJ23" s="51">
        <f>+IF(Input_Output!$E$6="SI",EnergyLevel!X23,EnergyLevel!X23/0.7457)</f>
        <v>139.81280000000001</v>
      </c>
    </row>
    <row r="24" spans="2:63" x14ac:dyDescent="0.25">
      <c r="C24" s="51">
        <v>32</v>
      </c>
      <c r="D24" s="43">
        <f t="shared" si="0"/>
        <v>800</v>
      </c>
      <c r="E24" s="44">
        <f t="shared" si="0"/>
        <v>460</v>
      </c>
      <c r="F24" s="45">
        <f t="shared" si="0"/>
        <v>270</v>
      </c>
      <c r="G24" s="43"/>
      <c r="H24" s="44">
        <f>$H$11*($H$12/C24)^2*Metric_Conversion!$I$14*Metric_Conversion!$I$14</f>
        <v>150.9965565117123</v>
      </c>
      <c r="I24" s="46"/>
      <c r="J24" s="47">
        <v>225</v>
      </c>
      <c r="K24" s="43"/>
      <c r="L24" s="44">
        <v>200</v>
      </c>
      <c r="M24" s="46"/>
      <c r="N24" s="43"/>
      <c r="O24" s="44">
        <f t="shared" si="1"/>
        <v>230.59572790576695</v>
      </c>
      <c r="P24" s="46">
        <f t="shared" si="1"/>
        <v>98.003184359950964</v>
      </c>
      <c r="Q24" s="47">
        <f t="shared" si="2"/>
        <v>32</v>
      </c>
      <c r="R24" s="43">
        <f t="shared" si="3"/>
        <v>128</v>
      </c>
      <c r="S24" s="43">
        <f t="shared" si="3"/>
        <v>98</v>
      </c>
      <c r="T24" s="43">
        <f t="shared" si="3"/>
        <v>75</v>
      </c>
      <c r="U24" s="47">
        <f t="shared" si="4"/>
        <v>32</v>
      </c>
      <c r="V24" s="40">
        <f t="shared" si="5"/>
        <v>871.87839999999994</v>
      </c>
      <c r="W24" s="40">
        <f t="shared" si="5"/>
        <v>398.91199999999998</v>
      </c>
      <c r="X24" s="40">
        <f t="shared" si="5"/>
        <v>188.14100000000002</v>
      </c>
      <c r="AD24" s="52"/>
      <c r="AE24" s="52"/>
      <c r="AF24" s="52"/>
      <c r="AG24" s="52"/>
      <c r="AH24" s="53"/>
      <c r="AI24" s="53"/>
      <c r="AJ24" s="53"/>
      <c r="AO24" s="51">
        <f>+IF(Input_Output!$E$6="SI",EnergyLevel!C24,EnergyLevel!C24*51.64)</f>
        <v>32</v>
      </c>
      <c r="AP24" s="51">
        <f>+IF(Input_Output!$E$6="SI",EnergyLevel!D24,EnergyLevel!D24*0.3048)</f>
        <v>800</v>
      </c>
      <c r="AQ24" s="51">
        <f>+IF(Input_Output!$E$6="SI",EnergyLevel!E24,EnergyLevel!E24*0.3048)</f>
        <v>460</v>
      </c>
      <c r="AR24" s="51">
        <f>+IF(Input_Output!$E$6="SI",EnergyLevel!F24,EnergyLevel!F24*0.3048)</f>
        <v>270</v>
      </c>
      <c r="AS24" s="51">
        <f>+IF(Input_Output!$E$6="SI",EnergyLevel!G24,EnergyLevel!G24*0.3048)</f>
        <v>0</v>
      </c>
      <c r="AT24" s="51">
        <f>+IF(Input_Output!$E$6="SI",EnergyLevel!H24,EnergyLevel!H24*0.3048)</f>
        <v>150.9965565117123</v>
      </c>
      <c r="AU24" s="51">
        <f>+IF(Input_Output!$E$6="SI",EnergyLevel!I24,EnergyLevel!I24*0.3048)</f>
        <v>0</v>
      </c>
      <c r="AV24" s="51">
        <f>+IF(Input_Output!$E$6="SI",EnergyLevel!J24,EnergyLevel!J24/0.7457)</f>
        <v>225</v>
      </c>
      <c r="AW24" s="51">
        <f>+IF(Input_Output!$E$6="SI",EnergyLevel!K24,EnergyLevel!K24*0.3048)</f>
        <v>0</v>
      </c>
      <c r="AX24" s="51">
        <f>+IF(Input_Output!$E$6="SI",EnergyLevel!L24,EnergyLevel!L24*0.3048)</f>
        <v>200</v>
      </c>
      <c r="AY24" s="51">
        <f>+IF(Input_Output!$E$6="SI",EnergyLevel!M24,EnergyLevel!M24*0.3048)</f>
        <v>0</v>
      </c>
      <c r="AZ24" s="51">
        <f>+IF(Input_Output!$E$6="SI",EnergyLevel!N24,EnergyLevel!N24*0.3048)</f>
        <v>0</v>
      </c>
      <c r="BA24" s="51">
        <f>+IF(Input_Output!$E$6="SI",EnergyLevel!O24,EnergyLevel!O24*0.3048)</f>
        <v>230.59572790576695</v>
      </c>
      <c r="BB24" s="51">
        <f>+IF(Input_Output!$E$6="SI",EnergyLevel!P24,EnergyLevel!P24*0.3048)</f>
        <v>98.003184359950964</v>
      </c>
      <c r="BC24" s="51">
        <f>+IF(Input_Output!$E$6="SI",EnergyLevel!Q24,EnergyLevel!Q24*51.64)</f>
        <v>32</v>
      </c>
      <c r="BD24" s="51">
        <f>+IF(Input_Output!$E$6="SI",EnergyLevel!R24,EnergyLevel!R24*0.3048)</f>
        <v>128</v>
      </c>
      <c r="BE24" s="51">
        <f>+IF(Input_Output!$E$6="SI",EnergyLevel!S24,EnergyLevel!S24*0.3048)</f>
        <v>98</v>
      </c>
      <c r="BF24" s="51">
        <f>+IF(Input_Output!$E$6="SI",EnergyLevel!T24,EnergyLevel!T24*0.3048)</f>
        <v>75</v>
      </c>
      <c r="BG24" s="51">
        <f>+IF(Input_Output!$E$6="SI",EnergyLevel!U24,EnergyLevel!U24*51.64)</f>
        <v>32</v>
      </c>
      <c r="BH24" s="51">
        <f>+IF(Input_Output!$E$6="SI",EnergyLevel!V24,EnergyLevel!V24/0.7457)</f>
        <v>871.87839999999994</v>
      </c>
      <c r="BI24" s="51">
        <f>+IF(Input_Output!$E$6="SI",EnergyLevel!W24,EnergyLevel!W24/0.7457)</f>
        <v>398.91199999999998</v>
      </c>
      <c r="BJ24" s="51">
        <f>+IF(Input_Output!$E$6="SI",EnergyLevel!X24,EnergyLevel!X24/0.7457)</f>
        <v>188.14100000000002</v>
      </c>
    </row>
    <row r="25" spans="2:63" x14ac:dyDescent="0.25">
      <c r="C25" s="51">
        <v>35</v>
      </c>
      <c r="D25" s="43">
        <f t="shared" si="0"/>
        <v>656.32382966644991</v>
      </c>
      <c r="E25" s="44">
        <f t="shared" si="0"/>
        <v>380.59272638899671</v>
      </c>
      <c r="F25" s="45">
        <f t="shared" si="0"/>
        <v>220.61629005139216</v>
      </c>
      <c r="G25" s="43"/>
      <c r="H25" s="44">
        <f>$H$11*($H$12/C25)^2*Metric_Conversion!$I$14*Metric_Conversion!$I$14</f>
        <v>126.22079499428034</v>
      </c>
      <c r="I25" s="46"/>
      <c r="J25" s="47">
        <v>300</v>
      </c>
      <c r="K25" s="43"/>
      <c r="L25" s="44">
        <v>200</v>
      </c>
      <c r="M25" s="46"/>
      <c r="N25" s="43"/>
      <c r="O25" s="44">
        <f t="shared" si="1"/>
        <v>209.53021463045113</v>
      </c>
      <c r="P25" s="46">
        <f t="shared" si="1"/>
        <v>89.050341217941735</v>
      </c>
      <c r="Q25" s="47">
        <f t="shared" si="2"/>
        <v>35</v>
      </c>
      <c r="R25" s="43">
        <f t="shared" si="3"/>
        <v>117.6239735537536</v>
      </c>
      <c r="S25" s="43">
        <f t="shared" si="3"/>
        <v>90.210079075783327</v>
      </c>
      <c r="T25" s="43">
        <f t="shared" si="3"/>
        <v>68.816706203932625</v>
      </c>
      <c r="U25" s="47">
        <f t="shared" si="4"/>
        <v>35</v>
      </c>
      <c r="V25" s="40">
        <f t="shared" si="5"/>
        <v>936.12999999999977</v>
      </c>
      <c r="W25" s="40">
        <f t="shared" si="5"/>
        <v>449.84900000000005</v>
      </c>
      <c r="X25" s="40">
        <f t="shared" si="5"/>
        <v>218.26400000000001</v>
      </c>
      <c r="AC25" s="40" t="s">
        <v>83</v>
      </c>
      <c r="AD25" s="52"/>
      <c r="AE25" s="52"/>
      <c r="AF25" s="52"/>
      <c r="AG25" s="52"/>
      <c r="AH25" s="53"/>
      <c r="AI25" s="53"/>
      <c r="AJ25" s="53"/>
      <c r="AO25" s="51">
        <f>+IF(Input_Output!$E$6="SI",EnergyLevel!C25,EnergyLevel!C25*51.64)</f>
        <v>35</v>
      </c>
      <c r="AP25" s="51">
        <f>+IF(Input_Output!$E$6="SI",EnergyLevel!D25,EnergyLevel!D25*0.3048)</f>
        <v>656.32382966644991</v>
      </c>
      <c r="AQ25" s="51">
        <f>+IF(Input_Output!$E$6="SI",EnergyLevel!E25,EnergyLevel!E25*0.3048)</f>
        <v>380.59272638899671</v>
      </c>
      <c r="AR25" s="51">
        <f>+IF(Input_Output!$E$6="SI",EnergyLevel!F25,EnergyLevel!F25*0.3048)</f>
        <v>220.61629005139216</v>
      </c>
      <c r="AS25" s="51">
        <f>+IF(Input_Output!$E$6="SI",EnergyLevel!G25,EnergyLevel!G25*0.3048)</f>
        <v>0</v>
      </c>
      <c r="AT25" s="51">
        <f>+IF(Input_Output!$E$6="SI",EnergyLevel!H25,EnergyLevel!H25*0.3048)</f>
        <v>126.22079499428034</v>
      </c>
      <c r="AU25" s="51">
        <f>+IF(Input_Output!$E$6="SI",EnergyLevel!I25,EnergyLevel!I25*0.3048)</f>
        <v>0</v>
      </c>
      <c r="AV25" s="51">
        <f>+IF(Input_Output!$E$6="SI",EnergyLevel!J25,EnergyLevel!J25/0.7457)</f>
        <v>300</v>
      </c>
      <c r="AW25" s="51">
        <f>+IF(Input_Output!$E$6="SI",EnergyLevel!K25,EnergyLevel!K25*0.3048)</f>
        <v>0</v>
      </c>
      <c r="AX25" s="51">
        <f>+IF(Input_Output!$E$6="SI",EnergyLevel!L25,EnergyLevel!L25*0.3048)</f>
        <v>200</v>
      </c>
      <c r="AY25" s="51">
        <f>+IF(Input_Output!$E$6="SI",EnergyLevel!M25,EnergyLevel!M25*0.3048)</f>
        <v>0</v>
      </c>
      <c r="AZ25" s="51">
        <f>+IF(Input_Output!$E$6="SI",EnergyLevel!N25,EnergyLevel!N25*0.3048)</f>
        <v>0</v>
      </c>
      <c r="BA25" s="51">
        <f>+IF(Input_Output!$E$6="SI",EnergyLevel!O25,EnergyLevel!O25*0.3048)</f>
        <v>209.53021463045113</v>
      </c>
      <c r="BB25" s="51">
        <f>+IF(Input_Output!$E$6="SI",EnergyLevel!P25,EnergyLevel!P25*0.3048)</f>
        <v>89.050341217941735</v>
      </c>
      <c r="BC25" s="51">
        <f>+IF(Input_Output!$E$6="SI",EnergyLevel!Q25,EnergyLevel!Q25*51.64)</f>
        <v>35</v>
      </c>
      <c r="BD25" s="51">
        <f>+IF(Input_Output!$E$6="SI",EnergyLevel!R25,EnergyLevel!R25*0.3048)</f>
        <v>117.6239735537536</v>
      </c>
      <c r="BE25" s="51">
        <f>+IF(Input_Output!$E$6="SI",EnergyLevel!S25,EnergyLevel!S25*0.3048)</f>
        <v>90.210079075783327</v>
      </c>
      <c r="BF25" s="51">
        <f>+IF(Input_Output!$E$6="SI",EnergyLevel!T25,EnergyLevel!T25*0.3048)</f>
        <v>68.816706203932625</v>
      </c>
      <c r="BG25" s="51">
        <f>+IF(Input_Output!$E$6="SI",EnergyLevel!U25,EnergyLevel!U25*51.64)</f>
        <v>35</v>
      </c>
      <c r="BH25" s="51">
        <f>+IF(Input_Output!$E$6="SI",EnergyLevel!V25,EnergyLevel!V25/0.7457)</f>
        <v>936.12999999999977</v>
      </c>
      <c r="BI25" s="51">
        <f>+IF(Input_Output!$E$6="SI",EnergyLevel!W25,EnergyLevel!W25/0.7457)</f>
        <v>449.84900000000005</v>
      </c>
      <c r="BJ25" s="51">
        <f>+IF(Input_Output!$E$6="SI",EnergyLevel!X25,EnergyLevel!X25/0.7457)</f>
        <v>218.26400000000001</v>
      </c>
    </row>
    <row r="26" spans="2:63" x14ac:dyDescent="0.25">
      <c r="C26" s="51">
        <v>40</v>
      </c>
      <c r="D26" s="43">
        <f t="shared" si="0"/>
        <v>484.60402622206902</v>
      </c>
      <c r="E26" s="44">
        <f t="shared" si="0"/>
        <v>280.7394042894976</v>
      </c>
      <c r="F26" s="45">
        <f t="shared" si="0"/>
        <v>162.85808608611077</v>
      </c>
      <c r="G26" s="43"/>
      <c r="H26" s="44">
        <f>$H$11*($H$12/C26)^2*Metric_Conversion!$I$14*Metric_Conversion!$I$14</f>
        <v>96.637796167495878</v>
      </c>
      <c r="I26" s="46"/>
      <c r="J26" s="47">
        <v>400</v>
      </c>
      <c r="K26" s="43"/>
      <c r="L26" s="44">
        <v>200</v>
      </c>
      <c r="M26" s="46"/>
      <c r="N26" s="43"/>
      <c r="O26" s="44">
        <f t="shared" si="1"/>
        <v>190.38909021343133</v>
      </c>
      <c r="P26" s="46">
        <f t="shared" si="1"/>
        <v>80.915363340708311</v>
      </c>
      <c r="Q26" s="47">
        <f t="shared" si="2"/>
        <v>40</v>
      </c>
      <c r="R26" s="43">
        <f t="shared" si="3"/>
        <v>104.13435673190335</v>
      </c>
      <c r="S26" s="43">
        <f t="shared" si="3"/>
        <v>79.910831686401266</v>
      </c>
      <c r="T26" s="43">
        <f t="shared" si="3"/>
        <v>60.928640265243523</v>
      </c>
      <c r="U26" s="47">
        <f t="shared" si="4"/>
        <v>40</v>
      </c>
      <c r="V26" s="40">
        <f t="shared" si="5"/>
        <v>1032.1599999999999</v>
      </c>
      <c r="W26" s="40">
        <f t="shared" si="5"/>
        <v>548.94399999999996</v>
      </c>
      <c r="X26" s="40">
        <f t="shared" si="5"/>
        <v>278.08100000000002</v>
      </c>
      <c r="AD26" s="52"/>
      <c r="AE26" s="52"/>
      <c r="AF26" s="52"/>
      <c r="AG26" s="52"/>
      <c r="AH26" s="53"/>
      <c r="AI26" s="53"/>
      <c r="AJ26" s="53"/>
      <c r="AO26" s="51">
        <f>+IF(Input_Output!$E$6="SI",EnergyLevel!C26,EnergyLevel!C26*51.64)</f>
        <v>40</v>
      </c>
      <c r="AP26" s="51">
        <f>+IF(Input_Output!$E$6="SI",EnergyLevel!D26,EnergyLevel!D26*0.3048)</f>
        <v>484.60402622206902</v>
      </c>
      <c r="AQ26" s="51">
        <f>+IF(Input_Output!$E$6="SI",EnergyLevel!E26,EnergyLevel!E26*0.3048)</f>
        <v>280.7394042894976</v>
      </c>
      <c r="AR26" s="51">
        <f>+IF(Input_Output!$E$6="SI",EnergyLevel!F26,EnergyLevel!F26*0.3048)</f>
        <v>162.85808608611077</v>
      </c>
      <c r="AS26" s="51">
        <f>+IF(Input_Output!$E$6="SI",EnergyLevel!G26,EnergyLevel!G26*0.3048)</f>
        <v>0</v>
      </c>
      <c r="AT26" s="51">
        <f>+IF(Input_Output!$E$6="SI",EnergyLevel!H26,EnergyLevel!H26*0.3048)</f>
        <v>96.637796167495878</v>
      </c>
      <c r="AU26" s="51">
        <f>+IF(Input_Output!$E$6="SI",EnergyLevel!I26,EnergyLevel!I26*0.3048)</f>
        <v>0</v>
      </c>
      <c r="AV26" s="51">
        <f>+IF(Input_Output!$E$6="SI",EnergyLevel!J26,EnergyLevel!J26/0.7457)</f>
        <v>400</v>
      </c>
      <c r="AW26" s="51">
        <f>+IF(Input_Output!$E$6="SI",EnergyLevel!K26,EnergyLevel!K26*0.3048)</f>
        <v>0</v>
      </c>
      <c r="AX26" s="51">
        <f>+IF(Input_Output!$E$6="SI",EnergyLevel!L26,EnergyLevel!L26*0.3048)</f>
        <v>200</v>
      </c>
      <c r="AY26" s="51">
        <f>+IF(Input_Output!$E$6="SI",EnergyLevel!M26,EnergyLevel!M26*0.3048)</f>
        <v>0</v>
      </c>
      <c r="AZ26" s="51">
        <f>+IF(Input_Output!$E$6="SI",EnergyLevel!N26,EnergyLevel!N26*0.3048)</f>
        <v>0</v>
      </c>
      <c r="BA26" s="51">
        <f>+IF(Input_Output!$E$6="SI",EnergyLevel!O26,EnergyLevel!O26*0.3048)</f>
        <v>190.38909021343133</v>
      </c>
      <c r="BB26" s="51">
        <f>+IF(Input_Output!$E$6="SI",EnergyLevel!P26,EnergyLevel!P26*0.3048)</f>
        <v>80.915363340708311</v>
      </c>
      <c r="BC26" s="51">
        <f>+IF(Input_Output!$E$6="SI",EnergyLevel!Q26,EnergyLevel!Q26*51.64)</f>
        <v>40</v>
      </c>
      <c r="BD26" s="51">
        <f>+IF(Input_Output!$E$6="SI",EnergyLevel!R26,EnergyLevel!R26*0.3048)</f>
        <v>104.13435673190335</v>
      </c>
      <c r="BE26" s="51">
        <f>+IF(Input_Output!$E$6="SI",EnergyLevel!S26,EnergyLevel!S26*0.3048)</f>
        <v>79.910831686401266</v>
      </c>
      <c r="BF26" s="51">
        <f>+IF(Input_Output!$E$6="SI",EnergyLevel!T26,EnergyLevel!T26*0.3048)</f>
        <v>60.928640265243523</v>
      </c>
      <c r="BG26" s="51">
        <f>+IF(Input_Output!$E$6="SI",EnergyLevel!U26,EnergyLevel!U26*51.64)</f>
        <v>40</v>
      </c>
      <c r="BH26" s="51">
        <f>+IF(Input_Output!$E$6="SI",EnergyLevel!V26,EnergyLevel!V26/0.7457)</f>
        <v>1032.1599999999999</v>
      </c>
      <c r="BI26" s="51">
        <f>+IF(Input_Output!$E$6="SI",EnergyLevel!W26,EnergyLevel!W26/0.7457)</f>
        <v>548.94399999999996</v>
      </c>
      <c r="BJ26" s="51">
        <f>+IF(Input_Output!$E$6="SI",EnergyLevel!X26,EnergyLevel!X26/0.7457)</f>
        <v>278.08100000000002</v>
      </c>
    </row>
    <row r="27" spans="2:63" x14ac:dyDescent="0.25">
      <c r="C27" s="51">
        <v>45</v>
      </c>
      <c r="D27" s="43">
        <f t="shared" si="0"/>
        <v>370.84455324982082</v>
      </c>
      <c r="E27" s="44">
        <f t="shared" si="0"/>
        <v>214.65081485970188</v>
      </c>
      <c r="F27" s="45">
        <f t="shared" si="0"/>
        <v>124.60302012063963</v>
      </c>
      <c r="G27" s="43"/>
      <c r="H27" s="44">
        <f>$H$11*($H$12/C27)^2*Metric_Conversion!$I$14*Metric_Conversion!$I$14</f>
        <v>76.355789564441167</v>
      </c>
      <c r="I27" s="46"/>
      <c r="J27" s="47">
        <v>500</v>
      </c>
      <c r="K27" s="43"/>
      <c r="L27" s="44">
        <v>200</v>
      </c>
      <c r="M27" s="46"/>
      <c r="N27" s="43"/>
      <c r="O27" s="44">
        <f t="shared" si="1"/>
        <v>176.75472177177335</v>
      </c>
      <c r="P27" s="46">
        <f t="shared" si="1"/>
        <v>75.120756753003675</v>
      </c>
      <c r="Q27" s="47">
        <f t="shared" si="2"/>
        <v>45</v>
      </c>
      <c r="R27" s="43">
        <f t="shared" si="3"/>
        <v>93.056936596373745</v>
      </c>
      <c r="S27" s="43">
        <f t="shared" si="3"/>
        <v>71.434672216579017</v>
      </c>
      <c r="T27" s="43">
        <f t="shared" si="3"/>
        <v>54.464080752627218</v>
      </c>
      <c r="U27" s="47">
        <f t="shared" si="4"/>
        <v>45</v>
      </c>
      <c r="V27" s="40">
        <f t="shared" si="5"/>
        <v>1118.01</v>
      </c>
      <c r="W27" s="40">
        <f t="shared" si="5"/>
        <v>669.8839999999999</v>
      </c>
      <c r="X27" s="40">
        <f t="shared" si="5"/>
        <v>350.82299999999998</v>
      </c>
      <c r="AD27" s="52"/>
      <c r="AE27" s="52"/>
      <c r="AF27" s="52"/>
      <c r="AG27" s="52"/>
      <c r="AH27" s="53"/>
      <c r="AI27" s="53"/>
      <c r="AJ27" s="53"/>
      <c r="AO27" s="51">
        <f>+IF(Input_Output!$E$6="SI",EnergyLevel!C27,EnergyLevel!C27*51.64)</f>
        <v>45</v>
      </c>
      <c r="AP27" s="51">
        <f>+IF(Input_Output!$E$6="SI",EnergyLevel!D27,EnergyLevel!D27*0.3048)</f>
        <v>370.84455324982082</v>
      </c>
      <c r="AQ27" s="51">
        <f>+IF(Input_Output!$E$6="SI",EnergyLevel!E27,EnergyLevel!E27*0.3048)</f>
        <v>214.65081485970188</v>
      </c>
      <c r="AR27" s="51">
        <f>+IF(Input_Output!$E$6="SI",EnergyLevel!F27,EnergyLevel!F27*0.3048)</f>
        <v>124.60302012063963</v>
      </c>
      <c r="AS27" s="51">
        <f>+IF(Input_Output!$E$6="SI",EnergyLevel!G27,EnergyLevel!G27*0.3048)</f>
        <v>0</v>
      </c>
      <c r="AT27" s="51">
        <f>+IF(Input_Output!$E$6="SI",EnergyLevel!H27,EnergyLevel!H27*0.3048)</f>
        <v>76.355789564441167</v>
      </c>
      <c r="AU27" s="51">
        <f>+IF(Input_Output!$E$6="SI",EnergyLevel!I27,EnergyLevel!I27*0.3048)</f>
        <v>0</v>
      </c>
      <c r="AV27" s="51">
        <f>+IF(Input_Output!$E$6="SI",EnergyLevel!J27,EnergyLevel!J27/0.7457)</f>
        <v>500</v>
      </c>
      <c r="AW27" s="51">
        <f>+IF(Input_Output!$E$6="SI",EnergyLevel!K27,EnergyLevel!K27*0.3048)</f>
        <v>0</v>
      </c>
      <c r="AX27" s="51">
        <f>+IF(Input_Output!$E$6="SI",EnergyLevel!L27,EnergyLevel!L27*0.3048)</f>
        <v>200</v>
      </c>
      <c r="AY27" s="51">
        <f>+IF(Input_Output!$E$6="SI",EnergyLevel!M27,EnergyLevel!M27*0.3048)</f>
        <v>0</v>
      </c>
      <c r="AZ27" s="51">
        <f>+IF(Input_Output!$E$6="SI",EnergyLevel!N27,EnergyLevel!N27*0.3048)</f>
        <v>0</v>
      </c>
      <c r="BA27" s="51">
        <f>+IF(Input_Output!$E$6="SI",EnergyLevel!O27,EnergyLevel!O27*0.3048)</f>
        <v>176.75472177177335</v>
      </c>
      <c r="BB27" s="51">
        <f>+IF(Input_Output!$E$6="SI",EnergyLevel!P27,EnergyLevel!P27*0.3048)</f>
        <v>75.120756753003675</v>
      </c>
      <c r="BC27" s="51">
        <f>+IF(Input_Output!$E$6="SI",EnergyLevel!Q27,EnergyLevel!Q27*51.64)</f>
        <v>45</v>
      </c>
      <c r="BD27" s="51">
        <f>+IF(Input_Output!$E$6="SI",EnergyLevel!R27,EnergyLevel!R27*0.3048)</f>
        <v>93.056936596373745</v>
      </c>
      <c r="BE27" s="51">
        <f>+IF(Input_Output!$E$6="SI",EnergyLevel!S27,EnergyLevel!S27*0.3048)</f>
        <v>71.434672216579017</v>
      </c>
      <c r="BF27" s="51">
        <f>+IF(Input_Output!$E$6="SI",EnergyLevel!T27,EnergyLevel!T27*0.3048)</f>
        <v>54.464080752627218</v>
      </c>
      <c r="BG27" s="51">
        <f>+IF(Input_Output!$E$6="SI",EnergyLevel!U27,EnergyLevel!U27*51.64)</f>
        <v>45</v>
      </c>
      <c r="BH27" s="51">
        <f>+IF(Input_Output!$E$6="SI",EnergyLevel!V27,EnergyLevel!V27/0.7457)</f>
        <v>1118.01</v>
      </c>
      <c r="BI27" s="51">
        <f>+IF(Input_Output!$E$6="SI",EnergyLevel!W27,EnergyLevel!W27/0.7457)</f>
        <v>669.8839999999999</v>
      </c>
      <c r="BJ27" s="51">
        <f>+IF(Input_Output!$E$6="SI",EnergyLevel!X27,EnergyLevel!X27/0.7457)</f>
        <v>350.82299999999998</v>
      </c>
    </row>
    <row r="28" spans="2:63" x14ac:dyDescent="0.25">
      <c r="C28" s="51">
        <v>50</v>
      </c>
      <c r="D28" s="43">
        <f t="shared" si="0"/>
        <v>291.9119230694514</v>
      </c>
      <c r="E28" s="44">
        <f t="shared" si="0"/>
        <v>168.83262716277571</v>
      </c>
      <c r="F28" s="45">
        <f t="shared" si="0"/>
        <v>98.06451539921801</v>
      </c>
      <c r="G28" s="43"/>
      <c r="H28" s="44">
        <f>$H$11*($H$12/C28)^2*Metric_Conversion!$I$14*Metric_Conversion!$I$14</f>
        <v>61.848189547197379</v>
      </c>
      <c r="I28" s="46"/>
      <c r="J28" s="47">
        <v>600</v>
      </c>
      <c r="K28" s="43"/>
      <c r="L28" s="44">
        <v>200</v>
      </c>
      <c r="M28" s="46"/>
      <c r="N28" s="43"/>
      <c r="O28" s="44">
        <f t="shared" si="1"/>
        <v>166.34267043977533</v>
      </c>
      <c r="P28" s="46">
        <f t="shared" si="1"/>
        <v>70.695634936904511</v>
      </c>
      <c r="Q28" s="47">
        <f t="shared" si="2"/>
        <v>50</v>
      </c>
      <c r="R28" s="43">
        <f t="shared" si="3"/>
        <v>83.983839945156149</v>
      </c>
      <c r="S28" s="43">
        <f t="shared" si="3"/>
        <v>64.473635885968719</v>
      </c>
      <c r="T28" s="43">
        <f t="shared" si="3"/>
        <v>49.177957828468742</v>
      </c>
      <c r="U28" s="47">
        <f t="shared" si="4"/>
        <v>50</v>
      </c>
      <c r="V28" s="40">
        <f t="shared" si="5"/>
        <v>1197.8800000000001</v>
      </c>
      <c r="W28" s="40">
        <f t="shared" si="5"/>
        <v>817.39400000000001</v>
      </c>
      <c r="X28" s="40">
        <f t="shared" si="5"/>
        <v>437.54</v>
      </c>
      <c r="AD28" s="52"/>
      <c r="AE28" s="52"/>
      <c r="AF28" s="52"/>
      <c r="AG28" s="52"/>
      <c r="AH28" s="53"/>
      <c r="AI28" s="53"/>
      <c r="AJ28" s="53"/>
      <c r="AO28" s="51">
        <f>+IF(Input_Output!$E$6="SI",EnergyLevel!C28,EnergyLevel!C28*51.64)</f>
        <v>50</v>
      </c>
      <c r="AP28" s="51">
        <f>+IF(Input_Output!$E$6="SI",EnergyLevel!D28,EnergyLevel!D28*0.3048)</f>
        <v>291.9119230694514</v>
      </c>
      <c r="AQ28" s="51">
        <f>+IF(Input_Output!$E$6="SI",EnergyLevel!E28,EnergyLevel!E28*0.3048)</f>
        <v>168.83262716277571</v>
      </c>
      <c r="AR28" s="51">
        <f>+IF(Input_Output!$E$6="SI",EnergyLevel!F28,EnergyLevel!F28*0.3048)</f>
        <v>98.06451539921801</v>
      </c>
      <c r="AS28" s="51">
        <f>+IF(Input_Output!$E$6="SI",EnergyLevel!G28,EnergyLevel!G28*0.3048)</f>
        <v>0</v>
      </c>
      <c r="AT28" s="51">
        <f>+IF(Input_Output!$E$6="SI",EnergyLevel!H28,EnergyLevel!H28*0.3048)</f>
        <v>61.848189547197379</v>
      </c>
      <c r="AU28" s="51">
        <f>+IF(Input_Output!$E$6="SI",EnergyLevel!I28,EnergyLevel!I28*0.3048)</f>
        <v>0</v>
      </c>
      <c r="AV28" s="51">
        <f>+IF(Input_Output!$E$6="SI",EnergyLevel!J28,EnergyLevel!J28/0.7457)</f>
        <v>600</v>
      </c>
      <c r="AW28" s="51">
        <f>+IF(Input_Output!$E$6="SI",EnergyLevel!K28,EnergyLevel!K28*0.3048)</f>
        <v>0</v>
      </c>
      <c r="AX28" s="51">
        <f>+IF(Input_Output!$E$6="SI",EnergyLevel!L28,EnergyLevel!L28*0.3048)</f>
        <v>200</v>
      </c>
      <c r="AY28" s="51">
        <f>+IF(Input_Output!$E$6="SI",EnergyLevel!M28,EnergyLevel!M28*0.3048)</f>
        <v>0</v>
      </c>
      <c r="AZ28" s="51">
        <f>+IF(Input_Output!$E$6="SI",EnergyLevel!N28,EnergyLevel!N28*0.3048)</f>
        <v>0</v>
      </c>
      <c r="BA28" s="51">
        <f>+IF(Input_Output!$E$6="SI",EnergyLevel!O28,EnergyLevel!O28*0.3048)</f>
        <v>166.34267043977533</v>
      </c>
      <c r="BB28" s="51">
        <f>+IF(Input_Output!$E$6="SI",EnergyLevel!P28,EnergyLevel!P28*0.3048)</f>
        <v>70.695634936904511</v>
      </c>
      <c r="BC28" s="51">
        <f>+IF(Input_Output!$E$6="SI",EnergyLevel!Q28,EnergyLevel!Q28*51.64)</f>
        <v>50</v>
      </c>
      <c r="BD28" s="51">
        <f>+IF(Input_Output!$E$6="SI",EnergyLevel!R28,EnergyLevel!R28*0.3048)</f>
        <v>83.983839945156149</v>
      </c>
      <c r="BE28" s="51">
        <f>+IF(Input_Output!$E$6="SI",EnergyLevel!S28,EnergyLevel!S28*0.3048)</f>
        <v>64.473635885968719</v>
      </c>
      <c r="BF28" s="51">
        <f>+IF(Input_Output!$E$6="SI",EnergyLevel!T28,EnergyLevel!T28*0.3048)</f>
        <v>49.177957828468742</v>
      </c>
      <c r="BG28" s="51">
        <f>+IF(Input_Output!$E$6="SI",EnergyLevel!U28,EnergyLevel!U28*51.64)</f>
        <v>50</v>
      </c>
      <c r="BH28" s="51">
        <f>+IF(Input_Output!$E$6="SI",EnergyLevel!V28,EnergyLevel!V28/0.7457)</f>
        <v>1197.8800000000001</v>
      </c>
      <c r="BI28" s="51">
        <f>+IF(Input_Output!$E$6="SI",EnergyLevel!W28,EnergyLevel!W28/0.7457)</f>
        <v>817.39400000000001</v>
      </c>
      <c r="BJ28" s="51">
        <f>+IF(Input_Output!$E$6="SI",EnergyLevel!X28,EnergyLevel!X28/0.7457)</f>
        <v>437.54</v>
      </c>
    </row>
    <row r="29" spans="2:63" x14ac:dyDescent="0.25">
      <c r="C29" s="51">
        <v>55</v>
      </c>
      <c r="D29" s="43">
        <f t="shared" si="0"/>
        <v>235.0859114617694</v>
      </c>
      <c r="E29" s="44">
        <f t="shared" si="0"/>
        <v>135.87110735824496</v>
      </c>
      <c r="F29" s="45">
        <f t="shared" si="0"/>
        <v>78.961856724783914</v>
      </c>
      <c r="G29" s="43"/>
      <c r="H29" s="44">
        <f>$H$11*($H$12/C29)^2*Metric_Conversion!$I$14*Metric_Conversion!$I$14</f>
        <v>51.114206237353194</v>
      </c>
      <c r="I29" s="46"/>
      <c r="J29" s="47">
        <v>700</v>
      </c>
      <c r="K29" s="43"/>
      <c r="L29" s="44">
        <v>200</v>
      </c>
      <c r="M29" s="46"/>
      <c r="N29" s="43"/>
      <c r="O29" s="44">
        <f t="shared" si="1"/>
        <v>158.01939268911258</v>
      </c>
      <c r="P29" s="46">
        <f t="shared" si="1"/>
        <v>67.158241892872852</v>
      </c>
      <c r="Q29" s="47">
        <f t="shared" si="2"/>
        <v>55</v>
      </c>
      <c r="R29" s="43">
        <f t="shared" si="3"/>
        <v>76.561505330695979</v>
      </c>
      <c r="S29" s="43">
        <f t="shared" si="3"/>
        <v>58.761106646864285</v>
      </c>
      <c r="T29" s="43">
        <f t="shared" si="3"/>
        <v>44.858426036936052</v>
      </c>
      <c r="U29" s="47">
        <f t="shared" si="4"/>
        <v>55</v>
      </c>
      <c r="V29" s="40">
        <f t="shared" si="5"/>
        <v>1275.97</v>
      </c>
      <c r="W29" s="40">
        <f t="shared" si="5"/>
        <v>996.19899999999984</v>
      </c>
      <c r="X29" s="40">
        <f t="shared" si="5"/>
        <v>539.28199999999993</v>
      </c>
      <c r="AD29" s="52"/>
      <c r="AE29" s="52"/>
      <c r="AF29" s="52"/>
      <c r="AG29" s="52"/>
      <c r="AH29" s="53"/>
      <c r="AI29" s="53"/>
      <c r="AJ29" s="53"/>
      <c r="AO29" s="51">
        <f>+IF(Input_Output!$E$6="SI",EnergyLevel!C29,EnergyLevel!C29*51.64)</f>
        <v>55</v>
      </c>
      <c r="AP29" s="51">
        <f>+IF(Input_Output!$E$6="SI",EnergyLevel!D29,EnergyLevel!D29*0.3048)</f>
        <v>235.0859114617694</v>
      </c>
      <c r="AQ29" s="51">
        <f>+IF(Input_Output!$E$6="SI",EnergyLevel!E29,EnergyLevel!E29*0.3048)</f>
        <v>135.87110735824496</v>
      </c>
      <c r="AR29" s="51">
        <f>+IF(Input_Output!$E$6="SI",EnergyLevel!F29,EnergyLevel!F29*0.3048)</f>
        <v>78.961856724783914</v>
      </c>
      <c r="AS29" s="51">
        <f>+IF(Input_Output!$E$6="SI",EnergyLevel!G29,EnergyLevel!G29*0.3048)</f>
        <v>0</v>
      </c>
      <c r="AT29" s="51">
        <f>+IF(Input_Output!$E$6="SI",EnergyLevel!H29,EnergyLevel!H29*0.3048)</f>
        <v>51.114206237353194</v>
      </c>
      <c r="AU29" s="51">
        <f>+IF(Input_Output!$E$6="SI",EnergyLevel!I29,EnergyLevel!I29*0.3048)</f>
        <v>0</v>
      </c>
      <c r="AV29" s="51">
        <f>+IF(Input_Output!$E$6="SI",EnergyLevel!J29,EnergyLevel!J29/0.7457)</f>
        <v>700</v>
      </c>
      <c r="AW29" s="51">
        <f>+IF(Input_Output!$E$6="SI",EnergyLevel!K29,EnergyLevel!K29*0.3048)</f>
        <v>0</v>
      </c>
      <c r="AX29" s="51">
        <f>+IF(Input_Output!$E$6="SI",EnergyLevel!L29,EnergyLevel!L29*0.3048)</f>
        <v>200</v>
      </c>
      <c r="AY29" s="51">
        <f>+IF(Input_Output!$E$6="SI",EnergyLevel!M29,EnergyLevel!M29*0.3048)</f>
        <v>0</v>
      </c>
      <c r="AZ29" s="51">
        <f>+IF(Input_Output!$E$6="SI",EnergyLevel!N29,EnergyLevel!N29*0.3048)</f>
        <v>0</v>
      </c>
      <c r="BA29" s="51">
        <f>+IF(Input_Output!$E$6="SI",EnergyLevel!O29,EnergyLevel!O29*0.3048)</f>
        <v>158.01939268911258</v>
      </c>
      <c r="BB29" s="51">
        <f>+IF(Input_Output!$E$6="SI",EnergyLevel!P29,EnergyLevel!P29*0.3048)</f>
        <v>67.158241892872852</v>
      </c>
      <c r="BC29" s="51">
        <f>+IF(Input_Output!$E$6="SI",EnergyLevel!Q29,EnergyLevel!Q29*51.64)</f>
        <v>55</v>
      </c>
      <c r="BD29" s="51">
        <f>+IF(Input_Output!$E$6="SI",EnergyLevel!R29,EnergyLevel!R29*0.3048)</f>
        <v>76.561505330695979</v>
      </c>
      <c r="BE29" s="51">
        <f>+IF(Input_Output!$E$6="SI",EnergyLevel!S29,EnergyLevel!S29*0.3048)</f>
        <v>58.761106646864285</v>
      </c>
      <c r="BF29" s="51">
        <f>+IF(Input_Output!$E$6="SI",EnergyLevel!T29,EnergyLevel!T29*0.3048)</f>
        <v>44.858426036936052</v>
      </c>
      <c r="BG29" s="51">
        <f>+IF(Input_Output!$E$6="SI",EnergyLevel!U29,EnergyLevel!U29*51.64)</f>
        <v>55</v>
      </c>
      <c r="BH29" s="51">
        <f>+IF(Input_Output!$E$6="SI",EnergyLevel!V29,EnergyLevel!V29/0.7457)</f>
        <v>1275.97</v>
      </c>
      <c r="BI29" s="51">
        <f>+IF(Input_Output!$E$6="SI",EnergyLevel!W29,EnergyLevel!W29/0.7457)</f>
        <v>996.19899999999984</v>
      </c>
      <c r="BJ29" s="51">
        <f>+IF(Input_Output!$E$6="SI",EnergyLevel!X29,EnergyLevel!X29/0.7457)</f>
        <v>539.28199999999993</v>
      </c>
    </row>
    <row r="30" spans="2:63" x14ac:dyDescent="0.25">
      <c r="C30" s="51">
        <v>60</v>
      </c>
      <c r="D30" s="43">
        <f t="shared" si="0"/>
        <v>192.92490374115533</v>
      </c>
      <c r="E30" s="44">
        <f t="shared" si="0"/>
        <v>111.43233842607096</v>
      </c>
      <c r="F30" s="45">
        <f t="shared" si="0"/>
        <v>64.791162454011697</v>
      </c>
      <c r="G30" s="43"/>
      <c r="H30" s="44">
        <f>$H$11*($H$12/C30)^2*Metric_Conversion!$I$14*Metric_Conversion!$I$14</f>
        <v>42.950131629998182</v>
      </c>
      <c r="I30" s="46"/>
      <c r="J30" s="47">
        <v>800</v>
      </c>
      <c r="K30" s="43"/>
      <c r="L30" s="44">
        <v>200</v>
      </c>
      <c r="M30" s="46"/>
      <c r="N30" s="43"/>
      <c r="O30" s="44">
        <f t="shared" si="1"/>
        <v>151.14683934513985</v>
      </c>
      <c r="P30" s="46">
        <f t="shared" si="1"/>
        <v>64.237406721684437</v>
      </c>
      <c r="Q30" s="47">
        <f t="shared" si="2"/>
        <v>60</v>
      </c>
      <c r="R30" s="43">
        <f t="shared" si="3"/>
        <v>70.4858461076889</v>
      </c>
      <c r="S30" s="43">
        <f t="shared" si="3"/>
        <v>54.06808431420604</v>
      </c>
      <c r="T30" s="43">
        <f t="shared" si="3"/>
        <v>41.32386291670273</v>
      </c>
      <c r="U30" s="47">
        <f t="shared" si="4"/>
        <v>60</v>
      </c>
      <c r="V30" s="40">
        <f t="shared" si="5"/>
        <v>1356.4799999999996</v>
      </c>
      <c r="W30" s="40">
        <f t="shared" si="5"/>
        <v>1211.0239999999999</v>
      </c>
      <c r="X30" s="40">
        <f t="shared" si="5"/>
        <v>657.09899999999993</v>
      </c>
      <c r="AD30" s="52"/>
      <c r="AE30" s="52"/>
      <c r="AF30" s="52"/>
      <c r="AG30" s="52"/>
      <c r="AH30" s="53"/>
      <c r="AI30" s="53"/>
      <c r="AJ30" s="53"/>
      <c r="AO30" s="51">
        <f>+IF(Input_Output!$E$6="SI",EnergyLevel!C30,EnergyLevel!C30*51.64)</f>
        <v>60</v>
      </c>
      <c r="AP30" s="51">
        <f>+IF(Input_Output!$E$6="SI",EnergyLevel!D30,EnergyLevel!D30*0.3048)</f>
        <v>192.92490374115533</v>
      </c>
      <c r="AQ30" s="51">
        <f>+IF(Input_Output!$E$6="SI",EnergyLevel!E30,EnergyLevel!E30*0.3048)</f>
        <v>111.43233842607096</v>
      </c>
      <c r="AR30" s="51">
        <f>+IF(Input_Output!$E$6="SI",EnergyLevel!F30,EnergyLevel!F30*0.3048)</f>
        <v>64.791162454011697</v>
      </c>
      <c r="AS30" s="51">
        <f>+IF(Input_Output!$E$6="SI",EnergyLevel!G30,EnergyLevel!G30*0.3048)</f>
        <v>0</v>
      </c>
      <c r="AT30" s="51">
        <f>+IF(Input_Output!$E$6="SI",EnergyLevel!H30,EnergyLevel!H30*0.3048)</f>
        <v>42.950131629998182</v>
      </c>
      <c r="AU30" s="51">
        <f>+IF(Input_Output!$E$6="SI",EnergyLevel!I30,EnergyLevel!I30*0.3048)</f>
        <v>0</v>
      </c>
      <c r="AV30" s="51">
        <f>+IF(Input_Output!$E$6="SI",EnergyLevel!J30,EnergyLevel!J30/0.7457)</f>
        <v>800</v>
      </c>
      <c r="AW30" s="51">
        <f>+IF(Input_Output!$E$6="SI",EnergyLevel!K30,EnergyLevel!K30*0.3048)</f>
        <v>0</v>
      </c>
      <c r="AX30" s="51">
        <f>+IF(Input_Output!$E$6="SI",EnergyLevel!L30,EnergyLevel!L30*0.3048)</f>
        <v>200</v>
      </c>
      <c r="AY30" s="51">
        <f>+IF(Input_Output!$E$6="SI",EnergyLevel!M30,EnergyLevel!M30*0.3048)</f>
        <v>0</v>
      </c>
      <c r="AZ30" s="51">
        <f>+IF(Input_Output!$E$6="SI",EnergyLevel!N30,EnergyLevel!N30*0.3048)</f>
        <v>0</v>
      </c>
      <c r="BA30" s="51">
        <f>+IF(Input_Output!$E$6="SI",EnergyLevel!O30,EnergyLevel!O30*0.3048)</f>
        <v>151.14683934513985</v>
      </c>
      <c r="BB30" s="51">
        <f>+IF(Input_Output!$E$6="SI",EnergyLevel!P30,EnergyLevel!P30*0.3048)</f>
        <v>64.237406721684437</v>
      </c>
      <c r="BC30" s="51">
        <f>+IF(Input_Output!$E$6="SI",EnergyLevel!Q30,EnergyLevel!Q30*51.64)</f>
        <v>60</v>
      </c>
      <c r="BD30" s="51">
        <f>+IF(Input_Output!$E$6="SI",EnergyLevel!R30,EnergyLevel!R30*0.3048)</f>
        <v>70.4858461076889</v>
      </c>
      <c r="BE30" s="51">
        <f>+IF(Input_Output!$E$6="SI",EnergyLevel!S30,EnergyLevel!S30*0.3048)</f>
        <v>54.06808431420604</v>
      </c>
      <c r="BF30" s="51">
        <f>+IF(Input_Output!$E$6="SI",EnergyLevel!T30,EnergyLevel!T30*0.3048)</f>
        <v>41.32386291670273</v>
      </c>
      <c r="BG30" s="51">
        <f>+IF(Input_Output!$E$6="SI",EnergyLevel!U30,EnergyLevel!U30*51.64)</f>
        <v>60</v>
      </c>
      <c r="BH30" s="51">
        <f>+IF(Input_Output!$E$6="SI",EnergyLevel!V30,EnergyLevel!V30/0.7457)</f>
        <v>1356.4799999999996</v>
      </c>
      <c r="BI30" s="51">
        <f>+IF(Input_Output!$E$6="SI",EnergyLevel!W30,EnergyLevel!W30/0.7457)</f>
        <v>1211.0239999999999</v>
      </c>
      <c r="BJ30" s="51">
        <f>+IF(Input_Output!$E$6="SI",EnergyLevel!X30,EnergyLevel!X30/0.7457)</f>
        <v>657.09899999999993</v>
      </c>
    </row>
    <row r="31" spans="2:63" x14ac:dyDescent="0.25">
      <c r="B31" s="40">
        <f>+C31*51.6</f>
        <v>3612</v>
      </c>
      <c r="C31" s="51">
        <v>70</v>
      </c>
      <c r="D31" s="43">
        <f t="shared" si="0"/>
        <v>135.93016200416847</v>
      </c>
      <c r="E31" s="44">
        <f t="shared" si="0"/>
        <v>78.423651064183474</v>
      </c>
      <c r="F31" s="45">
        <f t="shared" si="0"/>
        <v>45.638485648034461</v>
      </c>
      <c r="G31" s="43"/>
      <c r="H31" s="44">
        <f>$H$11*($H$12/C31)^2*Metric_Conversion!$I$14*Metric_Conversion!$I$14</f>
        <v>31.555198748570085</v>
      </c>
      <c r="I31" s="46"/>
      <c r="J31" s="47">
        <v>900</v>
      </c>
      <c r="K31" s="43"/>
      <c r="L31" s="44">
        <v>200</v>
      </c>
      <c r="M31" s="46"/>
      <c r="N31" s="43"/>
      <c r="O31" s="44">
        <f t="shared" si="1"/>
        <v>145.3333485548832</v>
      </c>
      <c r="P31" s="46">
        <f t="shared" si="1"/>
        <v>61.766673135825364</v>
      </c>
      <c r="Q31" s="47">
        <f t="shared" si="2"/>
        <v>70</v>
      </c>
      <c r="R31" s="43">
        <f t="shared" si="3"/>
        <v>61.378053859100071</v>
      </c>
      <c r="S31" s="43">
        <f t="shared" si="3"/>
        <v>46.99141201259097</v>
      </c>
      <c r="T31" s="43">
        <f t="shared" si="3"/>
        <v>36.017196785785629</v>
      </c>
      <c r="U31" s="47">
        <f t="shared" si="4"/>
        <v>70</v>
      </c>
      <c r="V31" s="40">
        <f t="shared" si="5"/>
        <v>1541.5599999999993</v>
      </c>
      <c r="W31" s="40">
        <f t="shared" si="5"/>
        <v>1767.6340000000002</v>
      </c>
      <c r="X31" s="40">
        <f t="shared" si="5"/>
        <v>945.1579999999999</v>
      </c>
      <c r="AD31" s="52"/>
      <c r="AE31" s="52"/>
      <c r="AF31" s="52"/>
      <c r="AG31" s="52"/>
      <c r="AH31" s="53"/>
      <c r="AI31" s="53"/>
      <c r="AJ31" s="53"/>
      <c r="AO31" s="51">
        <f>+IF(Input_Output!$E$6="SI",EnergyLevel!C31,EnergyLevel!C31*51.64)</f>
        <v>70</v>
      </c>
      <c r="AP31" s="51">
        <f>+IF(Input_Output!$E$6="SI",EnergyLevel!D31,EnergyLevel!D31*0.3048)</f>
        <v>135.93016200416847</v>
      </c>
      <c r="AQ31" s="51">
        <f>+IF(Input_Output!$E$6="SI",EnergyLevel!E31,EnergyLevel!E31*0.3048)</f>
        <v>78.423651064183474</v>
      </c>
      <c r="AR31" s="51">
        <f>+IF(Input_Output!$E$6="SI",EnergyLevel!F31,EnergyLevel!F31*0.3048)</f>
        <v>45.638485648034461</v>
      </c>
      <c r="AS31" s="51">
        <f>+IF(Input_Output!$E$6="SI",EnergyLevel!G31,EnergyLevel!G31*0.3048)</f>
        <v>0</v>
      </c>
      <c r="AT31" s="51">
        <f>+IF(Input_Output!$E$6="SI",EnergyLevel!H31,EnergyLevel!H31*0.3048)</f>
        <v>31.555198748570085</v>
      </c>
      <c r="AU31" s="51">
        <f>+IF(Input_Output!$E$6="SI",EnergyLevel!I31,EnergyLevel!I31*0.3048)</f>
        <v>0</v>
      </c>
      <c r="AV31" s="51">
        <f>+IF(Input_Output!$E$6="SI",EnergyLevel!J31,EnergyLevel!J31/0.7457)</f>
        <v>900</v>
      </c>
      <c r="AW31" s="51">
        <f>+IF(Input_Output!$E$6="SI",EnergyLevel!K31,EnergyLevel!K31*0.3048)</f>
        <v>0</v>
      </c>
      <c r="AX31" s="51">
        <f>+IF(Input_Output!$E$6="SI",EnergyLevel!L31,EnergyLevel!L31*0.3048)</f>
        <v>200</v>
      </c>
      <c r="AY31" s="51">
        <f>+IF(Input_Output!$E$6="SI",EnergyLevel!M31,EnergyLevel!M31*0.3048)</f>
        <v>0</v>
      </c>
      <c r="AZ31" s="51">
        <f>+IF(Input_Output!$E$6="SI",EnergyLevel!N31,EnergyLevel!N31*0.3048)</f>
        <v>0</v>
      </c>
      <c r="BA31" s="51">
        <f>+IF(Input_Output!$E$6="SI",EnergyLevel!O31,EnergyLevel!O31*0.3048)</f>
        <v>145.3333485548832</v>
      </c>
      <c r="BB31" s="51">
        <f>+IF(Input_Output!$E$6="SI",EnergyLevel!P31,EnergyLevel!P31*0.3048)</f>
        <v>61.766673135825364</v>
      </c>
      <c r="BC31" s="51">
        <f>+IF(Input_Output!$E$6="SI",EnergyLevel!Q31,EnergyLevel!Q31*51.64)</f>
        <v>70</v>
      </c>
      <c r="BD31" s="51">
        <f>+IF(Input_Output!$E$6="SI",EnergyLevel!R31,EnergyLevel!R31*0.3048)</f>
        <v>61.378053859100071</v>
      </c>
      <c r="BE31" s="51">
        <f>+IF(Input_Output!$E$6="SI",EnergyLevel!S31,EnergyLevel!S31*0.3048)</f>
        <v>46.99141201259097</v>
      </c>
      <c r="BF31" s="51">
        <f>+IF(Input_Output!$E$6="SI",EnergyLevel!T31,EnergyLevel!T31*0.3048)</f>
        <v>36.017196785785629</v>
      </c>
      <c r="BG31" s="51">
        <f>+IF(Input_Output!$E$6="SI",EnergyLevel!U31,EnergyLevel!U31*51.64)</f>
        <v>70</v>
      </c>
      <c r="BH31" s="51">
        <f>+IF(Input_Output!$E$6="SI",EnergyLevel!V31,EnergyLevel!V31/0.7457)</f>
        <v>1541.5599999999993</v>
      </c>
      <c r="BI31" s="51">
        <f>+IF(Input_Output!$E$6="SI",EnergyLevel!W31,EnergyLevel!W31/0.7457)</f>
        <v>1767.6340000000002</v>
      </c>
      <c r="BJ31" s="51">
        <f>+IF(Input_Output!$E$6="SI",EnergyLevel!X31,EnergyLevel!X31/0.7457)</f>
        <v>945.1579999999999</v>
      </c>
    </row>
    <row r="32" spans="2:63" x14ac:dyDescent="0.25">
      <c r="B32" s="40">
        <f>+C32*51.6</f>
        <v>4128</v>
      </c>
      <c r="C32" s="51">
        <v>80</v>
      </c>
      <c r="D32" s="43">
        <f t="shared" si="0"/>
        <v>100.36555251348305</v>
      </c>
      <c r="E32" s="44">
        <f t="shared" si="0"/>
        <v>57.848212946307164</v>
      </c>
      <c r="F32" s="45">
        <f t="shared" si="0"/>
        <v>33.690152358087047</v>
      </c>
      <c r="G32" s="43"/>
      <c r="H32" s="44">
        <f>$H$11*($H$12/C32)^2*Metric_Conversion!$I$14*Metric_Conversion!$I$14</f>
        <v>24.15944904187397</v>
      </c>
      <c r="I32" s="46"/>
      <c r="J32" s="47">
        <v>1000</v>
      </c>
      <c r="K32" s="43"/>
      <c r="L32" s="44">
        <v>200</v>
      </c>
      <c r="M32" s="46"/>
      <c r="N32" s="43"/>
      <c r="O32" s="44">
        <f t="shared" si="1"/>
        <v>140.32273333090595</v>
      </c>
      <c r="P32" s="46">
        <f t="shared" si="1"/>
        <v>59.637161665635027</v>
      </c>
      <c r="Q32" s="47">
        <f t="shared" si="2"/>
        <v>80</v>
      </c>
      <c r="R32" s="43">
        <f t="shared" si="3"/>
        <v>55.046910654471056</v>
      </c>
      <c r="S32" s="43">
        <f t="shared" si="3"/>
        <v>42.032618315825879</v>
      </c>
      <c r="T32" s="43">
        <f t="shared" si="3"/>
        <v>32.303822547537358</v>
      </c>
      <c r="U32" s="47">
        <f t="shared" si="4"/>
        <v>80</v>
      </c>
      <c r="V32" s="40">
        <f t="shared" si="5"/>
        <v>1786.7199999999993</v>
      </c>
      <c r="W32" s="40">
        <f t="shared" si="5"/>
        <v>2525.0239999999999</v>
      </c>
      <c r="X32" s="40">
        <f t="shared" si="5"/>
        <v>1310.1169999999997</v>
      </c>
      <c r="AD32" s="52"/>
      <c r="AE32" s="52"/>
      <c r="AF32" s="52"/>
      <c r="AG32" s="52"/>
      <c r="AH32" s="53"/>
      <c r="AI32" s="53"/>
      <c r="AJ32" s="53"/>
      <c r="AO32" s="51">
        <f>+IF(Input_Output!$E$6="SI",EnergyLevel!C32,EnergyLevel!C32*51.64)</f>
        <v>80</v>
      </c>
      <c r="AP32" s="51">
        <f>+IF(Input_Output!$E$6="SI",EnergyLevel!D32,EnergyLevel!D32*0.3048)</f>
        <v>100.36555251348305</v>
      </c>
      <c r="AQ32" s="51">
        <f>+IF(Input_Output!$E$6="SI",EnergyLevel!E32,EnergyLevel!E32*0.3048)</f>
        <v>57.848212946307164</v>
      </c>
      <c r="AR32" s="51">
        <f>+IF(Input_Output!$E$6="SI",EnergyLevel!F32,EnergyLevel!F32*0.3048)</f>
        <v>33.690152358087047</v>
      </c>
      <c r="AS32" s="51">
        <f>+IF(Input_Output!$E$6="SI",EnergyLevel!G32,EnergyLevel!G32*0.3048)</f>
        <v>0</v>
      </c>
      <c r="AT32" s="51">
        <f>+IF(Input_Output!$E$6="SI",EnergyLevel!H32,EnergyLevel!H32*0.3048)</f>
        <v>24.15944904187397</v>
      </c>
      <c r="AU32" s="51">
        <f>+IF(Input_Output!$E$6="SI",EnergyLevel!I32,EnergyLevel!I32*0.3048)</f>
        <v>0</v>
      </c>
      <c r="AV32" s="51">
        <f>+IF(Input_Output!$E$6="SI",EnergyLevel!J32,EnergyLevel!J32/0.7457)</f>
        <v>1000</v>
      </c>
      <c r="AW32" s="51">
        <f>+IF(Input_Output!$E$6="SI",EnergyLevel!K32,EnergyLevel!K32*0.3048)</f>
        <v>0</v>
      </c>
      <c r="AX32" s="51">
        <f>+IF(Input_Output!$E$6="SI",EnergyLevel!L32,EnergyLevel!L32*0.3048)</f>
        <v>200</v>
      </c>
      <c r="AY32" s="51">
        <f>+IF(Input_Output!$E$6="SI",EnergyLevel!M32,EnergyLevel!M32*0.3048)</f>
        <v>0</v>
      </c>
      <c r="AZ32" s="51">
        <f>+IF(Input_Output!$E$6="SI",EnergyLevel!N32,EnergyLevel!N32*0.3048)</f>
        <v>0</v>
      </c>
      <c r="BA32" s="51">
        <f>+IF(Input_Output!$E$6="SI",EnergyLevel!O32,EnergyLevel!O32*0.3048)</f>
        <v>140.32273333090595</v>
      </c>
      <c r="BB32" s="51">
        <f>+IF(Input_Output!$E$6="SI",EnergyLevel!P32,EnergyLevel!P32*0.3048)</f>
        <v>59.637161665635027</v>
      </c>
      <c r="BC32" s="51">
        <f>+IF(Input_Output!$E$6="SI",EnergyLevel!Q32,EnergyLevel!Q32*51.64)</f>
        <v>80</v>
      </c>
      <c r="BD32" s="51">
        <f>+IF(Input_Output!$E$6="SI",EnergyLevel!R32,EnergyLevel!R32*0.3048)</f>
        <v>55.046910654471056</v>
      </c>
      <c r="BE32" s="51">
        <f>+IF(Input_Output!$E$6="SI",EnergyLevel!S32,EnergyLevel!S32*0.3048)</f>
        <v>42.032618315825879</v>
      </c>
      <c r="BF32" s="51">
        <f>+IF(Input_Output!$E$6="SI",EnergyLevel!T32,EnergyLevel!T32*0.3048)</f>
        <v>32.303822547537358</v>
      </c>
      <c r="BG32" s="51">
        <f>+IF(Input_Output!$E$6="SI",EnergyLevel!U32,EnergyLevel!U32*51.64)</f>
        <v>80</v>
      </c>
      <c r="BH32" s="51">
        <f>+IF(Input_Output!$E$6="SI",EnergyLevel!V32,EnergyLevel!V32/0.7457)</f>
        <v>1786.7199999999993</v>
      </c>
      <c r="BI32" s="51">
        <f>+IF(Input_Output!$E$6="SI",EnergyLevel!W32,EnergyLevel!W32/0.7457)</f>
        <v>2525.0239999999999</v>
      </c>
      <c r="BJ32" s="51">
        <f>+IF(Input_Output!$E$6="SI",EnergyLevel!X32,EnergyLevel!X32/0.7457)</f>
        <v>1310.1169999999997</v>
      </c>
    </row>
    <row r="33" spans="3:62" x14ac:dyDescent="0.25">
      <c r="C33" s="51">
        <v>90</v>
      </c>
      <c r="D33" s="43">
        <f t="shared" si="0"/>
        <v>76.80501289619491</v>
      </c>
      <c r="E33" s="44">
        <f t="shared" si="0"/>
        <v>44.230221541318954</v>
      </c>
      <c r="F33" s="45">
        <f t="shared" si="0"/>
        <v>25.776397310247837</v>
      </c>
      <c r="G33" s="43"/>
      <c r="H33" s="44"/>
      <c r="I33" s="46"/>
      <c r="J33" s="47">
        <v>1200</v>
      </c>
      <c r="K33" s="43"/>
      <c r="L33" s="44">
        <v>200</v>
      </c>
      <c r="M33" s="46"/>
      <c r="N33" s="43"/>
      <c r="O33" s="44">
        <f t="shared" si="1"/>
        <v>132.05677309039726</v>
      </c>
      <c r="P33" s="46">
        <f t="shared" si="1"/>
        <v>56.124128563418836</v>
      </c>
      <c r="Q33" s="47">
        <f t="shared" si="2"/>
        <v>90</v>
      </c>
      <c r="R33" s="43">
        <f t="shared" si="3"/>
        <v>50.396759193804655</v>
      </c>
      <c r="S33" s="43">
        <f t="shared" si="3"/>
        <v>38.371739673449632</v>
      </c>
      <c r="T33" s="43">
        <f t="shared" si="3"/>
        <v>29.543577450428685</v>
      </c>
      <c r="U33" s="47">
        <f t="shared" si="4"/>
        <v>90</v>
      </c>
      <c r="V33" s="40">
        <f t="shared" si="5"/>
        <v>2125.56</v>
      </c>
      <c r="W33" s="40">
        <f t="shared" si="5"/>
        <v>3520.9939999999997</v>
      </c>
      <c r="X33" s="40">
        <f t="shared" si="5"/>
        <v>1760.376</v>
      </c>
      <c r="AD33" s="52"/>
      <c r="AE33" s="52"/>
      <c r="AF33" s="52"/>
      <c r="AG33" s="52"/>
      <c r="AH33" s="53"/>
      <c r="AI33" s="53"/>
      <c r="AJ33" s="53"/>
      <c r="AO33" s="51">
        <f>+IF(Input_Output!$E$6="SI",EnergyLevel!C33,EnergyLevel!C33*51.64)</f>
        <v>90</v>
      </c>
      <c r="AP33" s="51">
        <f>+IF(Input_Output!$E$6="SI",EnergyLevel!D33,EnergyLevel!D33*0.3048)</f>
        <v>76.80501289619491</v>
      </c>
      <c r="AQ33" s="51">
        <f>+IF(Input_Output!$E$6="SI",EnergyLevel!E33,EnergyLevel!E33*0.3048)</f>
        <v>44.230221541318954</v>
      </c>
      <c r="AR33" s="51">
        <f>+IF(Input_Output!$E$6="SI",EnergyLevel!F33,EnergyLevel!F33*0.3048)</f>
        <v>25.776397310247837</v>
      </c>
      <c r="AS33" s="51">
        <f>+IF(Input_Output!$E$6="SI",EnergyLevel!G33,EnergyLevel!G33*0.3048)</f>
        <v>0</v>
      </c>
      <c r="AT33" s="51">
        <f>+IF(Input_Output!$E$6="SI",EnergyLevel!H33,EnergyLevel!H33*0.3048)</f>
        <v>0</v>
      </c>
      <c r="AU33" s="51">
        <f>+IF(Input_Output!$E$6="SI",EnergyLevel!I33,EnergyLevel!I33*0.3048)</f>
        <v>0</v>
      </c>
      <c r="AV33" s="51">
        <f>+IF(Input_Output!$E$6="SI",EnergyLevel!J33,EnergyLevel!J33/0.7457)</f>
        <v>1200</v>
      </c>
      <c r="AW33" s="51">
        <f>+IF(Input_Output!$E$6="SI",EnergyLevel!K33,EnergyLevel!K33*0.3048)</f>
        <v>0</v>
      </c>
      <c r="AX33" s="51">
        <f>+IF(Input_Output!$E$6="SI",EnergyLevel!L33,EnergyLevel!L33*0.3048)</f>
        <v>200</v>
      </c>
      <c r="AY33" s="51">
        <f>+IF(Input_Output!$E$6="SI",EnergyLevel!M33,EnergyLevel!M33*0.3048)</f>
        <v>0</v>
      </c>
      <c r="AZ33" s="51">
        <f>+IF(Input_Output!$E$6="SI",EnergyLevel!N33,EnergyLevel!N33*0.3048)</f>
        <v>0</v>
      </c>
      <c r="BA33" s="51">
        <f>+IF(Input_Output!$E$6="SI",EnergyLevel!O33,EnergyLevel!O33*0.3048)</f>
        <v>132.05677309039726</v>
      </c>
      <c r="BB33" s="51">
        <f>+IF(Input_Output!$E$6="SI",EnergyLevel!P33,EnergyLevel!P33*0.3048)</f>
        <v>56.124128563418836</v>
      </c>
      <c r="BC33" s="51">
        <f>+IF(Input_Output!$E$6="SI",EnergyLevel!Q33,EnergyLevel!Q33*51.64)</f>
        <v>90</v>
      </c>
      <c r="BD33" s="51">
        <f>+IF(Input_Output!$E$6="SI",EnergyLevel!R33,EnergyLevel!R33*0.3048)</f>
        <v>50.396759193804655</v>
      </c>
      <c r="BE33" s="51">
        <f>+IF(Input_Output!$E$6="SI",EnergyLevel!S33,EnergyLevel!S33*0.3048)</f>
        <v>38.371739673449632</v>
      </c>
      <c r="BF33" s="51">
        <f>+IF(Input_Output!$E$6="SI",EnergyLevel!T33,EnergyLevel!T33*0.3048)</f>
        <v>29.543577450428685</v>
      </c>
      <c r="BG33" s="51">
        <f>+IF(Input_Output!$E$6="SI",EnergyLevel!U33,EnergyLevel!U33*51.64)</f>
        <v>90</v>
      </c>
      <c r="BH33" s="51">
        <f>+IF(Input_Output!$E$6="SI",EnergyLevel!V33,EnergyLevel!V33/0.7457)</f>
        <v>2125.56</v>
      </c>
      <c r="BI33" s="51">
        <f>+IF(Input_Output!$E$6="SI",EnergyLevel!W33,EnergyLevel!W33/0.7457)</f>
        <v>3520.9939999999997</v>
      </c>
      <c r="BJ33" s="51">
        <f>+IF(Input_Output!$E$6="SI",EnergyLevel!X33,EnergyLevel!X33/0.7457)</f>
        <v>1760.376</v>
      </c>
    </row>
    <row r="34" spans="3:62" x14ac:dyDescent="0.25">
      <c r="C34" s="51">
        <v>100</v>
      </c>
      <c r="D34" s="43">
        <f t="shared" si="0"/>
        <v>60.457404104837188</v>
      </c>
      <c r="E34" s="44">
        <f t="shared" si="0"/>
        <v>34.789080617715349</v>
      </c>
      <c r="F34" s="45">
        <f t="shared" si="0"/>
        <v>20.286425710386542</v>
      </c>
      <c r="G34" s="43"/>
      <c r="H34" s="44"/>
      <c r="I34" s="46"/>
      <c r="J34" s="47">
        <v>1400</v>
      </c>
      <c r="K34" s="43"/>
      <c r="L34" s="44">
        <v>200</v>
      </c>
      <c r="M34" s="46"/>
      <c r="N34" s="43"/>
      <c r="O34" s="44">
        <f t="shared" si="1"/>
        <v>125.44905663146514</v>
      </c>
      <c r="P34" s="46">
        <f t="shared" si="1"/>
        <v>53.315849068372685</v>
      </c>
      <c r="Q34" s="47">
        <f t="shared" si="2"/>
        <v>100</v>
      </c>
      <c r="R34" s="43">
        <f t="shared" si="3"/>
        <v>46.732626079999619</v>
      </c>
      <c r="S34" s="43">
        <f t="shared" si="3"/>
        <v>35.489822277999863</v>
      </c>
      <c r="T34" s="43">
        <f t="shared" si="3"/>
        <v>27.337794688000074</v>
      </c>
      <c r="U34" s="47">
        <f t="shared" si="4"/>
        <v>100</v>
      </c>
      <c r="V34" s="40">
        <f t="shared" si="5"/>
        <v>2591.6800000000003</v>
      </c>
      <c r="W34" s="40">
        <f t="shared" si="5"/>
        <v>4793.3440000000001</v>
      </c>
      <c r="X34" s="40">
        <f t="shared" si="5"/>
        <v>2304.335</v>
      </c>
      <c r="AD34" s="52"/>
      <c r="AE34" s="52"/>
      <c r="AF34" s="52"/>
      <c r="AG34" s="52"/>
      <c r="AH34" s="53"/>
      <c r="AI34" s="53"/>
      <c r="AJ34" s="53"/>
      <c r="AO34" s="51">
        <f>+IF(Input_Output!$E$6="SI",EnergyLevel!C34,EnergyLevel!C34*51.64)</f>
        <v>100</v>
      </c>
      <c r="AP34" s="51">
        <f>+IF(Input_Output!$E$6="SI",EnergyLevel!D34,EnergyLevel!D34*0.3048)</f>
        <v>60.457404104837188</v>
      </c>
      <c r="AQ34" s="51">
        <f>+IF(Input_Output!$E$6="SI",EnergyLevel!E34,EnergyLevel!E34*0.3048)</f>
        <v>34.789080617715349</v>
      </c>
      <c r="AR34" s="51">
        <f>+IF(Input_Output!$E$6="SI",EnergyLevel!F34,EnergyLevel!F34*0.3048)</f>
        <v>20.286425710386542</v>
      </c>
      <c r="AS34" s="51">
        <f>+IF(Input_Output!$E$6="SI",EnergyLevel!G34,EnergyLevel!G34*0.3048)</f>
        <v>0</v>
      </c>
      <c r="AT34" s="51">
        <f>+IF(Input_Output!$E$6="SI",EnergyLevel!H34,EnergyLevel!H34*0.3048)</f>
        <v>0</v>
      </c>
      <c r="AU34" s="51">
        <f>+IF(Input_Output!$E$6="SI",EnergyLevel!I34,EnergyLevel!I34*0.3048)</f>
        <v>0</v>
      </c>
      <c r="AV34" s="51">
        <f>+IF(Input_Output!$E$6="SI",EnergyLevel!J34,EnergyLevel!J34/0.7457)</f>
        <v>1400</v>
      </c>
      <c r="AW34" s="51">
        <f>+IF(Input_Output!$E$6="SI",EnergyLevel!K34,EnergyLevel!K34*0.3048)</f>
        <v>0</v>
      </c>
      <c r="AX34" s="51">
        <f>+IF(Input_Output!$E$6="SI",EnergyLevel!L34,EnergyLevel!L34*0.3048)</f>
        <v>200</v>
      </c>
      <c r="AY34" s="51">
        <f>+IF(Input_Output!$E$6="SI",EnergyLevel!M34,EnergyLevel!M34*0.3048)</f>
        <v>0</v>
      </c>
      <c r="AZ34" s="51">
        <f>+IF(Input_Output!$E$6="SI",EnergyLevel!N34,EnergyLevel!N34*0.3048)</f>
        <v>0</v>
      </c>
      <c r="BA34" s="51">
        <f>+IF(Input_Output!$E$6="SI",EnergyLevel!O34,EnergyLevel!O34*0.3048)</f>
        <v>125.44905663146514</v>
      </c>
      <c r="BB34" s="51">
        <f>+IF(Input_Output!$E$6="SI",EnergyLevel!P34,EnergyLevel!P34*0.3048)</f>
        <v>53.315849068372685</v>
      </c>
      <c r="BC34" s="51">
        <f>+IF(Input_Output!$E$6="SI",EnergyLevel!Q34,EnergyLevel!Q34*51.64)</f>
        <v>100</v>
      </c>
      <c r="BD34" s="51">
        <f>+IF(Input_Output!$E$6="SI",EnergyLevel!R34,EnergyLevel!R34*0.3048)</f>
        <v>46.732626079999619</v>
      </c>
      <c r="BE34" s="51">
        <f>+IF(Input_Output!$E$6="SI",EnergyLevel!S34,EnergyLevel!S34*0.3048)</f>
        <v>35.489822277999863</v>
      </c>
      <c r="BF34" s="51">
        <f>+IF(Input_Output!$E$6="SI",EnergyLevel!T34,EnergyLevel!T34*0.3048)</f>
        <v>27.337794688000074</v>
      </c>
      <c r="BG34" s="51">
        <f>+IF(Input_Output!$E$6="SI",EnergyLevel!U34,EnergyLevel!U34*51.64)</f>
        <v>100</v>
      </c>
      <c r="BH34" s="51">
        <f>+IF(Input_Output!$E$6="SI",EnergyLevel!V34,EnergyLevel!V34/0.7457)</f>
        <v>2591.6800000000003</v>
      </c>
      <c r="BI34" s="51">
        <f>+IF(Input_Output!$E$6="SI",EnergyLevel!W34,EnergyLevel!W34/0.7457)</f>
        <v>4793.3440000000001</v>
      </c>
      <c r="BJ34" s="51">
        <f>+IF(Input_Output!$E$6="SI",EnergyLevel!X34,EnergyLevel!X34/0.7457)</f>
        <v>2304.335</v>
      </c>
    </row>
    <row r="35" spans="3:62" x14ac:dyDescent="0.25">
      <c r="C35" s="51">
        <v>110</v>
      </c>
      <c r="D35" s="43">
        <f t="shared" si="0"/>
        <v>48.688261168478292</v>
      </c>
      <c r="E35" s="44">
        <f t="shared" si="0"/>
        <v>27.997141233530613</v>
      </c>
      <c r="F35" s="45">
        <f t="shared" si="0"/>
        <v>16.33469388881813</v>
      </c>
      <c r="G35" s="43"/>
      <c r="H35" s="44"/>
      <c r="I35" s="46"/>
      <c r="J35" s="47">
        <v>1600</v>
      </c>
      <c r="K35" s="43"/>
      <c r="L35" s="44">
        <v>200</v>
      </c>
      <c r="M35" s="46"/>
      <c r="N35" s="43"/>
      <c r="O35" s="44">
        <f t="shared" si="1"/>
        <v>119.99304696721455</v>
      </c>
      <c r="P35" s="46">
        <f t="shared" si="1"/>
        <v>50.997044961066187</v>
      </c>
      <c r="Q35" s="47">
        <f t="shared" si="2"/>
        <v>110</v>
      </c>
      <c r="R35" s="43">
        <f t="shared" si="3"/>
        <v>43.656672705359846</v>
      </c>
      <c r="S35" s="43">
        <f t="shared" si="3"/>
        <v>33.089594499725045</v>
      </c>
      <c r="T35" s="43">
        <f t="shared" si="3"/>
        <v>25.465394735024901</v>
      </c>
      <c r="U35" s="47">
        <f t="shared" si="4"/>
        <v>110</v>
      </c>
      <c r="V35" s="40">
        <f t="shared" si="5"/>
        <v>3218.6800000000003</v>
      </c>
      <c r="W35" s="40">
        <f t="shared" si="5"/>
        <v>6379.8739999999989</v>
      </c>
      <c r="X35" s="40">
        <f t="shared" si="5"/>
        <v>2950.3940000000002</v>
      </c>
      <c r="AD35" s="52"/>
      <c r="AE35" s="52"/>
      <c r="AF35" s="52"/>
      <c r="AG35" s="52"/>
      <c r="AH35" s="53"/>
      <c r="AI35" s="53"/>
      <c r="AJ35" s="53"/>
      <c r="AO35" s="51">
        <f>+IF(Input_Output!$E$6="SI",EnergyLevel!C35,EnergyLevel!C35*51.64)</f>
        <v>110</v>
      </c>
      <c r="AP35" s="51">
        <f>+IF(Input_Output!$E$6="SI",EnergyLevel!D35,EnergyLevel!D35*0.3048)</f>
        <v>48.688261168478292</v>
      </c>
      <c r="AQ35" s="51">
        <f>+IF(Input_Output!$E$6="SI",EnergyLevel!E35,EnergyLevel!E35*0.3048)</f>
        <v>27.997141233530613</v>
      </c>
      <c r="AR35" s="51">
        <f>+IF(Input_Output!$E$6="SI",EnergyLevel!F35,EnergyLevel!F35*0.3048)</f>
        <v>16.33469388881813</v>
      </c>
      <c r="AS35" s="51">
        <f>+IF(Input_Output!$E$6="SI",EnergyLevel!G35,EnergyLevel!G35*0.3048)</f>
        <v>0</v>
      </c>
      <c r="AT35" s="51">
        <f>+IF(Input_Output!$E$6="SI",EnergyLevel!H35,EnergyLevel!H35*0.3048)</f>
        <v>0</v>
      </c>
      <c r="AU35" s="51">
        <f>+IF(Input_Output!$E$6="SI",EnergyLevel!I35,EnergyLevel!I35*0.3048)</f>
        <v>0</v>
      </c>
      <c r="AV35" s="51">
        <f>+IF(Input_Output!$E$6="SI",EnergyLevel!J35,EnergyLevel!J35/0.7457)</f>
        <v>1600</v>
      </c>
      <c r="AW35" s="51">
        <f>+IF(Input_Output!$E$6="SI",EnergyLevel!K35,EnergyLevel!K35*0.3048)</f>
        <v>0</v>
      </c>
      <c r="AX35" s="51">
        <f>+IF(Input_Output!$E$6="SI",EnergyLevel!L35,EnergyLevel!L35*0.3048)</f>
        <v>200</v>
      </c>
      <c r="AY35" s="51">
        <f>+IF(Input_Output!$E$6="SI",EnergyLevel!M35,EnergyLevel!M35*0.3048)</f>
        <v>0</v>
      </c>
      <c r="AZ35" s="51">
        <f>+IF(Input_Output!$E$6="SI",EnergyLevel!N35,EnergyLevel!N35*0.3048)</f>
        <v>0</v>
      </c>
      <c r="BA35" s="51">
        <f>+IF(Input_Output!$E$6="SI",EnergyLevel!O35,EnergyLevel!O35*0.3048)</f>
        <v>119.99304696721455</v>
      </c>
      <c r="BB35" s="51">
        <f>+IF(Input_Output!$E$6="SI",EnergyLevel!P35,EnergyLevel!P35*0.3048)</f>
        <v>50.997044961066187</v>
      </c>
      <c r="BC35" s="51">
        <f>+IF(Input_Output!$E$6="SI",EnergyLevel!Q35,EnergyLevel!Q35*51.64)</f>
        <v>110</v>
      </c>
      <c r="BD35" s="51">
        <f>+IF(Input_Output!$E$6="SI",EnergyLevel!R35,EnergyLevel!R35*0.3048)</f>
        <v>43.656672705359846</v>
      </c>
      <c r="BE35" s="51">
        <f>+IF(Input_Output!$E$6="SI",EnergyLevel!S35,EnergyLevel!S35*0.3048)</f>
        <v>33.089594499725045</v>
      </c>
      <c r="BF35" s="51">
        <f>+IF(Input_Output!$E$6="SI",EnergyLevel!T35,EnergyLevel!T35*0.3048)</f>
        <v>25.465394735024901</v>
      </c>
      <c r="BG35" s="51">
        <f>+IF(Input_Output!$E$6="SI",EnergyLevel!U35,EnergyLevel!U35*51.64)</f>
        <v>110</v>
      </c>
      <c r="BH35" s="51">
        <f>+IF(Input_Output!$E$6="SI",EnergyLevel!V35,EnergyLevel!V35/0.7457)</f>
        <v>3218.6800000000003</v>
      </c>
      <c r="BI35" s="51">
        <f>+IF(Input_Output!$E$6="SI",EnergyLevel!W35,EnergyLevel!W35/0.7457)</f>
        <v>6379.8739999999989</v>
      </c>
      <c r="BJ35" s="51">
        <f>+IF(Input_Output!$E$6="SI",EnergyLevel!X35,EnergyLevel!X35/0.7457)</f>
        <v>2950.3940000000002</v>
      </c>
    </row>
    <row r="36" spans="3:62" x14ac:dyDescent="0.25">
      <c r="C36" s="51">
        <v>120</v>
      </c>
      <c r="D36" s="43">
        <f t="shared" si="0"/>
        <v>39.956363360296315</v>
      </c>
      <c r="E36" s="44">
        <f t="shared" si="0"/>
        <v>22.961371093204491</v>
      </c>
      <c r="F36" s="45">
        <f t="shared" si="0"/>
        <v>13.403228460999237</v>
      </c>
      <c r="G36" s="43"/>
      <c r="H36" s="44"/>
      <c r="I36" s="46"/>
      <c r="J36" s="47">
        <v>1800</v>
      </c>
      <c r="K36" s="43"/>
      <c r="L36" s="44">
        <v>200</v>
      </c>
      <c r="M36" s="46"/>
      <c r="N36" s="43"/>
      <c r="O36" s="44">
        <f t="shared" si="1"/>
        <v>115.3778100462107</v>
      </c>
      <c r="P36" s="46">
        <f t="shared" si="1"/>
        <v>49.035569269639552</v>
      </c>
      <c r="Q36" s="47">
        <f t="shared" si="2"/>
        <v>120</v>
      </c>
      <c r="R36" s="43">
        <f t="shared" si="3"/>
        <v>40.978308366636945</v>
      </c>
      <c r="S36" s="43">
        <f t="shared" si="3"/>
        <v>31.026839127844845</v>
      </c>
      <c r="T36" s="43">
        <f t="shared" si="3"/>
        <v>23.827546211422046</v>
      </c>
      <c r="U36" s="47">
        <f t="shared" si="4"/>
        <v>120</v>
      </c>
      <c r="V36" s="40">
        <f t="shared" si="5"/>
        <v>4040.159999999998</v>
      </c>
      <c r="W36" s="40">
        <f t="shared" si="5"/>
        <v>8318.384</v>
      </c>
      <c r="X36" s="40">
        <f t="shared" si="5"/>
        <v>3706.953</v>
      </c>
      <c r="AD36" s="52"/>
      <c r="AE36" s="52"/>
      <c r="AF36" s="52"/>
      <c r="AG36" s="52"/>
      <c r="AH36" s="53"/>
      <c r="AI36" s="53"/>
      <c r="AJ36" s="53"/>
      <c r="AO36" s="51">
        <f>+IF(Input_Output!$E$6="SI",EnergyLevel!C36,EnergyLevel!C36*51.64)</f>
        <v>120</v>
      </c>
      <c r="AP36" s="51">
        <f>+IF(Input_Output!$E$6="SI",EnergyLevel!D36,EnergyLevel!D36*0.3048)</f>
        <v>39.956363360296315</v>
      </c>
      <c r="AQ36" s="51">
        <f>+IF(Input_Output!$E$6="SI",EnergyLevel!E36,EnergyLevel!E36*0.3048)</f>
        <v>22.961371093204491</v>
      </c>
      <c r="AR36" s="51">
        <f>+IF(Input_Output!$E$6="SI",EnergyLevel!F36,EnergyLevel!F36*0.3048)</f>
        <v>13.403228460999237</v>
      </c>
      <c r="AS36" s="51">
        <f>+IF(Input_Output!$E$6="SI",EnergyLevel!G36,EnergyLevel!G36*0.3048)</f>
        <v>0</v>
      </c>
      <c r="AT36" s="51">
        <f>+IF(Input_Output!$E$6="SI",EnergyLevel!H36,EnergyLevel!H36*0.3048)</f>
        <v>0</v>
      </c>
      <c r="AU36" s="51">
        <f>+IF(Input_Output!$E$6="SI",EnergyLevel!I36,EnergyLevel!I36*0.3048)</f>
        <v>0</v>
      </c>
      <c r="AV36" s="51">
        <f>+IF(Input_Output!$E$6="SI",EnergyLevel!J36,EnergyLevel!J36/0.7457)</f>
        <v>1800</v>
      </c>
      <c r="AW36" s="51">
        <f>+IF(Input_Output!$E$6="SI",EnergyLevel!K36,EnergyLevel!K36*0.3048)</f>
        <v>0</v>
      </c>
      <c r="AX36" s="51">
        <f>+IF(Input_Output!$E$6="SI",EnergyLevel!L36,EnergyLevel!L36*0.3048)</f>
        <v>200</v>
      </c>
      <c r="AY36" s="51">
        <f>+IF(Input_Output!$E$6="SI",EnergyLevel!M36,EnergyLevel!M36*0.3048)</f>
        <v>0</v>
      </c>
      <c r="AZ36" s="51">
        <f>+IF(Input_Output!$E$6="SI",EnergyLevel!N36,EnergyLevel!N36*0.3048)</f>
        <v>0</v>
      </c>
      <c r="BA36" s="51">
        <f>+IF(Input_Output!$E$6="SI",EnergyLevel!O36,EnergyLevel!O36*0.3048)</f>
        <v>115.3778100462107</v>
      </c>
      <c r="BB36" s="51">
        <f>+IF(Input_Output!$E$6="SI",EnergyLevel!P36,EnergyLevel!P36*0.3048)</f>
        <v>49.035569269639552</v>
      </c>
      <c r="BC36" s="51">
        <f>+IF(Input_Output!$E$6="SI",EnergyLevel!Q36,EnergyLevel!Q36*51.64)</f>
        <v>120</v>
      </c>
      <c r="BD36" s="51">
        <f>+IF(Input_Output!$E$6="SI",EnergyLevel!R36,EnergyLevel!R36*0.3048)</f>
        <v>40.978308366636945</v>
      </c>
      <c r="BE36" s="51">
        <f>+IF(Input_Output!$E$6="SI",EnergyLevel!S36,EnergyLevel!S36*0.3048)</f>
        <v>31.026839127844845</v>
      </c>
      <c r="BF36" s="51">
        <f>+IF(Input_Output!$E$6="SI",EnergyLevel!T36,EnergyLevel!T36*0.3048)</f>
        <v>23.827546211422046</v>
      </c>
      <c r="BG36" s="51">
        <f>+IF(Input_Output!$E$6="SI",EnergyLevel!U36,EnergyLevel!U36*51.64)</f>
        <v>120</v>
      </c>
      <c r="BH36" s="51">
        <f>+IF(Input_Output!$E$6="SI",EnergyLevel!V36,EnergyLevel!V36/0.7457)</f>
        <v>4040.159999999998</v>
      </c>
      <c r="BI36" s="51">
        <f>+IF(Input_Output!$E$6="SI",EnergyLevel!W36,EnergyLevel!W36/0.7457)</f>
        <v>8318.384</v>
      </c>
      <c r="BJ36" s="51">
        <f>+IF(Input_Output!$E$6="SI",EnergyLevel!X36,EnergyLevel!X36/0.7457)</f>
        <v>3706.953</v>
      </c>
    </row>
    <row r="37" spans="3:62" x14ac:dyDescent="0.25">
      <c r="C37" s="51">
        <v>130</v>
      </c>
      <c r="D37" s="43">
        <f t="shared" si="0"/>
        <v>33.313661044493571</v>
      </c>
      <c r="E37" s="44">
        <f t="shared" si="0"/>
        <v>19.132816043110637</v>
      </c>
      <c r="F37" s="45">
        <f t="shared" si="0"/>
        <v>11.173458671232709</v>
      </c>
      <c r="G37" s="43"/>
      <c r="H37" s="44"/>
      <c r="I37" s="46"/>
      <c r="J37" s="47">
        <v>2000</v>
      </c>
      <c r="K37" s="43"/>
      <c r="L37" s="44">
        <v>200</v>
      </c>
      <c r="M37" s="46"/>
      <c r="N37" s="43"/>
      <c r="O37" s="44">
        <f t="shared" si="1"/>
        <v>111.39996313581365</v>
      </c>
      <c r="P37" s="46">
        <f t="shared" si="1"/>
        <v>47.344984332720799</v>
      </c>
      <c r="Q37" s="47">
        <f t="shared" si="2"/>
        <v>130</v>
      </c>
      <c r="R37" s="43">
        <f t="shared" si="3"/>
        <v>38.637965608613356</v>
      </c>
      <c r="S37" s="43">
        <f t="shared" si="3"/>
        <v>29.252465418361751</v>
      </c>
      <c r="T37" s="43">
        <f t="shared" si="3"/>
        <v>22.400896273910782</v>
      </c>
      <c r="U37" s="47">
        <f t="shared" si="4"/>
        <v>130</v>
      </c>
      <c r="V37" s="40">
        <f t="shared" si="5"/>
        <v>5089.7199999999993</v>
      </c>
      <c r="W37" s="40">
        <f t="shared" si="5"/>
        <v>10646.674000000001</v>
      </c>
      <c r="X37" s="40">
        <f t="shared" si="5"/>
        <v>4582.4120000000003</v>
      </c>
      <c r="AD37" s="52"/>
      <c r="AE37" s="52"/>
      <c r="AF37" s="52"/>
      <c r="AG37" s="52"/>
      <c r="AH37" s="53"/>
      <c r="AI37" s="53"/>
      <c r="AJ37" s="53"/>
      <c r="AO37" s="51">
        <f>+IF(Input_Output!$E$6="SI",EnergyLevel!C37,EnergyLevel!C37*51.64)</f>
        <v>130</v>
      </c>
      <c r="AP37" s="51">
        <f>+IF(Input_Output!$E$6="SI",EnergyLevel!D37,EnergyLevel!D37*0.3048)</f>
        <v>33.313661044493571</v>
      </c>
      <c r="AQ37" s="51">
        <f>+IF(Input_Output!$E$6="SI",EnergyLevel!E37,EnergyLevel!E37*0.3048)</f>
        <v>19.132816043110637</v>
      </c>
      <c r="AR37" s="51">
        <f>+IF(Input_Output!$E$6="SI",EnergyLevel!F37,EnergyLevel!F37*0.3048)</f>
        <v>11.173458671232709</v>
      </c>
      <c r="AS37" s="51">
        <f>+IF(Input_Output!$E$6="SI",EnergyLevel!G37,EnergyLevel!G37*0.3048)</f>
        <v>0</v>
      </c>
      <c r="AT37" s="51">
        <f>+IF(Input_Output!$E$6="SI",EnergyLevel!H37,EnergyLevel!H37*0.3048)</f>
        <v>0</v>
      </c>
      <c r="AU37" s="51">
        <f>+IF(Input_Output!$E$6="SI",EnergyLevel!I37,EnergyLevel!I37*0.3048)</f>
        <v>0</v>
      </c>
      <c r="AV37" s="51">
        <f>+IF(Input_Output!$E$6="SI",EnergyLevel!J37,EnergyLevel!J37/0.7457)</f>
        <v>2000</v>
      </c>
      <c r="AW37" s="51">
        <f>+IF(Input_Output!$E$6="SI",EnergyLevel!K37,EnergyLevel!K37*0.3048)</f>
        <v>0</v>
      </c>
      <c r="AX37" s="51">
        <f>+IF(Input_Output!$E$6="SI",EnergyLevel!L37,EnergyLevel!L37*0.3048)</f>
        <v>200</v>
      </c>
      <c r="AY37" s="51">
        <f>+IF(Input_Output!$E$6="SI",EnergyLevel!M37,EnergyLevel!M37*0.3048)</f>
        <v>0</v>
      </c>
      <c r="AZ37" s="51">
        <f>+IF(Input_Output!$E$6="SI",EnergyLevel!N37,EnergyLevel!N37*0.3048)</f>
        <v>0</v>
      </c>
      <c r="BA37" s="51">
        <f>+IF(Input_Output!$E$6="SI",EnergyLevel!O37,EnergyLevel!O37*0.3048)</f>
        <v>111.39996313581365</v>
      </c>
      <c r="BB37" s="51">
        <f>+IF(Input_Output!$E$6="SI",EnergyLevel!P37,EnergyLevel!P37*0.3048)</f>
        <v>47.344984332720799</v>
      </c>
      <c r="BC37" s="51">
        <f>+IF(Input_Output!$E$6="SI",EnergyLevel!Q37,EnergyLevel!Q37*51.64)</f>
        <v>130</v>
      </c>
      <c r="BD37" s="51">
        <f>+IF(Input_Output!$E$6="SI",EnergyLevel!R37,EnergyLevel!R37*0.3048)</f>
        <v>38.637965608613356</v>
      </c>
      <c r="BE37" s="51">
        <f>+IF(Input_Output!$E$6="SI",EnergyLevel!S37,EnergyLevel!S37*0.3048)</f>
        <v>29.252465418361751</v>
      </c>
      <c r="BF37" s="51">
        <f>+IF(Input_Output!$E$6="SI",EnergyLevel!T37,EnergyLevel!T37*0.3048)</f>
        <v>22.400896273910782</v>
      </c>
      <c r="BG37" s="51">
        <f>+IF(Input_Output!$E$6="SI",EnergyLevel!U37,EnergyLevel!U37*51.64)</f>
        <v>130</v>
      </c>
      <c r="BH37" s="51">
        <f>+IF(Input_Output!$E$6="SI",EnergyLevel!V37,EnergyLevel!V37/0.7457)</f>
        <v>5089.7199999999993</v>
      </c>
      <c r="BI37" s="51">
        <f>+IF(Input_Output!$E$6="SI",EnergyLevel!W37,EnergyLevel!W37/0.7457)</f>
        <v>10646.674000000001</v>
      </c>
      <c r="BJ37" s="51">
        <f>+IF(Input_Output!$E$6="SI",EnergyLevel!X37,EnergyLevel!X37/0.7457)</f>
        <v>4582.4120000000003</v>
      </c>
    </row>
    <row r="38" spans="3:62" x14ac:dyDescent="0.25">
      <c r="C38" s="51">
        <v>140</v>
      </c>
      <c r="D38" s="43">
        <f t="shared" si="0"/>
        <v>28.152275001000252</v>
      </c>
      <c r="E38" s="44">
        <f t="shared" si="0"/>
        <v>16.159712521543945</v>
      </c>
      <c r="F38" s="45">
        <f t="shared" si="0"/>
        <v>9.4411494806691127</v>
      </c>
      <c r="G38" s="43"/>
      <c r="H38" s="44"/>
      <c r="I38" s="46"/>
      <c r="J38" s="47">
        <v>2250</v>
      </c>
      <c r="K38" s="43"/>
      <c r="L38" s="44">
        <v>200</v>
      </c>
      <c r="M38" s="46"/>
      <c r="N38" s="43"/>
      <c r="O38" s="44">
        <f t="shared" si="1"/>
        <v>107.11523801333753</v>
      </c>
      <c r="P38" s="46">
        <f t="shared" si="1"/>
        <v>45.52397615566845</v>
      </c>
      <c r="Q38" s="47">
        <f t="shared" si="2"/>
        <v>140</v>
      </c>
      <c r="R38" s="43">
        <f t="shared" si="3"/>
        <v>36.644537796213399</v>
      </c>
      <c r="S38" s="43">
        <f t="shared" si="3"/>
        <v>27.765280948420326</v>
      </c>
      <c r="T38" s="43">
        <f t="shared" si="3"/>
        <v>21.19937053541635</v>
      </c>
      <c r="U38" s="47">
        <f t="shared" si="4"/>
        <v>140</v>
      </c>
      <c r="V38" s="40">
        <f t="shared" si="5"/>
        <v>6400.9599999999973</v>
      </c>
      <c r="W38" s="40">
        <f t="shared" si="5"/>
        <v>13402.544000000002</v>
      </c>
      <c r="X38" s="40">
        <f t="shared" si="5"/>
        <v>5585.1710000000003</v>
      </c>
      <c r="AD38" s="52"/>
      <c r="AE38" s="52"/>
      <c r="AF38" s="52"/>
      <c r="AG38" s="52"/>
      <c r="AH38" s="53"/>
      <c r="AI38" s="53"/>
      <c r="AJ38" s="53"/>
      <c r="AO38" s="51">
        <f>+IF(Input_Output!$E$6="SI",EnergyLevel!C38,EnergyLevel!C38*51.64)</f>
        <v>140</v>
      </c>
      <c r="AP38" s="51">
        <f>+IF(Input_Output!$E$6="SI",EnergyLevel!D38,EnergyLevel!D38*0.3048)</f>
        <v>28.152275001000252</v>
      </c>
      <c r="AQ38" s="51">
        <f>+IF(Input_Output!$E$6="SI",EnergyLevel!E38,EnergyLevel!E38*0.3048)</f>
        <v>16.159712521543945</v>
      </c>
      <c r="AR38" s="51">
        <f>+IF(Input_Output!$E$6="SI",EnergyLevel!F38,EnergyLevel!F38*0.3048)</f>
        <v>9.4411494806691127</v>
      </c>
      <c r="AS38" s="51">
        <f>+IF(Input_Output!$E$6="SI",EnergyLevel!G38,EnergyLevel!G38*0.3048)</f>
        <v>0</v>
      </c>
      <c r="AT38" s="51">
        <f>+IF(Input_Output!$E$6="SI",EnergyLevel!H38,EnergyLevel!H38*0.3048)</f>
        <v>0</v>
      </c>
      <c r="AU38" s="51">
        <f>+IF(Input_Output!$E$6="SI",EnergyLevel!I38,EnergyLevel!I38*0.3048)</f>
        <v>0</v>
      </c>
      <c r="AV38" s="51">
        <f>+IF(Input_Output!$E$6="SI",EnergyLevel!J38,EnergyLevel!J38/0.7457)</f>
        <v>2250</v>
      </c>
      <c r="AW38" s="51">
        <f>+IF(Input_Output!$E$6="SI",EnergyLevel!K38,EnergyLevel!K38*0.3048)</f>
        <v>0</v>
      </c>
      <c r="AX38" s="51">
        <f>+IF(Input_Output!$E$6="SI",EnergyLevel!L38,EnergyLevel!L38*0.3048)</f>
        <v>200</v>
      </c>
      <c r="AY38" s="51">
        <f>+IF(Input_Output!$E$6="SI",EnergyLevel!M38,EnergyLevel!M38*0.3048)</f>
        <v>0</v>
      </c>
      <c r="AZ38" s="51">
        <f>+IF(Input_Output!$E$6="SI",EnergyLevel!N38,EnergyLevel!N38*0.3048)</f>
        <v>0</v>
      </c>
      <c r="BA38" s="51">
        <f>+IF(Input_Output!$E$6="SI",EnergyLevel!O38,EnergyLevel!O38*0.3048)</f>
        <v>107.11523801333753</v>
      </c>
      <c r="BB38" s="51">
        <f>+IF(Input_Output!$E$6="SI",EnergyLevel!P38,EnergyLevel!P38*0.3048)</f>
        <v>45.52397615566845</v>
      </c>
      <c r="BC38" s="51">
        <f>+IF(Input_Output!$E$6="SI",EnergyLevel!Q38,EnergyLevel!Q38*51.64)</f>
        <v>140</v>
      </c>
      <c r="BD38" s="51">
        <f>+IF(Input_Output!$E$6="SI",EnergyLevel!R38,EnergyLevel!R38*0.3048)</f>
        <v>36.644537796213399</v>
      </c>
      <c r="BE38" s="51">
        <f>+IF(Input_Output!$E$6="SI",EnergyLevel!S38,EnergyLevel!S38*0.3048)</f>
        <v>27.765280948420326</v>
      </c>
      <c r="BF38" s="51">
        <f>+IF(Input_Output!$E$6="SI",EnergyLevel!T38,EnergyLevel!T38*0.3048)</f>
        <v>21.19937053541635</v>
      </c>
      <c r="BG38" s="51">
        <f>+IF(Input_Output!$E$6="SI",EnergyLevel!U38,EnergyLevel!U38*51.64)</f>
        <v>140</v>
      </c>
      <c r="BH38" s="51">
        <f>+IF(Input_Output!$E$6="SI",EnergyLevel!V38,EnergyLevel!V38/0.7457)</f>
        <v>6400.9599999999973</v>
      </c>
      <c r="BI38" s="51">
        <f>+IF(Input_Output!$E$6="SI",EnergyLevel!W38,EnergyLevel!W38/0.7457)</f>
        <v>13402.544000000002</v>
      </c>
      <c r="BJ38" s="51">
        <f>+IF(Input_Output!$E$6="SI",EnergyLevel!X38,EnergyLevel!X38/0.7457)</f>
        <v>5585.1710000000003</v>
      </c>
    </row>
    <row r="39" spans="3:62" x14ac:dyDescent="0.25">
      <c r="C39" s="51">
        <v>150</v>
      </c>
      <c r="D39" s="43">
        <f t="shared" si="0"/>
        <v>24.068596702126808</v>
      </c>
      <c r="E39" s="44">
        <f t="shared" si="0"/>
        <v>13.808637283163719</v>
      </c>
      <c r="F39" s="45">
        <f t="shared" si="0"/>
        <v>8.0707144201480983</v>
      </c>
      <c r="G39" s="43"/>
      <c r="H39" s="44"/>
      <c r="I39" s="46"/>
      <c r="J39" s="47">
        <v>2500</v>
      </c>
      <c r="K39" s="43"/>
      <c r="L39" s="44">
        <v>200</v>
      </c>
      <c r="M39" s="46"/>
      <c r="N39" s="43"/>
      <c r="O39" s="44">
        <f t="shared" si="1"/>
        <v>103.42225737505757</v>
      </c>
      <c r="P39" s="46">
        <f t="shared" si="1"/>
        <v>43.954459384399463</v>
      </c>
      <c r="Q39" s="47">
        <f t="shared" si="2"/>
        <v>150</v>
      </c>
      <c r="R39" s="43">
        <f t="shared" si="3"/>
        <v>35.026478915155877</v>
      </c>
      <c r="S39" s="43">
        <f t="shared" si="3"/>
        <v>26.575463277218972</v>
      </c>
      <c r="T39" s="43">
        <f t="shared" si="3"/>
        <v>20.244542512218544</v>
      </c>
      <c r="U39" s="47">
        <f t="shared" si="4"/>
        <v>150</v>
      </c>
      <c r="V39" s="40">
        <f t="shared" si="5"/>
        <v>8007.48</v>
      </c>
      <c r="W39" s="40">
        <f t="shared" si="5"/>
        <v>16623.794000000002</v>
      </c>
      <c r="X39" s="40">
        <f t="shared" si="5"/>
        <v>6723.63</v>
      </c>
      <c r="AD39" s="52"/>
      <c r="AE39" s="52"/>
      <c r="AF39" s="52"/>
      <c r="AG39" s="52"/>
      <c r="AH39" s="53"/>
      <c r="AI39" s="53"/>
      <c r="AJ39" s="53"/>
      <c r="AO39" s="51">
        <f>+IF(Input_Output!$E$6="SI",EnergyLevel!C39,EnergyLevel!C39*51.64)</f>
        <v>150</v>
      </c>
      <c r="AP39" s="51">
        <f>+IF(Input_Output!$E$6="SI",EnergyLevel!D39,EnergyLevel!D39*0.3048)</f>
        <v>24.068596702126808</v>
      </c>
      <c r="AQ39" s="51">
        <f>+IF(Input_Output!$E$6="SI",EnergyLevel!E39,EnergyLevel!E39*0.3048)</f>
        <v>13.808637283163719</v>
      </c>
      <c r="AR39" s="51">
        <f>+IF(Input_Output!$E$6="SI",EnergyLevel!F39,EnergyLevel!F39*0.3048)</f>
        <v>8.0707144201480983</v>
      </c>
      <c r="AS39" s="51">
        <f>+IF(Input_Output!$E$6="SI",EnergyLevel!G39,EnergyLevel!G39*0.3048)</f>
        <v>0</v>
      </c>
      <c r="AT39" s="51">
        <f>+IF(Input_Output!$E$6="SI",EnergyLevel!H39,EnergyLevel!H39*0.3048)</f>
        <v>0</v>
      </c>
      <c r="AU39" s="51">
        <f>+IF(Input_Output!$E$6="SI",EnergyLevel!I39,EnergyLevel!I39*0.3048)</f>
        <v>0</v>
      </c>
      <c r="AV39" s="51">
        <f>+IF(Input_Output!$E$6="SI",EnergyLevel!J39,EnergyLevel!J39/0.7457)</f>
        <v>2500</v>
      </c>
      <c r="AW39" s="51">
        <f>+IF(Input_Output!$E$6="SI",EnergyLevel!K39,EnergyLevel!K39*0.3048)</f>
        <v>0</v>
      </c>
      <c r="AX39" s="51">
        <f>+IF(Input_Output!$E$6="SI",EnergyLevel!L39,EnergyLevel!L39*0.3048)</f>
        <v>200</v>
      </c>
      <c r="AY39" s="51">
        <f>+IF(Input_Output!$E$6="SI",EnergyLevel!M39,EnergyLevel!M39*0.3048)</f>
        <v>0</v>
      </c>
      <c r="AZ39" s="51">
        <f>+IF(Input_Output!$E$6="SI",EnergyLevel!N39,EnergyLevel!N39*0.3048)</f>
        <v>0</v>
      </c>
      <c r="BA39" s="51">
        <f>+IF(Input_Output!$E$6="SI",EnergyLevel!O39,EnergyLevel!O39*0.3048)</f>
        <v>103.42225737505757</v>
      </c>
      <c r="BB39" s="51">
        <f>+IF(Input_Output!$E$6="SI",EnergyLevel!P39,EnergyLevel!P39*0.3048)</f>
        <v>43.954459384399463</v>
      </c>
      <c r="BC39" s="51">
        <f>+IF(Input_Output!$E$6="SI",EnergyLevel!Q39,EnergyLevel!Q39*51.64)</f>
        <v>150</v>
      </c>
      <c r="BD39" s="51">
        <f>+IF(Input_Output!$E$6="SI",EnergyLevel!R39,EnergyLevel!R39*0.3048)</f>
        <v>35.026478915155877</v>
      </c>
      <c r="BE39" s="51">
        <f>+IF(Input_Output!$E$6="SI",EnergyLevel!S39,EnergyLevel!S39*0.3048)</f>
        <v>26.575463277218972</v>
      </c>
      <c r="BF39" s="51">
        <f>+IF(Input_Output!$E$6="SI",EnergyLevel!T39,EnergyLevel!T39*0.3048)</f>
        <v>20.244542512218544</v>
      </c>
      <c r="BG39" s="51">
        <f>+IF(Input_Output!$E$6="SI",EnergyLevel!U39,EnergyLevel!U39*51.64)</f>
        <v>150</v>
      </c>
      <c r="BH39" s="51">
        <f>+IF(Input_Output!$E$6="SI",EnergyLevel!V39,EnergyLevel!V39/0.7457)</f>
        <v>8007.48</v>
      </c>
      <c r="BI39" s="51">
        <f>+IF(Input_Output!$E$6="SI",EnergyLevel!W39,EnergyLevel!W39/0.7457)</f>
        <v>16623.794000000002</v>
      </c>
      <c r="BJ39" s="51">
        <f>+IF(Input_Output!$E$6="SI",EnergyLevel!X39,EnergyLevel!X39/0.7457)</f>
        <v>6723.63</v>
      </c>
    </row>
    <row r="40" spans="3:62" x14ac:dyDescent="0.25">
      <c r="C40" s="51">
        <v>160</v>
      </c>
      <c r="D40" s="43">
        <f t="shared" si="0"/>
        <v>20.786546512761859</v>
      </c>
      <c r="E40" s="44">
        <f t="shared" si="0"/>
        <v>11.92000727347304</v>
      </c>
      <c r="F40" s="45">
        <f t="shared" si="0"/>
        <v>6.9694197763749752</v>
      </c>
      <c r="G40" s="43"/>
      <c r="H40" s="44"/>
      <c r="I40" s="46"/>
      <c r="J40" s="47">
        <v>2750</v>
      </c>
      <c r="K40" s="43"/>
      <c r="L40" s="44">
        <v>200</v>
      </c>
      <c r="M40" s="46"/>
      <c r="N40" s="43"/>
      <c r="O40" s="44">
        <f t="shared" si="1"/>
        <v>100.19135466233736</v>
      </c>
      <c r="P40" s="46">
        <f t="shared" si="1"/>
        <v>42.581325731493379</v>
      </c>
      <c r="Q40" s="47">
        <f t="shared" si="2"/>
        <v>160</v>
      </c>
      <c r="R40" s="43">
        <f t="shared" si="3"/>
        <v>33.796565601137843</v>
      </c>
      <c r="S40" s="43">
        <f t="shared" si="3"/>
        <v>25.678731413466465</v>
      </c>
      <c r="T40" s="43">
        <f t="shared" si="3"/>
        <v>19.544572598850294</v>
      </c>
      <c r="U40" s="47">
        <f t="shared" si="4"/>
        <v>160</v>
      </c>
      <c r="V40" s="40">
        <f t="shared" si="5"/>
        <v>9942.8799999999974</v>
      </c>
      <c r="W40" s="40">
        <f t="shared" si="5"/>
        <v>20348.223999999998</v>
      </c>
      <c r="X40" s="40">
        <f t="shared" si="5"/>
        <v>8006.1889999999994</v>
      </c>
      <c r="AD40" s="52"/>
      <c r="AE40" s="52"/>
      <c r="AF40" s="52"/>
      <c r="AG40" s="52"/>
      <c r="AH40" s="52"/>
      <c r="AI40" s="52"/>
      <c r="AJ40" s="52"/>
      <c r="AO40" s="51">
        <f>+IF(Input_Output!$E$6="SI",EnergyLevel!C40,EnergyLevel!C40*51.64)</f>
        <v>160</v>
      </c>
      <c r="AP40" s="51">
        <f>+IF(Input_Output!$E$6="SI",EnergyLevel!D40,EnergyLevel!D40*0.3048)</f>
        <v>20.786546512761859</v>
      </c>
      <c r="AQ40" s="51">
        <f>+IF(Input_Output!$E$6="SI",EnergyLevel!E40,EnergyLevel!E40*0.3048)</f>
        <v>11.92000727347304</v>
      </c>
      <c r="AR40" s="51">
        <f>+IF(Input_Output!$E$6="SI",EnergyLevel!F40,EnergyLevel!F40*0.3048)</f>
        <v>6.9694197763749752</v>
      </c>
      <c r="AS40" s="51">
        <f>+IF(Input_Output!$E$6="SI",EnergyLevel!G40,EnergyLevel!G40*0.3048)</f>
        <v>0</v>
      </c>
      <c r="AT40" s="51">
        <f>+IF(Input_Output!$E$6="SI",EnergyLevel!H40,EnergyLevel!H40*0.3048)</f>
        <v>0</v>
      </c>
      <c r="AU40" s="51">
        <f>+IF(Input_Output!$E$6="SI",EnergyLevel!I40,EnergyLevel!I40*0.3048)</f>
        <v>0</v>
      </c>
      <c r="AV40" s="51">
        <f>+IF(Input_Output!$E$6="SI",EnergyLevel!J40,EnergyLevel!J40/0.7457)</f>
        <v>2750</v>
      </c>
      <c r="AW40" s="51">
        <f>+IF(Input_Output!$E$6="SI",EnergyLevel!K40,EnergyLevel!K40*0.3048)</f>
        <v>0</v>
      </c>
      <c r="AX40" s="51">
        <f>+IF(Input_Output!$E$6="SI",EnergyLevel!L40,EnergyLevel!L40*0.3048)</f>
        <v>200</v>
      </c>
      <c r="AY40" s="51">
        <f>+IF(Input_Output!$E$6="SI",EnergyLevel!M40,EnergyLevel!M40*0.3048)</f>
        <v>0</v>
      </c>
      <c r="AZ40" s="51">
        <f>+IF(Input_Output!$E$6="SI",EnergyLevel!N40,EnergyLevel!N40*0.3048)</f>
        <v>0</v>
      </c>
      <c r="BA40" s="51">
        <f>+IF(Input_Output!$E$6="SI",EnergyLevel!O40,EnergyLevel!O40*0.3048)</f>
        <v>100.19135466233736</v>
      </c>
      <c r="BB40" s="51">
        <f>+IF(Input_Output!$E$6="SI",EnergyLevel!P40,EnergyLevel!P40*0.3048)</f>
        <v>42.581325731493379</v>
      </c>
      <c r="BC40" s="51">
        <f>+IF(Input_Output!$E$6="SI",EnergyLevel!Q40,EnergyLevel!Q40*51.64)</f>
        <v>160</v>
      </c>
      <c r="BD40" s="51">
        <f>+IF(Input_Output!$E$6="SI",EnergyLevel!R40,EnergyLevel!R40*0.3048)</f>
        <v>33.796565601137843</v>
      </c>
      <c r="BE40" s="51">
        <f>+IF(Input_Output!$E$6="SI",EnergyLevel!S40,EnergyLevel!S40*0.3048)</f>
        <v>25.678731413466465</v>
      </c>
      <c r="BF40" s="51">
        <f>+IF(Input_Output!$E$6="SI",EnergyLevel!T40,EnergyLevel!T40*0.3048)</f>
        <v>19.544572598850294</v>
      </c>
      <c r="BG40" s="51">
        <f>+IF(Input_Output!$E$6="SI",EnergyLevel!U40,EnergyLevel!U40*51.64)</f>
        <v>160</v>
      </c>
      <c r="BH40" s="51">
        <f>+IF(Input_Output!$E$6="SI",EnergyLevel!V40,EnergyLevel!V40/0.7457)</f>
        <v>9942.8799999999974</v>
      </c>
      <c r="BI40" s="51">
        <f>+IF(Input_Output!$E$6="SI",EnergyLevel!W40,EnergyLevel!W40/0.7457)</f>
        <v>20348.223999999998</v>
      </c>
      <c r="BJ40" s="51">
        <f>+IF(Input_Output!$E$6="SI",EnergyLevel!X40,EnergyLevel!X40/0.7457)</f>
        <v>8006.1889999999994</v>
      </c>
    </row>
    <row r="41" spans="3:62" x14ac:dyDescent="0.25">
      <c r="C41" s="51">
        <v>170</v>
      </c>
      <c r="D41" s="43">
        <f t="shared" si="0"/>
        <v>18.112360185952326</v>
      </c>
      <c r="E41" s="44">
        <f t="shared" si="0"/>
        <v>10.381875989337907</v>
      </c>
      <c r="F41" s="45">
        <f t="shared" si="0"/>
        <v>6.0721885084118306</v>
      </c>
      <c r="G41" s="43"/>
      <c r="H41" s="44"/>
      <c r="I41" s="46"/>
      <c r="J41" s="47">
        <v>3000</v>
      </c>
      <c r="K41" s="43"/>
      <c r="L41" s="44">
        <v>200</v>
      </c>
      <c r="M41" s="46"/>
      <c r="N41" s="43"/>
      <c r="O41" s="44">
        <f t="shared" si="1"/>
        <v>97.329985316545759</v>
      </c>
      <c r="P41" s="46">
        <f t="shared" si="1"/>
        <v>41.365243759531943</v>
      </c>
      <c r="Q41" s="47">
        <f t="shared" si="2"/>
        <v>170</v>
      </c>
      <c r="R41" s="43">
        <f t="shared" si="3"/>
        <v>32.930321397555417</v>
      </c>
      <c r="S41" s="43">
        <f t="shared" si="3"/>
        <v>25.041217089396127</v>
      </c>
      <c r="T41" s="43">
        <f t="shared" si="3"/>
        <v>19.081716570736376</v>
      </c>
      <c r="U41" s="47">
        <f t="shared" si="4"/>
        <v>170</v>
      </c>
      <c r="V41" s="40">
        <f t="shared" si="5"/>
        <v>12240.759999999998</v>
      </c>
      <c r="W41" s="40">
        <f t="shared" si="5"/>
        <v>24613.634000000002</v>
      </c>
      <c r="X41" s="40">
        <f t="shared" si="5"/>
        <v>9441.2479999999996</v>
      </c>
      <c r="AD41" s="52"/>
      <c r="AE41" s="52"/>
      <c r="AF41" s="52"/>
      <c r="AG41" s="52"/>
      <c r="AH41" s="52"/>
      <c r="AI41" s="52"/>
      <c r="AJ41" s="52"/>
      <c r="AO41" s="51">
        <f>+IF(Input_Output!$E$6="SI",EnergyLevel!C41,EnergyLevel!C41*51.64)</f>
        <v>170</v>
      </c>
      <c r="AP41" s="51">
        <f>+IF(Input_Output!$E$6="SI",EnergyLevel!D41,EnergyLevel!D41*0.3048)</f>
        <v>18.112360185952326</v>
      </c>
      <c r="AQ41" s="51">
        <f>+IF(Input_Output!$E$6="SI",EnergyLevel!E41,EnergyLevel!E41*0.3048)</f>
        <v>10.381875989337907</v>
      </c>
      <c r="AR41" s="51">
        <f>+IF(Input_Output!$E$6="SI",EnergyLevel!F41,EnergyLevel!F41*0.3048)</f>
        <v>6.0721885084118306</v>
      </c>
      <c r="AS41" s="51">
        <f>+IF(Input_Output!$E$6="SI",EnergyLevel!G41,EnergyLevel!G41*0.3048)</f>
        <v>0</v>
      </c>
      <c r="AT41" s="51">
        <f>+IF(Input_Output!$E$6="SI",EnergyLevel!H41,EnergyLevel!H41*0.3048)</f>
        <v>0</v>
      </c>
      <c r="AU41" s="51">
        <f>+IF(Input_Output!$E$6="SI",EnergyLevel!I41,EnergyLevel!I41*0.3048)</f>
        <v>0</v>
      </c>
      <c r="AV41" s="51">
        <f>+IF(Input_Output!$E$6="SI",EnergyLevel!J41,EnergyLevel!J41/0.7457)</f>
        <v>3000</v>
      </c>
      <c r="AW41" s="51">
        <f>+IF(Input_Output!$E$6="SI",EnergyLevel!K41,EnergyLevel!K41*0.3048)</f>
        <v>0</v>
      </c>
      <c r="AX41" s="51">
        <f>+IF(Input_Output!$E$6="SI",EnergyLevel!L41,EnergyLevel!L41*0.3048)</f>
        <v>200</v>
      </c>
      <c r="AY41" s="51">
        <f>+IF(Input_Output!$E$6="SI",EnergyLevel!M41,EnergyLevel!M41*0.3048)</f>
        <v>0</v>
      </c>
      <c r="AZ41" s="51">
        <f>+IF(Input_Output!$E$6="SI",EnergyLevel!N41,EnergyLevel!N41*0.3048)</f>
        <v>0</v>
      </c>
      <c r="BA41" s="51">
        <f>+IF(Input_Output!$E$6="SI",EnergyLevel!O41,EnergyLevel!O41*0.3048)</f>
        <v>97.329985316545759</v>
      </c>
      <c r="BB41" s="51">
        <f>+IF(Input_Output!$E$6="SI",EnergyLevel!P41,EnergyLevel!P41*0.3048)</f>
        <v>41.365243759531943</v>
      </c>
      <c r="BC41" s="51">
        <f>+IF(Input_Output!$E$6="SI",EnergyLevel!Q41,EnergyLevel!Q41*51.64)</f>
        <v>170</v>
      </c>
      <c r="BD41" s="51">
        <f>+IF(Input_Output!$E$6="SI",EnergyLevel!R41,EnergyLevel!R41*0.3048)</f>
        <v>32.930321397555417</v>
      </c>
      <c r="BE41" s="51">
        <f>+IF(Input_Output!$E$6="SI",EnergyLevel!S41,EnergyLevel!S41*0.3048)</f>
        <v>25.041217089396127</v>
      </c>
      <c r="BF41" s="51">
        <f>+IF(Input_Output!$E$6="SI",EnergyLevel!T41,EnergyLevel!T41*0.3048)</f>
        <v>19.081716570736376</v>
      </c>
      <c r="BG41" s="51">
        <f>+IF(Input_Output!$E$6="SI",EnergyLevel!U41,EnergyLevel!U41*51.64)</f>
        <v>170</v>
      </c>
      <c r="BH41" s="51">
        <f>+IF(Input_Output!$E$6="SI",EnergyLevel!V41,EnergyLevel!V41/0.7457)</f>
        <v>12240.759999999998</v>
      </c>
      <c r="BI41" s="51">
        <f>+IF(Input_Output!$E$6="SI",EnergyLevel!W41,EnergyLevel!W41/0.7457)</f>
        <v>24613.634000000002</v>
      </c>
      <c r="BJ41" s="51">
        <f>+IF(Input_Output!$E$6="SI",EnergyLevel!X41,EnergyLevel!X41/0.7457)</f>
        <v>9441.2479999999996</v>
      </c>
    </row>
    <row r="42" spans="3:62" x14ac:dyDescent="0.25">
      <c r="C42" s="51">
        <v>180</v>
      </c>
      <c r="D42" s="43">
        <f t="shared" si="0"/>
        <v>15.906961432465142</v>
      </c>
      <c r="E42" s="44">
        <f t="shared" si="0"/>
        <v>9.1139299837870293</v>
      </c>
      <c r="F42" s="45">
        <f t="shared" si="0"/>
        <v>5.3323158431670592</v>
      </c>
      <c r="G42" s="43"/>
      <c r="H42" s="44"/>
      <c r="I42" s="46"/>
      <c r="J42" s="47">
        <v>3500</v>
      </c>
      <c r="K42" s="43"/>
      <c r="L42" s="44">
        <v>200</v>
      </c>
      <c r="M42" s="46"/>
      <c r="N42" s="43"/>
      <c r="O42" s="44">
        <f t="shared" si="1"/>
        <v>92.459890955815638</v>
      </c>
      <c r="P42" s="46">
        <f t="shared" si="1"/>
        <v>39.295453656221646</v>
      </c>
      <c r="Q42" s="47">
        <f t="shared" si="2"/>
        <v>180</v>
      </c>
      <c r="R42" s="43">
        <f t="shared" si="3"/>
        <v>32.358103241763615</v>
      </c>
      <c r="S42" s="43">
        <f t="shared" si="3"/>
        <v>24.595035841320623</v>
      </c>
      <c r="T42" s="43">
        <f t="shared" si="3"/>
        <v>18.808403614586837</v>
      </c>
      <c r="U42" s="47">
        <f t="shared" si="4"/>
        <v>180</v>
      </c>
      <c r="V42" s="40">
        <f t="shared" si="5"/>
        <v>14934.719999999998</v>
      </c>
      <c r="W42" s="40">
        <f t="shared" si="5"/>
        <v>29457.824000000001</v>
      </c>
      <c r="X42" s="40">
        <f t="shared" si="5"/>
        <v>11037.207</v>
      </c>
      <c r="AD42" s="52"/>
      <c r="AE42" s="52"/>
      <c r="AF42" s="52"/>
      <c r="AG42" s="52"/>
      <c r="AH42" s="52"/>
      <c r="AI42" s="52"/>
      <c r="AJ42" s="52"/>
      <c r="AO42" s="51">
        <f>+IF(Input_Output!$E$6="SI",EnergyLevel!C42,EnergyLevel!C42*51.64)</f>
        <v>180</v>
      </c>
      <c r="AP42" s="51">
        <f>+IF(Input_Output!$E$6="SI",EnergyLevel!D42,EnergyLevel!D42*0.3048)</f>
        <v>15.906961432465142</v>
      </c>
      <c r="AQ42" s="51">
        <f>+IF(Input_Output!$E$6="SI",EnergyLevel!E42,EnergyLevel!E42*0.3048)</f>
        <v>9.1139299837870293</v>
      </c>
      <c r="AR42" s="51">
        <f>+IF(Input_Output!$E$6="SI",EnergyLevel!F42,EnergyLevel!F42*0.3048)</f>
        <v>5.3323158431670592</v>
      </c>
      <c r="AS42" s="51">
        <f>+IF(Input_Output!$E$6="SI",EnergyLevel!G42,EnergyLevel!G42*0.3048)</f>
        <v>0</v>
      </c>
      <c r="AT42" s="51">
        <f>+IF(Input_Output!$E$6="SI",EnergyLevel!H42,EnergyLevel!H42*0.3048)</f>
        <v>0</v>
      </c>
      <c r="AU42" s="51">
        <f>+IF(Input_Output!$E$6="SI",EnergyLevel!I42,EnergyLevel!I42*0.3048)</f>
        <v>0</v>
      </c>
      <c r="AV42" s="51">
        <f>+IF(Input_Output!$E$6="SI",EnergyLevel!J42,EnergyLevel!J42/0.7457)</f>
        <v>3500</v>
      </c>
      <c r="AW42" s="51">
        <f>+IF(Input_Output!$E$6="SI",EnergyLevel!K42,EnergyLevel!K42*0.3048)</f>
        <v>0</v>
      </c>
      <c r="AX42" s="51">
        <f>+IF(Input_Output!$E$6="SI",EnergyLevel!L42,EnergyLevel!L42*0.3048)</f>
        <v>200</v>
      </c>
      <c r="AY42" s="51">
        <f>+IF(Input_Output!$E$6="SI",EnergyLevel!M42,EnergyLevel!M42*0.3048)</f>
        <v>0</v>
      </c>
      <c r="AZ42" s="51">
        <f>+IF(Input_Output!$E$6="SI",EnergyLevel!N42,EnergyLevel!N42*0.3048)</f>
        <v>0</v>
      </c>
      <c r="BA42" s="51">
        <f>+IF(Input_Output!$E$6="SI",EnergyLevel!O42,EnergyLevel!O42*0.3048)</f>
        <v>92.459890955815638</v>
      </c>
      <c r="BB42" s="51">
        <f>+IF(Input_Output!$E$6="SI",EnergyLevel!P42,EnergyLevel!P42*0.3048)</f>
        <v>39.295453656221646</v>
      </c>
      <c r="BC42" s="51">
        <f>+IF(Input_Output!$E$6="SI",EnergyLevel!Q42,EnergyLevel!Q42*51.64)</f>
        <v>180</v>
      </c>
      <c r="BD42" s="51">
        <f>+IF(Input_Output!$E$6="SI",EnergyLevel!R42,EnergyLevel!R42*0.3048)</f>
        <v>32.358103241763615</v>
      </c>
      <c r="BE42" s="51">
        <f>+IF(Input_Output!$E$6="SI",EnergyLevel!S42,EnergyLevel!S42*0.3048)</f>
        <v>24.595035841320623</v>
      </c>
      <c r="BF42" s="51">
        <f>+IF(Input_Output!$E$6="SI",EnergyLevel!T42,EnergyLevel!T42*0.3048)</f>
        <v>18.808403614586837</v>
      </c>
      <c r="BG42" s="51">
        <f>+IF(Input_Output!$E$6="SI",EnergyLevel!U42,EnergyLevel!U42*51.64)</f>
        <v>180</v>
      </c>
      <c r="BH42" s="51">
        <f>+IF(Input_Output!$E$6="SI",EnergyLevel!V42,EnergyLevel!V42/0.7457)</f>
        <v>14934.719999999998</v>
      </c>
      <c r="BI42" s="51">
        <f>+IF(Input_Output!$E$6="SI",EnergyLevel!W42,EnergyLevel!W42/0.7457)</f>
        <v>29457.824000000001</v>
      </c>
      <c r="BJ42" s="51">
        <f>+IF(Input_Output!$E$6="SI",EnergyLevel!X42,EnergyLevel!X42/0.7457)</f>
        <v>11037.207</v>
      </c>
    </row>
    <row r="43" spans="3:62" x14ac:dyDescent="0.25">
      <c r="C43" s="51">
        <v>200</v>
      </c>
      <c r="D43" s="43">
        <f t="shared" si="0"/>
        <v>12.521234736362539</v>
      </c>
      <c r="E43" s="44">
        <f t="shared" si="0"/>
        <v>7.1685203894804115</v>
      </c>
      <c r="F43" s="45">
        <f t="shared" si="0"/>
        <v>4.1966155283352924</v>
      </c>
      <c r="G43" s="43"/>
      <c r="H43" s="44"/>
      <c r="I43" s="46"/>
      <c r="J43" s="47">
        <v>4000</v>
      </c>
      <c r="K43" s="43"/>
      <c r="L43" s="44">
        <v>200</v>
      </c>
      <c r="M43" s="46"/>
      <c r="N43" s="43"/>
      <c r="O43" s="44">
        <f t="shared" si="1"/>
        <v>88.438640639900882</v>
      </c>
      <c r="P43" s="46">
        <f t="shared" si="1"/>
        <v>37.586422271957879</v>
      </c>
      <c r="Q43" s="47">
        <f t="shared" si="2"/>
        <v>200</v>
      </c>
      <c r="R43" s="43">
        <f t="shared" si="3"/>
        <v>31.639494309998327</v>
      </c>
      <c r="S43" s="43">
        <f t="shared" si="3"/>
        <v>23.883378868000136</v>
      </c>
      <c r="T43" s="43">
        <f t="shared" si="3"/>
        <v>18.527445598000099</v>
      </c>
      <c r="U43" s="47">
        <f t="shared" si="4"/>
        <v>200</v>
      </c>
      <c r="V43" s="40">
        <f t="shared" si="5"/>
        <v>21645.279999999999</v>
      </c>
      <c r="W43" s="40">
        <f t="shared" si="5"/>
        <v>41033.743999999999</v>
      </c>
      <c r="X43" s="40">
        <f t="shared" si="5"/>
        <v>14745.424999999999</v>
      </c>
      <c r="AD43" s="52"/>
      <c r="AE43" s="52"/>
      <c r="AF43" s="52"/>
      <c r="AG43" s="52"/>
      <c r="AH43" s="52"/>
      <c r="AI43" s="52"/>
      <c r="AJ43" s="52"/>
      <c r="AO43" s="51">
        <f>+IF(Input_Output!$E$6="SI",EnergyLevel!C43,EnergyLevel!C43*51.64)</f>
        <v>200</v>
      </c>
      <c r="AP43" s="51">
        <f>+IF(Input_Output!$E$6="SI",EnergyLevel!D43,EnergyLevel!D43*0.3048)</f>
        <v>12.521234736362539</v>
      </c>
      <c r="AQ43" s="51">
        <f>+IF(Input_Output!$E$6="SI",EnergyLevel!E43,EnergyLevel!E43*0.3048)</f>
        <v>7.1685203894804115</v>
      </c>
      <c r="AR43" s="51">
        <f>+IF(Input_Output!$E$6="SI",EnergyLevel!F43,EnergyLevel!F43*0.3048)</f>
        <v>4.1966155283352924</v>
      </c>
      <c r="AS43" s="51">
        <f>+IF(Input_Output!$E$6="SI",EnergyLevel!G43,EnergyLevel!G43*0.3048)</f>
        <v>0</v>
      </c>
      <c r="AT43" s="51">
        <f>+IF(Input_Output!$E$6="SI",EnergyLevel!H43,EnergyLevel!H43*0.3048)</f>
        <v>0</v>
      </c>
      <c r="AU43" s="51">
        <f>+IF(Input_Output!$E$6="SI",EnergyLevel!I43,EnergyLevel!I43*0.3048)</f>
        <v>0</v>
      </c>
      <c r="AV43" s="51">
        <f>+IF(Input_Output!$E$6="SI",EnergyLevel!J43,EnergyLevel!J43/0.7457)</f>
        <v>4000</v>
      </c>
      <c r="AW43" s="51">
        <f>+IF(Input_Output!$E$6="SI",EnergyLevel!K43,EnergyLevel!K43*0.3048)</f>
        <v>0</v>
      </c>
      <c r="AX43" s="51">
        <f>+IF(Input_Output!$E$6="SI",EnergyLevel!L43,EnergyLevel!L43*0.3048)</f>
        <v>200</v>
      </c>
      <c r="AY43" s="51">
        <f>+IF(Input_Output!$E$6="SI",EnergyLevel!M43,EnergyLevel!M43*0.3048)</f>
        <v>0</v>
      </c>
      <c r="AZ43" s="51">
        <f>+IF(Input_Output!$E$6="SI",EnergyLevel!N43,EnergyLevel!N43*0.3048)</f>
        <v>0</v>
      </c>
      <c r="BA43" s="51">
        <f>+IF(Input_Output!$E$6="SI",EnergyLevel!O43,EnergyLevel!O43*0.3048)</f>
        <v>88.438640639900882</v>
      </c>
      <c r="BB43" s="51">
        <f>+IF(Input_Output!$E$6="SI",EnergyLevel!P43,EnergyLevel!P43*0.3048)</f>
        <v>37.586422271957879</v>
      </c>
      <c r="BC43" s="51">
        <f>+IF(Input_Output!$E$6="SI",EnergyLevel!Q43,EnergyLevel!Q43*51.64)</f>
        <v>200</v>
      </c>
      <c r="BD43" s="51">
        <f>+IF(Input_Output!$E$6="SI",EnergyLevel!R43,EnergyLevel!R43*0.3048)</f>
        <v>31.639494309998327</v>
      </c>
      <c r="BE43" s="51">
        <f>+IF(Input_Output!$E$6="SI",EnergyLevel!S43,EnergyLevel!S43*0.3048)</f>
        <v>23.883378868000136</v>
      </c>
      <c r="BF43" s="51">
        <f>+IF(Input_Output!$E$6="SI",EnergyLevel!T43,EnergyLevel!T43*0.3048)</f>
        <v>18.527445598000099</v>
      </c>
      <c r="BG43" s="51">
        <f>+IF(Input_Output!$E$6="SI",EnergyLevel!U43,EnergyLevel!U43*51.64)</f>
        <v>200</v>
      </c>
      <c r="BH43" s="51">
        <f>+IF(Input_Output!$E$6="SI",EnergyLevel!V43,EnergyLevel!V43/0.7457)</f>
        <v>21645.279999999999</v>
      </c>
      <c r="BI43" s="51">
        <f>+IF(Input_Output!$E$6="SI",EnergyLevel!W43,EnergyLevel!W43/0.7457)</f>
        <v>41033.743999999999</v>
      </c>
      <c r="BJ43" s="51">
        <f>+IF(Input_Output!$E$6="SI",EnergyLevel!X43,EnergyLevel!X43/0.7457)</f>
        <v>14745.424999999999</v>
      </c>
    </row>
    <row r="44" spans="3:62" x14ac:dyDescent="0.25">
      <c r="C44" s="51">
        <v>220</v>
      </c>
      <c r="D44" s="43">
        <f t="shared" si="0"/>
        <v>10.083746664654802</v>
      </c>
      <c r="E44" s="44">
        <f t="shared" si="0"/>
        <v>5.7689963119498726</v>
      </c>
      <c r="F44" s="45">
        <f t="shared" si="0"/>
        <v>3.3791280437006734</v>
      </c>
      <c r="G44" s="43"/>
      <c r="H44" s="44"/>
      <c r="I44" s="46"/>
      <c r="J44" s="47">
        <v>4500</v>
      </c>
      <c r="K44" s="43"/>
      <c r="L44" s="44">
        <v>200</v>
      </c>
      <c r="M44" s="46"/>
      <c r="N44" s="43"/>
      <c r="O44" s="44">
        <f t="shared" si="1"/>
        <v>85.037066216707984</v>
      </c>
      <c r="P44" s="46">
        <f t="shared" si="1"/>
        <v>36.140753142100898</v>
      </c>
      <c r="Q44" s="47">
        <f t="shared" si="2"/>
        <v>220</v>
      </c>
      <c r="R44" s="43">
        <f t="shared" si="3"/>
        <v>30.740269059182083</v>
      </c>
      <c r="S44" s="43">
        <f t="shared" si="3"/>
        <v>22.82614973947102</v>
      </c>
      <c r="T44" s="43">
        <f t="shared" si="3"/>
        <v>18.115445671252019</v>
      </c>
      <c r="U44" s="47">
        <f t="shared" si="4"/>
        <v>220</v>
      </c>
      <c r="V44" s="40">
        <f t="shared" si="5"/>
        <v>30343.360000000001</v>
      </c>
      <c r="W44" s="40">
        <f t="shared" si="5"/>
        <v>55378.383999999991</v>
      </c>
      <c r="X44" s="40">
        <f t="shared" si="5"/>
        <v>19198.043000000001</v>
      </c>
      <c r="AD44" s="52"/>
      <c r="AE44" s="52"/>
      <c r="AF44" s="52"/>
      <c r="AG44" s="52"/>
      <c r="AH44" s="52"/>
      <c r="AI44" s="52"/>
      <c r="AJ44" s="52"/>
      <c r="AO44" s="51">
        <f>+IF(Input_Output!$E$6="SI",EnergyLevel!C44,EnergyLevel!C44*51.64)</f>
        <v>220</v>
      </c>
      <c r="AP44" s="51">
        <f>+IF(Input_Output!$E$6="SI",EnergyLevel!D44,EnergyLevel!D44*0.3048)</f>
        <v>10.083746664654802</v>
      </c>
      <c r="AQ44" s="51">
        <f>+IF(Input_Output!$E$6="SI",EnergyLevel!E44,EnergyLevel!E44*0.3048)</f>
        <v>5.7689963119498726</v>
      </c>
      <c r="AR44" s="51">
        <f>+IF(Input_Output!$E$6="SI",EnergyLevel!F44,EnergyLevel!F44*0.3048)</f>
        <v>3.3791280437006734</v>
      </c>
      <c r="AS44" s="51">
        <f>+IF(Input_Output!$E$6="SI",EnergyLevel!G44,EnergyLevel!G44*0.3048)</f>
        <v>0</v>
      </c>
      <c r="AT44" s="51">
        <f>+IF(Input_Output!$E$6="SI",EnergyLevel!H44,EnergyLevel!H44*0.3048)</f>
        <v>0</v>
      </c>
      <c r="AU44" s="51">
        <f>+IF(Input_Output!$E$6="SI",EnergyLevel!I44,EnergyLevel!I44*0.3048)</f>
        <v>0</v>
      </c>
      <c r="AV44" s="51">
        <f>+IF(Input_Output!$E$6="SI",EnergyLevel!J44,EnergyLevel!J44/0.7457)</f>
        <v>4500</v>
      </c>
      <c r="AW44" s="51">
        <f>+IF(Input_Output!$E$6="SI",EnergyLevel!K44,EnergyLevel!K44*0.3048)</f>
        <v>0</v>
      </c>
      <c r="AX44" s="51">
        <f>+IF(Input_Output!$E$6="SI",EnergyLevel!L44,EnergyLevel!L44*0.3048)</f>
        <v>200</v>
      </c>
      <c r="AY44" s="51">
        <f>+IF(Input_Output!$E$6="SI",EnergyLevel!M44,EnergyLevel!M44*0.3048)</f>
        <v>0</v>
      </c>
      <c r="AZ44" s="51">
        <f>+IF(Input_Output!$E$6="SI",EnergyLevel!N44,EnergyLevel!N44*0.3048)</f>
        <v>0</v>
      </c>
      <c r="BA44" s="51">
        <f>+IF(Input_Output!$E$6="SI",EnergyLevel!O44,EnergyLevel!O44*0.3048)</f>
        <v>85.037066216707984</v>
      </c>
      <c r="BB44" s="51">
        <f>+IF(Input_Output!$E$6="SI",EnergyLevel!P44,EnergyLevel!P44*0.3048)</f>
        <v>36.140753142100898</v>
      </c>
      <c r="BC44" s="51">
        <f>+IF(Input_Output!$E$6="SI",EnergyLevel!Q44,EnergyLevel!Q44*51.64)</f>
        <v>220</v>
      </c>
      <c r="BD44" s="51">
        <f>+IF(Input_Output!$E$6="SI",EnergyLevel!R44,EnergyLevel!R44*0.3048)</f>
        <v>30.740269059182083</v>
      </c>
      <c r="BE44" s="51">
        <f>+IF(Input_Output!$E$6="SI",EnergyLevel!S44,EnergyLevel!S44*0.3048)</f>
        <v>22.82614973947102</v>
      </c>
      <c r="BF44" s="51">
        <f>+IF(Input_Output!$E$6="SI",EnergyLevel!T44,EnergyLevel!T44*0.3048)</f>
        <v>18.115445671252019</v>
      </c>
      <c r="BG44" s="51">
        <f>+IF(Input_Output!$E$6="SI",EnergyLevel!U44,EnergyLevel!U44*51.64)</f>
        <v>220</v>
      </c>
      <c r="BH44" s="51">
        <f>+IF(Input_Output!$E$6="SI",EnergyLevel!V44,EnergyLevel!V44/0.7457)</f>
        <v>30343.360000000001</v>
      </c>
      <c r="BI44" s="51">
        <f>+IF(Input_Output!$E$6="SI",EnergyLevel!W44,EnergyLevel!W44/0.7457)</f>
        <v>55378.383999999991</v>
      </c>
      <c r="BJ44" s="51">
        <f>+IF(Input_Output!$E$6="SI",EnergyLevel!X44,EnergyLevel!X44/0.7457)</f>
        <v>19198.043000000001</v>
      </c>
    </row>
    <row r="45" spans="3:62" x14ac:dyDescent="0.25">
      <c r="C45" s="51">
        <v>240</v>
      </c>
      <c r="D45" s="43">
        <f t="shared" si="0"/>
        <v>8.2752974966987463</v>
      </c>
      <c r="E45" s="44">
        <f t="shared" si="0"/>
        <v>4.7313425341928941</v>
      </c>
      <c r="F45" s="45">
        <f t="shared" si="0"/>
        <v>2.7727011890742319</v>
      </c>
      <c r="G45" s="43"/>
      <c r="H45" s="44"/>
      <c r="I45" s="46"/>
      <c r="J45" s="47">
        <v>5000</v>
      </c>
      <c r="K45" s="43"/>
      <c r="L45" s="44">
        <v>200</v>
      </c>
      <c r="M45" s="46"/>
      <c r="N45" s="43"/>
      <c r="O45" s="44">
        <f t="shared" si="1"/>
        <v>82.105268230735774</v>
      </c>
      <c r="P45" s="46">
        <f t="shared" si="1"/>
        <v>34.894738998062699</v>
      </c>
      <c r="Q45" s="47">
        <f t="shared" si="2"/>
        <v>240</v>
      </c>
      <c r="R45" s="43">
        <f t="shared" si="3"/>
        <v>29.826081560198418</v>
      </c>
      <c r="S45" s="43">
        <f t="shared" si="3"/>
        <v>21.675595223079199</v>
      </c>
      <c r="T45" s="43">
        <f t="shared" si="3"/>
        <v>17.697600143347699</v>
      </c>
      <c r="U45" s="47">
        <f t="shared" si="4"/>
        <v>240</v>
      </c>
      <c r="V45" s="40">
        <f t="shared" si="5"/>
        <v>41297.759999999987</v>
      </c>
      <c r="W45" s="40">
        <f t="shared" si="5"/>
        <v>72794.144</v>
      </c>
      <c r="X45" s="40">
        <f t="shared" si="5"/>
        <v>24462.260999999999</v>
      </c>
      <c r="AD45" s="52"/>
      <c r="AE45" s="52"/>
      <c r="AF45" s="52"/>
      <c r="AG45" s="52"/>
      <c r="AH45" s="52"/>
      <c r="AI45" s="52"/>
      <c r="AJ45" s="52"/>
      <c r="AO45" s="51">
        <f>+IF(Input_Output!$E$6="SI",EnergyLevel!C45,EnergyLevel!C45*51.64)</f>
        <v>240</v>
      </c>
      <c r="AP45" s="51">
        <f>+IF(Input_Output!$E$6="SI",EnergyLevel!D45,EnergyLevel!D45*0.3048)</f>
        <v>8.2752974966987463</v>
      </c>
      <c r="AQ45" s="51">
        <f>+IF(Input_Output!$E$6="SI",EnergyLevel!E45,EnergyLevel!E45*0.3048)</f>
        <v>4.7313425341928941</v>
      </c>
      <c r="AR45" s="51">
        <f>+IF(Input_Output!$E$6="SI",EnergyLevel!F45,EnergyLevel!F45*0.3048)</f>
        <v>2.7727011890742319</v>
      </c>
      <c r="AS45" s="51">
        <f>+IF(Input_Output!$E$6="SI",EnergyLevel!G45,EnergyLevel!G45*0.3048)</f>
        <v>0</v>
      </c>
      <c r="AT45" s="51">
        <f>+IF(Input_Output!$E$6="SI",EnergyLevel!H45,EnergyLevel!H45*0.3048)</f>
        <v>0</v>
      </c>
      <c r="AU45" s="51">
        <f>+IF(Input_Output!$E$6="SI",EnergyLevel!I45,EnergyLevel!I45*0.3048)</f>
        <v>0</v>
      </c>
      <c r="AV45" s="51">
        <f>+IF(Input_Output!$E$6="SI",EnergyLevel!J45,EnergyLevel!J45/0.7457)</f>
        <v>5000</v>
      </c>
      <c r="AW45" s="51">
        <f>+IF(Input_Output!$E$6="SI",EnergyLevel!K45,EnergyLevel!K45*0.3048)</f>
        <v>0</v>
      </c>
      <c r="AX45" s="51">
        <f>+IF(Input_Output!$E$6="SI",EnergyLevel!L45,EnergyLevel!L45*0.3048)</f>
        <v>200</v>
      </c>
      <c r="AY45" s="51">
        <f>+IF(Input_Output!$E$6="SI",EnergyLevel!M45,EnergyLevel!M45*0.3048)</f>
        <v>0</v>
      </c>
      <c r="AZ45" s="51">
        <f>+IF(Input_Output!$E$6="SI",EnergyLevel!N45,EnergyLevel!N45*0.3048)</f>
        <v>0</v>
      </c>
      <c r="BA45" s="51">
        <f>+IF(Input_Output!$E$6="SI",EnergyLevel!O45,EnergyLevel!O45*0.3048)</f>
        <v>82.105268230735774</v>
      </c>
      <c r="BB45" s="51">
        <f>+IF(Input_Output!$E$6="SI",EnergyLevel!P45,EnergyLevel!P45*0.3048)</f>
        <v>34.894738998062699</v>
      </c>
      <c r="BC45" s="51">
        <f>+IF(Input_Output!$E$6="SI",EnergyLevel!Q45,EnergyLevel!Q45*51.64)</f>
        <v>240</v>
      </c>
      <c r="BD45" s="51">
        <f>+IF(Input_Output!$E$6="SI",EnergyLevel!R45,EnergyLevel!R45*0.3048)</f>
        <v>29.826081560198418</v>
      </c>
      <c r="BE45" s="51">
        <f>+IF(Input_Output!$E$6="SI",EnergyLevel!S45,EnergyLevel!S45*0.3048)</f>
        <v>21.675595223079199</v>
      </c>
      <c r="BF45" s="51">
        <f>+IF(Input_Output!$E$6="SI",EnergyLevel!T45,EnergyLevel!T45*0.3048)</f>
        <v>17.697600143347699</v>
      </c>
      <c r="BG45" s="51">
        <f>+IF(Input_Output!$E$6="SI",EnergyLevel!U45,EnergyLevel!U45*51.64)</f>
        <v>240</v>
      </c>
      <c r="BH45" s="51">
        <f>+IF(Input_Output!$E$6="SI",EnergyLevel!V45,EnergyLevel!V45/0.7457)</f>
        <v>41297.759999999987</v>
      </c>
      <c r="BI45" s="51">
        <f>+IF(Input_Output!$E$6="SI",EnergyLevel!W45,EnergyLevel!W45/0.7457)</f>
        <v>72794.144</v>
      </c>
      <c r="BJ45" s="51">
        <f>+IF(Input_Output!$E$6="SI",EnergyLevel!X45,EnergyLevel!X45/0.7457)</f>
        <v>24462.260999999999</v>
      </c>
    </row>
    <row r="46" spans="3:62" ht="15.75" thickBot="1" x14ac:dyDescent="0.3">
      <c r="C46" s="54">
        <v>260</v>
      </c>
      <c r="D46" s="55">
        <f t="shared" si="0"/>
        <v>6.8995382127620086</v>
      </c>
      <c r="E46" s="56">
        <f t="shared" si="0"/>
        <v>3.9424434183918766</v>
      </c>
      <c r="F46" s="57">
        <f t="shared" si="0"/>
        <v>2.3114328188873565</v>
      </c>
      <c r="G46" s="55"/>
      <c r="H46" s="44"/>
      <c r="I46" s="58"/>
      <c r="J46" s="59">
        <v>6000</v>
      </c>
      <c r="K46" s="55"/>
      <c r="L46" s="56">
        <v>200</v>
      </c>
      <c r="M46" s="58"/>
      <c r="N46" s="55"/>
      <c r="O46" s="56">
        <f t="shared" si="1"/>
        <v>77.268711340619362</v>
      </c>
      <c r="P46" s="58">
        <f t="shared" si="1"/>
        <v>32.839202319763231</v>
      </c>
      <c r="Q46" s="59">
        <f t="shared" si="2"/>
        <v>260</v>
      </c>
      <c r="R46" s="43">
        <f>+R45</f>
        <v>29.826081560198418</v>
      </c>
      <c r="S46" s="43">
        <f t="shared" ref="S46:T46" si="6">+S45</f>
        <v>21.675595223079199</v>
      </c>
      <c r="T46" s="43">
        <f t="shared" si="6"/>
        <v>17.697600143347699</v>
      </c>
      <c r="U46" s="47">
        <f t="shared" si="4"/>
        <v>260</v>
      </c>
      <c r="V46" s="40">
        <f t="shared" si="5"/>
        <v>54777.279999999999</v>
      </c>
      <c r="W46" s="40">
        <f t="shared" si="5"/>
        <v>93583.423999999999</v>
      </c>
      <c r="X46" s="40">
        <f t="shared" si="5"/>
        <v>30605.279000000002</v>
      </c>
      <c r="AO46" s="51">
        <f>+IF(Input_Output!$E$6="SI",EnergyLevel!C46,EnergyLevel!C46*51.64)</f>
        <v>260</v>
      </c>
      <c r="AP46" s="51">
        <f>+IF(Input_Output!$E$6="SI",EnergyLevel!D46,EnergyLevel!D46*0.3048)</f>
        <v>6.8995382127620086</v>
      </c>
      <c r="AQ46" s="51">
        <f>+IF(Input_Output!$E$6="SI",EnergyLevel!E46,EnergyLevel!E46*0.3048)</f>
        <v>3.9424434183918766</v>
      </c>
      <c r="AR46" s="51">
        <f>+IF(Input_Output!$E$6="SI",EnergyLevel!F46,EnergyLevel!F46*0.3048)</f>
        <v>2.3114328188873565</v>
      </c>
      <c r="AS46" s="51">
        <f>+IF(Input_Output!$E$6="SI",EnergyLevel!G46,EnergyLevel!G46*0.3048)</f>
        <v>0</v>
      </c>
      <c r="AT46" s="51">
        <f>+IF(Input_Output!$E$6="SI",EnergyLevel!H46,EnergyLevel!H46*0.3048)</f>
        <v>0</v>
      </c>
      <c r="AU46" s="51">
        <f>+IF(Input_Output!$E$6="SI",EnergyLevel!I46,EnergyLevel!I46*0.3048)</f>
        <v>0</v>
      </c>
      <c r="AV46" s="51">
        <f>+IF(Input_Output!$E$6="SI",EnergyLevel!J46,EnergyLevel!J46/0.7457)</f>
        <v>6000</v>
      </c>
      <c r="AW46" s="51">
        <f>+IF(Input_Output!$E$6="SI",EnergyLevel!K46,EnergyLevel!K46*0.3048)</f>
        <v>0</v>
      </c>
      <c r="AX46" s="51">
        <f>+IF(Input_Output!$E$6="SI",EnergyLevel!L46,EnergyLevel!L46*0.3048)</f>
        <v>200</v>
      </c>
      <c r="AY46" s="51">
        <f>+IF(Input_Output!$E$6="SI",EnergyLevel!M46,EnergyLevel!M46*0.3048)</f>
        <v>0</v>
      </c>
      <c r="AZ46" s="51">
        <f>+IF(Input_Output!$E$6="SI",EnergyLevel!N46,EnergyLevel!N46*0.3048)</f>
        <v>0</v>
      </c>
      <c r="BA46" s="51">
        <f>+IF(Input_Output!$E$6="SI",EnergyLevel!O46,EnergyLevel!O46*0.3048)</f>
        <v>77.268711340619362</v>
      </c>
      <c r="BB46" s="51">
        <f>+IF(Input_Output!$E$6="SI",EnergyLevel!P46,EnergyLevel!P46*0.3048)</f>
        <v>32.839202319763231</v>
      </c>
      <c r="BC46" s="51">
        <f>+IF(Input_Output!$E$6="SI",EnergyLevel!Q46,EnergyLevel!Q46*51.64)</f>
        <v>260</v>
      </c>
      <c r="BD46" s="51">
        <f>+IF(Input_Output!$E$6="SI",EnergyLevel!R46,EnergyLevel!R46*0.3048)</f>
        <v>29.826081560198418</v>
      </c>
      <c r="BE46" s="51">
        <f>+IF(Input_Output!$E$6="SI",EnergyLevel!S46,EnergyLevel!S46*0.3048)</f>
        <v>21.675595223079199</v>
      </c>
      <c r="BF46" s="51">
        <f>+IF(Input_Output!$E$6="SI",EnergyLevel!T46,EnergyLevel!T46*0.3048)</f>
        <v>17.697600143347699</v>
      </c>
      <c r="BG46" s="51">
        <f>+IF(Input_Output!$E$6="SI",EnergyLevel!U46,EnergyLevel!U46*51.64)</f>
        <v>260</v>
      </c>
      <c r="BH46" s="51">
        <f>+IF(Input_Output!$E$6="SI",EnergyLevel!V46,EnergyLevel!V46/0.7457)</f>
        <v>54777.279999999999</v>
      </c>
      <c r="BI46" s="51">
        <f>+IF(Input_Output!$E$6="SI",EnergyLevel!W46,EnergyLevel!W46/0.7457)</f>
        <v>93583.423999999999</v>
      </c>
      <c r="BJ46" s="51">
        <f>+IF(Input_Output!$E$6="SI",EnergyLevel!X46,EnergyLevel!X46/0.7457)</f>
        <v>30605.279000000002</v>
      </c>
    </row>
    <row r="47" spans="3:62" x14ac:dyDescent="0.25"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  <c r="BD47" s="60"/>
      <c r="BE47" s="60"/>
      <c r="BF47" s="60"/>
    </row>
    <row r="50" spans="1:48" x14ac:dyDescent="0.25">
      <c r="U50" s="40">
        <f>+SUBTOTAL(2,U64:U307)</f>
        <v>0</v>
      </c>
      <c r="AR50" s="40" t="s">
        <v>84</v>
      </c>
    </row>
    <row r="51" spans="1:48" x14ac:dyDescent="0.25">
      <c r="AR51" s="40" t="s">
        <v>57</v>
      </c>
      <c r="AS51" s="40" t="s">
        <v>21</v>
      </c>
      <c r="AT51" s="40" t="s">
        <v>85</v>
      </c>
      <c r="AU51" s="40" t="s">
        <v>86</v>
      </c>
      <c r="AV51" s="40" t="s">
        <v>50</v>
      </c>
    </row>
    <row r="52" spans="1:48" x14ac:dyDescent="0.25">
      <c r="G52" s="199" t="s">
        <v>87</v>
      </c>
      <c r="H52" s="199"/>
      <c r="I52" s="199"/>
      <c r="J52" s="40" t="s">
        <v>88</v>
      </c>
      <c r="K52" s="199" t="s">
        <v>89</v>
      </c>
      <c r="L52" s="199"/>
      <c r="M52" s="40" t="s">
        <v>90</v>
      </c>
      <c r="N52" s="40" t="s">
        <v>91</v>
      </c>
      <c r="O52" s="199" t="s">
        <v>92</v>
      </c>
      <c r="P52" s="199"/>
      <c r="Q52" s="199"/>
      <c r="R52" s="40" t="s">
        <v>93</v>
      </c>
      <c r="U52" s="40" t="s">
        <v>94</v>
      </c>
      <c r="AR52" s="51">
        <f>+IF(Input_Output!$E$6="SI",EnergyLevel!C54,EnergyLevel!C54*51.64)</f>
        <v>102.79843699546826</v>
      </c>
      <c r="AS52" s="40">
        <f>+IF(Input_Output!$E$6="SI",EnergyLevel!E54,EnergyLevel!E54/0.7457)</f>
        <v>950.75520000000006</v>
      </c>
      <c r="AT52" s="40">
        <f>+IF(Input_Output!$E$6="SI",EnergyLevel!B54,EnergyLevel!B54/3048)</f>
        <v>25.363549783780755</v>
      </c>
      <c r="AU52" s="40">
        <f>+IF(Input_Output!$E$6="SI",EnergyLevel!D54,EnergyLevel!D54/3048)</f>
        <v>25.4</v>
      </c>
      <c r="AV52" s="40">
        <f>+IF(Input_Output!$E$6="SI",EnergyLevel!F54,EnergyLevel!F54/3048)</f>
        <v>27.78948141610411</v>
      </c>
    </row>
    <row r="53" spans="1:48" x14ac:dyDescent="0.25">
      <c r="B53" s="40" t="s">
        <v>95</v>
      </c>
      <c r="C53" s="40" t="s">
        <v>57</v>
      </c>
      <c r="D53" s="40" t="s">
        <v>86</v>
      </c>
      <c r="E53" s="40" t="s">
        <v>21</v>
      </c>
      <c r="F53" s="40" t="s">
        <v>96</v>
      </c>
      <c r="G53" s="40" t="s">
        <v>63</v>
      </c>
      <c r="H53" s="40" t="s">
        <v>62</v>
      </c>
      <c r="I53" s="40" t="s">
        <v>61</v>
      </c>
      <c r="J53" s="40" t="s">
        <v>61</v>
      </c>
      <c r="K53" s="40" t="s">
        <v>62</v>
      </c>
      <c r="L53" s="40" t="s">
        <v>61</v>
      </c>
      <c r="M53" s="40" t="s">
        <v>62</v>
      </c>
      <c r="N53" s="40" t="s">
        <v>62</v>
      </c>
      <c r="O53" s="40" t="s">
        <v>63</v>
      </c>
      <c r="P53" s="40" t="s">
        <v>62</v>
      </c>
      <c r="Q53" s="40" t="s">
        <v>61</v>
      </c>
      <c r="R53" s="40" t="s">
        <v>63</v>
      </c>
      <c r="S53" s="40" t="s">
        <v>62</v>
      </c>
      <c r="T53" s="40" t="s">
        <v>61</v>
      </c>
      <c r="U53" s="40" t="s">
        <v>97</v>
      </c>
      <c r="V53" s="40" t="s">
        <v>98</v>
      </c>
      <c r="W53" s="40" t="s">
        <v>99</v>
      </c>
      <c r="X53" s="40" t="s">
        <v>100</v>
      </c>
      <c r="Y53" s="40" t="s">
        <v>101</v>
      </c>
      <c r="Z53" s="40" t="s">
        <v>102</v>
      </c>
      <c r="AA53" s="40" t="s">
        <v>103</v>
      </c>
      <c r="AB53" s="40" t="s">
        <v>97</v>
      </c>
      <c r="AC53" s="40" t="s">
        <v>47</v>
      </c>
    </row>
    <row r="54" spans="1:48" x14ac:dyDescent="0.25">
      <c r="A54" s="40" t="s">
        <v>84</v>
      </c>
      <c r="B54" s="40">
        <f>+D54*Metric_Conversion!I14</f>
        <v>25.363549783780755</v>
      </c>
      <c r="C54" s="61">
        <f>+Metric_Conversion!I39</f>
        <v>102.79843699546826</v>
      </c>
      <c r="D54" s="61">
        <f>+Metric_Conversion!I11</f>
        <v>25.4</v>
      </c>
      <c r="E54" s="61">
        <f>Metric_Conversion!B10*Metric_Conversion!C10*9.81*1000*Metric_Conversion!I14/1000/3600</f>
        <v>950.75520000000006</v>
      </c>
      <c r="F54" s="61">
        <f>+Metric_Conversion!I41</f>
        <v>27.78948141610411</v>
      </c>
      <c r="G54" s="62">
        <f>IF($C54&lt;26,D$6+D$7*$C54+D$8*$C54^2+D$9*$C54^3,IF($C54&gt;32,D$11*$C54^D$12,D$10))</f>
        <v>56.783430860165808</v>
      </c>
      <c r="H54" s="62">
        <f>IF($C54&lt;26,E$6+E$7*$C54+E$8*$C54^2+E$9*$C54^3,IF($C54&gt;32,E$11*$C54^E$12,E$10))</f>
        <v>32.668338217540501</v>
      </c>
      <c r="I54" s="62">
        <f>IF($C54&lt;26,F$6+F$7*$C54+F$8*$C54^2+F$9*$C54^3,IF($C54&gt;32,F$11*$C54^F$12,F$10))</f>
        <v>19.052746948198752</v>
      </c>
      <c r="J54" s="62">
        <f>H$11*(H12/C54)^2*Metric_Conversion!I14</f>
        <v>14.652700002352328</v>
      </c>
      <c r="K54" s="40">
        <f>O$11*$E54^O$12</f>
        <v>142.70235998346388</v>
      </c>
      <c r="L54" s="40">
        <f t="shared" ref="L54" si="7">P$11*$E54^P$12</f>
        <v>60.648502992972148</v>
      </c>
      <c r="M54" s="61">
        <f>225</f>
        <v>225</v>
      </c>
      <c r="N54" s="61">
        <f>200</f>
        <v>200</v>
      </c>
      <c r="O54" s="43">
        <f>+IF($C54&lt;26,R$6+R$7*$C54+R$8*$C54^2+R$9*$C54^3,IF($C54&gt;32,R$11+R$12*$C54+R$13*$C54^2+R$14*$C54^3+R$15*$C54^4+R$16*$C54^5+R$17*$C54^6,R$10))</f>
        <v>45.823901319006772</v>
      </c>
      <c r="P54" s="43">
        <f t="shared" ref="P54:Q54" si="8">+IF($C54&lt;26,S$6+S$7*$C54+S$8*$C54^2+S$9*$C54^3,IF($C54&gt;32,S$11+S$12*$C54+S$13*$C54^2+S$14*$C54^3+S$15*$C54^4+S$16*$C54^5+S$17*$C54^6,S$10))</f>
        <v>34.7780958003395</v>
      </c>
      <c r="Q54" s="43">
        <f t="shared" si="8"/>
        <v>26.786303372986847</v>
      </c>
      <c r="R54" s="40">
        <f t="shared" ref="R54:T54" si="9">+V$6+V$7*$C54+V$8*$C54^2+V$9*$C54^3</f>
        <v>2749.4864303476961</v>
      </c>
      <c r="S54" s="40">
        <f t="shared" si="9"/>
        <v>5204.0409387268655</v>
      </c>
      <c r="T54" s="40">
        <f t="shared" si="9"/>
        <v>2474.4812729361906</v>
      </c>
      <c r="U54" s="40">
        <f>+IF(AC54=1,1,IF(AND(W54=0.1,AB54=0.1),0.1,IF(OR(AND(W54=0.5,AB54&lt;0.5),AND(W54&lt;0.5,AB54=0.5)),0.5,1)))</f>
        <v>0.5</v>
      </c>
      <c r="V54" s="40">
        <f>IF(C54&gt;77,0.1,IF(D54&lt;J54,0.1,1))</f>
        <v>0.1</v>
      </c>
      <c r="W54" s="40">
        <f t="shared" ref="W54" si="10">IF(D54&lt;L54,0.1,IF(AND(D54&gt;L54,D54&lt;K54),0.5,1))</f>
        <v>0.1</v>
      </c>
      <c r="X54" s="40">
        <f t="shared" ref="X54" si="11">+IF(D54&lt;N54,0.1,1)</f>
        <v>0.1</v>
      </c>
      <c r="Y54" s="40">
        <f t="shared" ref="Y54" si="12">+IF(E54&lt;M54,0.1,1)</f>
        <v>1</v>
      </c>
      <c r="Z54" s="40">
        <f t="shared" ref="Z54" si="13">+IF(F54&gt;O54,-99,IF(F54&lt;Q54,0.1,IF(AND(F54&gt;Q54,F54&lt;P54),0.5,1)))</f>
        <v>0.5</v>
      </c>
      <c r="AA54" s="40">
        <f>+IF(E54&gt;R54,-99,IF(E54&lt;T54,0.1,IF(AND(E54&gt;T54,E54&lt;S54),0.5,1)))</f>
        <v>0.1</v>
      </c>
      <c r="AB54" s="40">
        <f>+IF(B54&gt;G54,-99,IF(B54&lt;I54,0.1,IF(AND(B54&gt;I54,B54&lt;H54),0.5,1)))</f>
        <v>0.5</v>
      </c>
      <c r="AC54" s="40">
        <f>+IF(B54&gt;224,1,0)</f>
        <v>0</v>
      </c>
    </row>
    <row r="55" spans="1:48" x14ac:dyDescent="0.25">
      <c r="A55" s="63" t="s">
        <v>26</v>
      </c>
      <c r="C55" s="61"/>
      <c r="D55" s="61"/>
      <c r="E55" s="61"/>
      <c r="F55" s="61"/>
      <c r="G55" s="62"/>
      <c r="H55" s="62"/>
      <c r="I55" s="62"/>
      <c r="J55" s="62"/>
      <c r="M55" s="61"/>
      <c r="N55" s="61"/>
      <c r="O55" s="43"/>
      <c r="P55" s="43"/>
      <c r="Q55" s="43"/>
    </row>
    <row r="56" spans="1:48" x14ac:dyDescent="0.25">
      <c r="A56" s="63"/>
      <c r="C56" s="61"/>
      <c r="D56" s="61"/>
      <c r="E56" s="61"/>
      <c r="F56" s="61"/>
      <c r="G56" s="62"/>
      <c r="H56" s="62"/>
      <c r="I56" s="62"/>
      <c r="J56" s="62"/>
      <c r="M56" s="61"/>
      <c r="N56" s="61"/>
      <c r="O56" s="43"/>
      <c r="P56" s="43"/>
      <c r="Q56" s="43"/>
    </row>
    <row r="57" spans="1:48" x14ac:dyDescent="0.25">
      <c r="A57" s="63"/>
      <c r="C57" s="61"/>
      <c r="D57" s="61"/>
      <c r="E57" s="61"/>
      <c r="F57" s="61"/>
      <c r="G57" s="62"/>
      <c r="H57" s="62"/>
      <c r="I57" s="62"/>
      <c r="J57" s="62"/>
      <c r="M57" s="61"/>
      <c r="N57" s="61"/>
      <c r="O57" s="43"/>
      <c r="P57" s="43"/>
      <c r="Q57" s="43"/>
    </row>
    <row r="58" spans="1:48" x14ac:dyDescent="0.25">
      <c r="C58" s="61"/>
      <c r="D58" s="61"/>
      <c r="E58" s="61"/>
      <c r="F58" s="61"/>
      <c r="G58" s="62"/>
      <c r="H58" s="62"/>
      <c r="I58" s="62"/>
      <c r="J58" s="62"/>
      <c r="M58" s="61"/>
      <c r="N58" s="61"/>
      <c r="O58" s="43"/>
      <c r="P58" s="43"/>
      <c r="Q58" s="43"/>
    </row>
    <row r="59" spans="1:48" x14ac:dyDescent="0.25">
      <c r="C59" s="61"/>
      <c r="D59" s="61"/>
      <c r="E59" s="61"/>
      <c r="F59" s="61"/>
      <c r="G59" s="62"/>
      <c r="H59" s="62"/>
      <c r="I59" s="62"/>
      <c r="J59" s="62"/>
      <c r="M59" s="61"/>
      <c r="N59" s="61"/>
      <c r="O59" s="43"/>
      <c r="P59" s="43"/>
      <c r="Q59" s="43"/>
    </row>
    <row r="60" spans="1:48" x14ac:dyDescent="0.25">
      <c r="C60" s="61"/>
      <c r="D60" s="61"/>
      <c r="E60" s="61"/>
      <c r="F60" s="61"/>
      <c r="G60" s="62"/>
      <c r="H60" s="62"/>
      <c r="I60" s="62"/>
      <c r="J60" s="62"/>
      <c r="M60" s="61"/>
      <c r="N60" s="61"/>
      <c r="O60" s="43"/>
      <c r="P60" s="43"/>
      <c r="Q60" s="43"/>
    </row>
    <row r="61" spans="1:48" x14ac:dyDescent="0.25">
      <c r="C61" s="61"/>
      <c r="D61" s="61"/>
      <c r="E61" s="61"/>
      <c r="F61" s="61"/>
      <c r="G61" s="62"/>
      <c r="H61" s="62"/>
      <c r="I61" s="62"/>
      <c r="J61" s="62"/>
      <c r="M61" s="61"/>
      <c r="N61" s="61"/>
      <c r="O61" s="43"/>
      <c r="P61" s="43"/>
      <c r="Q61" s="43"/>
    </row>
    <row r="62" spans="1:48" x14ac:dyDescent="0.25">
      <c r="C62" s="61"/>
      <c r="D62" s="61"/>
      <c r="E62" s="61"/>
      <c r="F62" s="61"/>
      <c r="G62" s="62"/>
      <c r="H62" s="62"/>
      <c r="I62" s="62"/>
      <c r="J62" s="62"/>
      <c r="M62" s="61"/>
      <c r="N62" s="61"/>
      <c r="O62" s="43"/>
      <c r="P62" s="43"/>
      <c r="Q62" s="43"/>
    </row>
    <row r="63" spans="1:48" x14ac:dyDescent="0.25">
      <c r="C63" s="61"/>
      <c r="D63" s="61"/>
      <c r="E63" s="61"/>
      <c r="F63" s="61"/>
      <c r="G63" s="62"/>
      <c r="H63" s="62"/>
      <c r="I63" s="62"/>
      <c r="J63" s="62"/>
      <c r="M63" s="61"/>
      <c r="N63" s="61"/>
      <c r="O63" s="43"/>
      <c r="P63" s="43"/>
      <c r="Q63" s="43"/>
    </row>
    <row r="64" spans="1:48" x14ac:dyDescent="0.25">
      <c r="C64" s="61"/>
      <c r="D64" s="61"/>
      <c r="E64" s="61"/>
      <c r="F64" s="61"/>
      <c r="G64" s="62"/>
      <c r="H64" s="62"/>
      <c r="I64" s="62"/>
      <c r="J64" s="62"/>
      <c r="M64" s="61"/>
      <c r="N64" s="61"/>
      <c r="O64" s="43"/>
      <c r="P64" s="43"/>
      <c r="Q64" s="43"/>
    </row>
    <row r="65" spans="3:17" x14ac:dyDescent="0.25">
      <c r="C65" s="61"/>
      <c r="D65" s="61"/>
      <c r="E65" s="61"/>
      <c r="F65" s="61"/>
      <c r="G65" s="62"/>
      <c r="H65" s="62"/>
      <c r="I65" s="62"/>
      <c r="J65" s="62"/>
      <c r="M65" s="61"/>
      <c r="N65" s="61"/>
      <c r="O65" s="43"/>
      <c r="P65" s="43"/>
      <c r="Q65" s="43"/>
    </row>
    <row r="66" spans="3:17" x14ac:dyDescent="0.25">
      <c r="C66" s="61"/>
      <c r="D66" s="61"/>
      <c r="E66" s="61"/>
      <c r="F66" s="61"/>
      <c r="G66" s="62"/>
      <c r="H66" s="62"/>
      <c r="I66" s="62"/>
      <c r="J66" s="62"/>
      <c r="M66" s="61"/>
      <c r="N66" s="61"/>
      <c r="O66" s="43"/>
      <c r="P66" s="43"/>
      <c r="Q66" s="43"/>
    </row>
    <row r="67" spans="3:17" x14ac:dyDescent="0.25">
      <c r="C67" s="61"/>
      <c r="D67" s="61"/>
      <c r="E67" s="61"/>
      <c r="F67" s="61"/>
      <c r="G67" s="62"/>
      <c r="H67" s="62"/>
      <c r="I67" s="62"/>
      <c r="J67" s="62"/>
      <c r="M67" s="61"/>
      <c r="N67" s="61"/>
      <c r="O67" s="43"/>
      <c r="P67" s="43"/>
      <c r="Q67" s="43"/>
    </row>
    <row r="68" spans="3:17" x14ac:dyDescent="0.25">
      <c r="C68" s="61"/>
      <c r="D68" s="61"/>
      <c r="E68" s="61"/>
      <c r="F68" s="61"/>
      <c r="G68" s="62"/>
      <c r="H68" s="62"/>
      <c r="I68" s="62"/>
      <c r="J68" s="62"/>
      <c r="M68" s="61"/>
      <c r="N68" s="61"/>
      <c r="O68" s="43"/>
      <c r="P68" s="43"/>
      <c r="Q68" s="43"/>
    </row>
    <row r="69" spans="3:17" x14ac:dyDescent="0.25">
      <c r="C69" s="61"/>
      <c r="D69" s="61"/>
      <c r="E69" s="61"/>
      <c r="F69" s="61"/>
      <c r="G69" s="62"/>
      <c r="H69" s="62"/>
      <c r="I69" s="62"/>
      <c r="J69" s="62"/>
      <c r="M69" s="61"/>
      <c r="N69" s="61"/>
      <c r="O69" s="43"/>
      <c r="P69" s="43"/>
      <c r="Q69" s="43"/>
    </row>
    <row r="70" spans="3:17" x14ac:dyDescent="0.25">
      <c r="C70" s="61"/>
      <c r="D70" s="61"/>
      <c r="E70" s="61"/>
      <c r="F70" s="61"/>
      <c r="G70" s="62"/>
      <c r="H70" s="62"/>
      <c r="I70" s="62"/>
      <c r="J70" s="62"/>
      <c r="M70" s="61"/>
      <c r="N70" s="61"/>
      <c r="O70" s="43"/>
      <c r="P70" s="43"/>
      <c r="Q70" s="43"/>
    </row>
    <row r="71" spans="3:17" x14ac:dyDescent="0.25">
      <c r="C71" s="61"/>
      <c r="D71" s="61"/>
      <c r="E71" s="61"/>
      <c r="F71" s="61"/>
      <c r="G71" s="62"/>
      <c r="H71" s="62"/>
      <c r="I71" s="62"/>
      <c r="J71" s="62"/>
      <c r="M71" s="61"/>
      <c r="N71" s="61"/>
      <c r="O71" s="43"/>
      <c r="P71" s="43"/>
      <c r="Q71" s="43"/>
    </row>
    <row r="72" spans="3:17" x14ac:dyDescent="0.25">
      <c r="C72" s="61"/>
      <c r="D72" s="61"/>
      <c r="E72" s="61"/>
      <c r="F72" s="61"/>
      <c r="G72" s="62"/>
      <c r="H72" s="62"/>
      <c r="I72" s="62"/>
      <c r="J72" s="62"/>
      <c r="M72" s="61"/>
      <c r="N72" s="61"/>
      <c r="O72" s="43"/>
      <c r="P72" s="43"/>
      <c r="Q72" s="43"/>
    </row>
    <row r="73" spans="3:17" x14ac:dyDescent="0.25">
      <c r="C73" s="61"/>
      <c r="D73" s="61"/>
      <c r="E73" s="61"/>
      <c r="F73" s="61"/>
      <c r="G73" s="62"/>
      <c r="H73" s="62"/>
      <c r="I73" s="62"/>
      <c r="J73" s="62"/>
      <c r="M73" s="61"/>
      <c r="N73" s="61"/>
      <c r="O73" s="43"/>
      <c r="P73" s="43"/>
      <c r="Q73" s="43"/>
    </row>
    <row r="74" spans="3:17" x14ac:dyDescent="0.25">
      <c r="C74" s="61"/>
      <c r="D74" s="61"/>
      <c r="E74" s="61"/>
      <c r="F74" s="61"/>
      <c r="G74" s="62"/>
      <c r="H74" s="62"/>
      <c r="I74" s="62"/>
      <c r="J74" s="62"/>
      <c r="M74" s="61"/>
      <c r="N74" s="61"/>
      <c r="O74" s="43"/>
      <c r="P74" s="43"/>
      <c r="Q74" s="43"/>
    </row>
    <row r="75" spans="3:17" x14ac:dyDescent="0.25">
      <c r="C75" s="61"/>
      <c r="D75" s="61"/>
      <c r="E75" s="61"/>
      <c r="F75" s="61"/>
      <c r="G75" s="62"/>
      <c r="H75" s="62"/>
      <c r="I75" s="62"/>
      <c r="J75" s="62"/>
      <c r="M75" s="61"/>
      <c r="N75" s="61"/>
      <c r="O75" s="43"/>
      <c r="P75" s="43"/>
      <c r="Q75" s="43"/>
    </row>
    <row r="76" spans="3:17" x14ac:dyDescent="0.25">
      <c r="C76" s="61"/>
      <c r="D76" s="61"/>
      <c r="E76" s="61"/>
      <c r="F76" s="61"/>
      <c r="G76" s="62"/>
      <c r="H76" s="62"/>
      <c r="I76" s="62"/>
      <c r="J76" s="62"/>
      <c r="M76" s="61"/>
      <c r="N76" s="61"/>
      <c r="O76" s="43"/>
      <c r="P76" s="43"/>
      <c r="Q76" s="43"/>
    </row>
    <row r="77" spans="3:17" x14ac:dyDescent="0.25">
      <c r="C77" s="61"/>
      <c r="D77" s="61"/>
      <c r="E77" s="61"/>
      <c r="F77" s="61"/>
      <c r="G77" s="62"/>
      <c r="H77" s="62"/>
      <c r="I77" s="62"/>
      <c r="J77" s="62"/>
      <c r="M77" s="61"/>
      <c r="N77" s="61"/>
      <c r="O77" s="43"/>
      <c r="P77" s="43"/>
      <c r="Q77" s="43"/>
    </row>
    <row r="78" spans="3:17" x14ac:dyDescent="0.25">
      <c r="C78" s="61"/>
      <c r="D78" s="61"/>
      <c r="E78" s="61"/>
      <c r="F78" s="61"/>
      <c r="G78" s="62"/>
      <c r="H78" s="62"/>
      <c r="I78" s="62"/>
      <c r="J78" s="62"/>
      <c r="M78" s="61"/>
      <c r="N78" s="61"/>
      <c r="O78" s="43"/>
      <c r="P78" s="43"/>
      <c r="Q78" s="43"/>
    </row>
    <row r="79" spans="3:17" x14ac:dyDescent="0.25">
      <c r="C79" s="61"/>
      <c r="D79" s="61"/>
      <c r="E79" s="61"/>
      <c r="F79" s="61"/>
      <c r="G79" s="62"/>
      <c r="H79" s="62"/>
      <c r="I79" s="62"/>
      <c r="J79" s="62"/>
      <c r="M79" s="61"/>
      <c r="N79" s="61"/>
      <c r="O79" s="43"/>
      <c r="P79" s="43"/>
      <c r="Q79" s="43"/>
    </row>
    <row r="80" spans="3:17" x14ac:dyDescent="0.25">
      <c r="C80" s="61"/>
      <c r="D80" s="61"/>
      <c r="E80" s="61"/>
      <c r="F80" s="61"/>
      <c r="G80" s="62"/>
      <c r="H80" s="62"/>
      <c r="I80" s="62"/>
      <c r="J80" s="62"/>
      <c r="M80" s="61"/>
      <c r="N80" s="61"/>
      <c r="O80" s="43"/>
      <c r="P80" s="43"/>
      <c r="Q80" s="43"/>
    </row>
    <row r="81" spans="3:17" x14ac:dyDescent="0.25">
      <c r="C81" s="61"/>
      <c r="D81" s="61"/>
      <c r="E81" s="61"/>
      <c r="F81" s="61"/>
      <c r="G81" s="62"/>
      <c r="H81" s="62"/>
      <c r="I81" s="62"/>
      <c r="J81" s="62"/>
      <c r="M81" s="61"/>
      <c r="N81" s="61"/>
      <c r="O81" s="43"/>
      <c r="P81" s="43"/>
      <c r="Q81" s="43"/>
    </row>
    <row r="82" spans="3:17" x14ac:dyDescent="0.25">
      <c r="C82" s="61"/>
      <c r="D82" s="61"/>
      <c r="E82" s="61"/>
      <c r="F82" s="61"/>
      <c r="G82" s="62"/>
      <c r="H82" s="62"/>
      <c r="I82" s="62"/>
      <c r="J82" s="62"/>
      <c r="M82" s="61"/>
      <c r="N82" s="61"/>
      <c r="O82" s="43"/>
      <c r="P82" s="43"/>
      <c r="Q82" s="43"/>
    </row>
    <row r="83" spans="3:17" x14ac:dyDescent="0.25">
      <c r="C83" s="61"/>
      <c r="D83" s="61"/>
      <c r="E83" s="61"/>
      <c r="F83" s="61"/>
      <c r="G83" s="62"/>
      <c r="H83" s="62"/>
      <c r="I83" s="62"/>
      <c r="J83" s="62"/>
      <c r="M83" s="61"/>
      <c r="N83" s="61"/>
      <c r="O83" s="43"/>
      <c r="P83" s="43"/>
      <c r="Q83" s="43"/>
    </row>
    <row r="84" spans="3:17" x14ac:dyDescent="0.25">
      <c r="C84" s="61"/>
      <c r="D84" s="61"/>
      <c r="E84" s="61"/>
      <c r="F84" s="61"/>
      <c r="G84" s="62"/>
      <c r="H84" s="62"/>
      <c r="I84" s="62"/>
      <c r="J84" s="62"/>
      <c r="M84" s="61"/>
      <c r="N84" s="61"/>
      <c r="O84" s="43"/>
      <c r="P84" s="43"/>
      <c r="Q84" s="43"/>
    </row>
    <row r="85" spans="3:17" x14ac:dyDescent="0.25">
      <c r="C85" s="61"/>
      <c r="D85" s="61"/>
      <c r="E85" s="61"/>
      <c r="F85" s="61"/>
      <c r="G85" s="62"/>
      <c r="H85" s="62"/>
      <c r="I85" s="62"/>
      <c r="J85" s="62"/>
      <c r="M85" s="61"/>
      <c r="N85" s="61"/>
      <c r="O85" s="43"/>
      <c r="P85" s="43"/>
      <c r="Q85" s="43"/>
    </row>
    <row r="86" spans="3:17" x14ac:dyDescent="0.25">
      <c r="C86" s="61"/>
      <c r="D86" s="61"/>
      <c r="E86" s="61"/>
      <c r="F86" s="61"/>
      <c r="G86" s="62"/>
      <c r="H86" s="62"/>
      <c r="I86" s="62"/>
      <c r="J86" s="62"/>
      <c r="M86" s="61"/>
      <c r="N86" s="61"/>
      <c r="O86" s="43"/>
      <c r="P86" s="43"/>
      <c r="Q86" s="43"/>
    </row>
    <row r="87" spans="3:17" x14ac:dyDescent="0.25">
      <c r="C87" s="61"/>
      <c r="D87" s="61"/>
      <c r="E87" s="61"/>
      <c r="F87" s="61"/>
      <c r="G87" s="62"/>
      <c r="H87" s="62"/>
      <c r="I87" s="62"/>
      <c r="J87" s="62"/>
      <c r="M87" s="61"/>
      <c r="N87" s="61"/>
      <c r="O87" s="43"/>
      <c r="P87" s="43"/>
      <c r="Q87" s="43"/>
    </row>
    <row r="88" spans="3:17" x14ac:dyDescent="0.25">
      <c r="C88" s="61"/>
      <c r="D88" s="61"/>
      <c r="E88" s="61"/>
      <c r="F88" s="61"/>
      <c r="G88" s="62"/>
      <c r="H88" s="62"/>
      <c r="I88" s="62"/>
      <c r="J88" s="62"/>
      <c r="M88" s="61"/>
      <c r="N88" s="61"/>
      <c r="O88" s="43"/>
      <c r="P88" s="43"/>
      <c r="Q88" s="43"/>
    </row>
    <row r="89" spans="3:17" x14ac:dyDescent="0.25">
      <c r="C89" s="61"/>
      <c r="D89" s="61"/>
      <c r="E89" s="61"/>
      <c r="F89" s="61"/>
      <c r="G89" s="62"/>
      <c r="H89" s="62"/>
      <c r="I89" s="62"/>
      <c r="J89" s="62"/>
      <c r="M89" s="61"/>
      <c r="N89" s="61"/>
      <c r="O89" s="43"/>
      <c r="P89" s="43"/>
      <c r="Q89" s="43"/>
    </row>
    <row r="90" spans="3:17" x14ac:dyDescent="0.25">
      <c r="C90" s="61"/>
      <c r="D90" s="61"/>
      <c r="E90" s="61"/>
      <c r="F90" s="61"/>
      <c r="G90" s="62"/>
      <c r="H90" s="62"/>
      <c r="I90" s="62"/>
      <c r="J90" s="62"/>
      <c r="M90" s="61"/>
      <c r="N90" s="61"/>
      <c r="O90" s="43"/>
      <c r="P90" s="43"/>
      <c r="Q90" s="43"/>
    </row>
    <row r="91" spans="3:17" x14ac:dyDescent="0.25">
      <c r="C91" s="61"/>
      <c r="D91" s="61"/>
      <c r="E91" s="61"/>
      <c r="F91" s="61"/>
      <c r="G91" s="62"/>
      <c r="H91" s="62"/>
      <c r="I91" s="62"/>
      <c r="J91" s="62"/>
      <c r="M91" s="61"/>
      <c r="N91" s="61"/>
      <c r="O91" s="43"/>
      <c r="P91" s="43"/>
      <c r="Q91" s="43"/>
    </row>
    <row r="92" spans="3:17" x14ac:dyDescent="0.25">
      <c r="C92" s="61"/>
      <c r="D92" s="61"/>
      <c r="E92" s="61"/>
      <c r="F92" s="61"/>
      <c r="G92" s="62"/>
      <c r="H92" s="62"/>
      <c r="I92" s="62"/>
      <c r="J92" s="62"/>
      <c r="M92" s="61"/>
      <c r="N92" s="61"/>
      <c r="O92" s="43"/>
      <c r="P92" s="43"/>
      <c r="Q92" s="43"/>
    </row>
    <row r="93" spans="3:17" x14ac:dyDescent="0.25">
      <c r="C93" s="61"/>
      <c r="D93" s="61"/>
      <c r="E93" s="61"/>
      <c r="F93" s="61"/>
      <c r="G93" s="62"/>
      <c r="H93" s="62"/>
      <c r="I93" s="62"/>
      <c r="J93" s="62"/>
      <c r="M93" s="61"/>
      <c r="N93" s="61"/>
      <c r="O93" s="43"/>
      <c r="P93" s="43"/>
      <c r="Q93" s="43"/>
    </row>
    <row r="94" spans="3:17" x14ac:dyDescent="0.25">
      <c r="C94" s="61"/>
      <c r="D94" s="61"/>
      <c r="E94" s="61"/>
      <c r="F94" s="61"/>
      <c r="G94" s="62"/>
      <c r="H94" s="62"/>
      <c r="I94" s="62"/>
      <c r="J94" s="62"/>
      <c r="M94" s="61"/>
      <c r="N94" s="61"/>
      <c r="O94" s="43"/>
      <c r="P94" s="43"/>
      <c r="Q94" s="43"/>
    </row>
    <row r="95" spans="3:17" x14ac:dyDescent="0.25">
      <c r="C95" s="61"/>
      <c r="D95" s="61"/>
      <c r="E95" s="61"/>
      <c r="F95" s="61"/>
      <c r="G95" s="62"/>
      <c r="H95" s="62"/>
      <c r="I95" s="62"/>
      <c r="J95" s="62"/>
      <c r="M95" s="61"/>
      <c r="N95" s="61"/>
      <c r="O95" s="43"/>
      <c r="P95" s="43"/>
      <c r="Q95" s="43"/>
    </row>
    <row r="96" spans="3:17" x14ac:dyDescent="0.25">
      <c r="C96" s="61"/>
      <c r="D96" s="61"/>
      <c r="E96" s="61"/>
      <c r="F96" s="61"/>
      <c r="G96" s="62"/>
      <c r="H96" s="62"/>
      <c r="I96" s="62"/>
      <c r="J96" s="62"/>
      <c r="M96" s="61"/>
      <c r="N96" s="61"/>
      <c r="O96" s="43"/>
      <c r="P96" s="43"/>
      <c r="Q96" s="43"/>
    </row>
    <row r="97" spans="3:17" x14ac:dyDescent="0.25">
      <c r="C97" s="61"/>
      <c r="D97" s="61"/>
      <c r="E97" s="61"/>
      <c r="F97" s="61"/>
      <c r="G97" s="62"/>
      <c r="H97" s="62"/>
      <c r="I97" s="62"/>
      <c r="J97" s="62"/>
      <c r="M97" s="61"/>
      <c r="N97" s="61"/>
      <c r="O97" s="43"/>
      <c r="P97" s="43"/>
      <c r="Q97" s="43"/>
    </row>
    <row r="98" spans="3:17" x14ac:dyDescent="0.25">
      <c r="C98" s="61"/>
      <c r="D98" s="61"/>
      <c r="E98" s="61"/>
      <c r="F98" s="61"/>
      <c r="G98" s="62"/>
      <c r="H98" s="62"/>
      <c r="I98" s="62"/>
      <c r="J98" s="62"/>
      <c r="M98" s="61"/>
      <c r="N98" s="61"/>
      <c r="O98" s="43"/>
      <c r="P98" s="43"/>
      <c r="Q98" s="43"/>
    </row>
    <row r="99" spans="3:17" x14ac:dyDescent="0.25">
      <c r="C99" s="61"/>
      <c r="D99" s="61"/>
      <c r="E99" s="61"/>
      <c r="F99" s="61"/>
      <c r="G99" s="62"/>
      <c r="H99" s="62"/>
      <c r="I99" s="62"/>
      <c r="J99" s="62"/>
      <c r="M99" s="61"/>
      <c r="N99" s="61"/>
      <c r="O99" s="43"/>
      <c r="P99" s="43"/>
      <c r="Q99" s="43"/>
    </row>
    <row r="100" spans="3:17" x14ac:dyDescent="0.25">
      <c r="C100" s="61"/>
      <c r="D100" s="61"/>
      <c r="E100" s="61"/>
      <c r="F100" s="61"/>
      <c r="G100" s="62"/>
      <c r="H100" s="62"/>
      <c r="I100" s="62"/>
      <c r="J100" s="62"/>
      <c r="M100" s="61"/>
      <c r="N100" s="61"/>
      <c r="O100" s="43"/>
      <c r="P100" s="43"/>
      <c r="Q100" s="43"/>
    </row>
    <row r="101" spans="3:17" x14ac:dyDescent="0.25">
      <c r="C101" s="61"/>
      <c r="D101" s="61"/>
      <c r="E101" s="61"/>
      <c r="F101" s="61"/>
      <c r="G101" s="62"/>
      <c r="H101" s="62"/>
      <c r="I101" s="62"/>
      <c r="J101" s="62"/>
      <c r="M101" s="61"/>
      <c r="N101" s="61"/>
      <c r="O101" s="43"/>
      <c r="P101" s="43"/>
      <c r="Q101" s="43"/>
    </row>
    <row r="102" spans="3:17" x14ac:dyDescent="0.25">
      <c r="C102" s="61"/>
      <c r="D102" s="61"/>
      <c r="E102" s="61"/>
      <c r="F102" s="61"/>
      <c r="G102" s="62"/>
      <c r="H102" s="62"/>
      <c r="I102" s="62"/>
      <c r="J102" s="62"/>
      <c r="M102" s="61"/>
      <c r="N102" s="61"/>
      <c r="O102" s="43"/>
      <c r="P102" s="43"/>
      <c r="Q102" s="43"/>
    </row>
    <row r="103" spans="3:17" x14ac:dyDescent="0.25">
      <c r="C103" s="61"/>
      <c r="D103" s="61"/>
      <c r="E103" s="61"/>
      <c r="F103" s="61"/>
      <c r="G103" s="62"/>
      <c r="H103" s="62"/>
      <c r="I103" s="62"/>
      <c r="J103" s="62"/>
      <c r="M103" s="61"/>
      <c r="N103" s="61"/>
      <c r="O103" s="43"/>
      <c r="P103" s="43"/>
      <c r="Q103" s="43"/>
    </row>
    <row r="104" spans="3:17" x14ac:dyDescent="0.25">
      <c r="C104" s="61"/>
      <c r="D104" s="61"/>
      <c r="E104" s="61"/>
      <c r="F104" s="61"/>
      <c r="G104" s="62"/>
      <c r="H104" s="62"/>
      <c r="I104" s="62"/>
      <c r="J104" s="62"/>
      <c r="M104" s="61"/>
      <c r="N104" s="61"/>
      <c r="O104" s="43"/>
      <c r="P104" s="43"/>
      <c r="Q104" s="43"/>
    </row>
    <row r="105" spans="3:17" x14ac:dyDescent="0.25">
      <c r="C105" s="61"/>
      <c r="D105" s="61"/>
      <c r="E105" s="61"/>
      <c r="F105" s="61"/>
      <c r="G105" s="62"/>
      <c r="H105" s="62"/>
      <c r="I105" s="62"/>
      <c r="J105" s="62"/>
      <c r="M105" s="61"/>
      <c r="N105" s="61"/>
      <c r="O105" s="43"/>
      <c r="P105" s="43"/>
      <c r="Q105" s="43"/>
    </row>
    <row r="106" spans="3:17" x14ac:dyDescent="0.25">
      <c r="C106" s="61"/>
      <c r="D106" s="61"/>
      <c r="E106" s="61"/>
      <c r="F106" s="61"/>
      <c r="G106" s="62"/>
      <c r="H106" s="62"/>
      <c r="I106" s="62"/>
      <c r="J106" s="62"/>
      <c r="M106" s="61"/>
      <c r="N106" s="61"/>
      <c r="O106" s="43"/>
      <c r="P106" s="43"/>
      <c r="Q106" s="43"/>
    </row>
    <row r="107" spans="3:17" x14ac:dyDescent="0.25">
      <c r="C107" s="61"/>
      <c r="D107" s="61"/>
      <c r="E107" s="61"/>
      <c r="F107" s="61"/>
      <c r="G107" s="62"/>
      <c r="H107" s="62"/>
      <c r="I107" s="62"/>
      <c r="J107" s="62"/>
      <c r="M107" s="61"/>
      <c r="N107" s="61"/>
      <c r="O107" s="43"/>
      <c r="P107" s="43"/>
      <c r="Q107" s="43"/>
    </row>
    <row r="108" spans="3:17" x14ac:dyDescent="0.25">
      <c r="C108" s="61"/>
      <c r="D108" s="61"/>
      <c r="E108" s="61"/>
      <c r="F108" s="61"/>
      <c r="G108" s="62"/>
      <c r="H108" s="62"/>
      <c r="I108" s="62"/>
      <c r="J108" s="62"/>
      <c r="M108" s="61"/>
      <c r="N108" s="61"/>
      <c r="O108" s="43"/>
      <c r="P108" s="43"/>
      <c r="Q108" s="43"/>
    </row>
    <row r="109" spans="3:17" x14ac:dyDescent="0.25">
      <c r="C109" s="61"/>
      <c r="D109" s="61"/>
      <c r="E109" s="61"/>
      <c r="F109" s="61"/>
      <c r="G109" s="62"/>
      <c r="H109" s="62"/>
      <c r="I109" s="62"/>
      <c r="J109" s="62"/>
      <c r="M109" s="61"/>
      <c r="N109" s="61"/>
      <c r="O109" s="43"/>
      <c r="P109" s="43"/>
      <c r="Q109" s="43"/>
    </row>
    <row r="110" spans="3:17" x14ac:dyDescent="0.25">
      <c r="C110" s="61"/>
      <c r="D110" s="61"/>
      <c r="E110" s="61"/>
      <c r="F110" s="61"/>
      <c r="G110" s="62"/>
      <c r="H110" s="62"/>
      <c r="I110" s="62"/>
      <c r="J110" s="62"/>
      <c r="M110" s="61"/>
      <c r="N110" s="61"/>
      <c r="O110" s="43"/>
      <c r="P110" s="43"/>
      <c r="Q110" s="43"/>
    </row>
    <row r="111" spans="3:17" x14ac:dyDescent="0.25">
      <c r="C111" s="61"/>
      <c r="D111" s="61"/>
      <c r="E111" s="61"/>
      <c r="F111" s="61"/>
      <c r="G111" s="62"/>
      <c r="H111" s="62"/>
      <c r="I111" s="62"/>
      <c r="J111" s="62"/>
      <c r="M111" s="61"/>
      <c r="N111" s="61"/>
      <c r="O111" s="43"/>
      <c r="P111" s="43"/>
      <c r="Q111" s="43"/>
    </row>
    <row r="112" spans="3:17" x14ac:dyDescent="0.25">
      <c r="C112" s="61"/>
      <c r="D112" s="61"/>
      <c r="E112" s="61"/>
      <c r="F112" s="61"/>
      <c r="G112" s="62"/>
      <c r="H112" s="62"/>
      <c r="I112" s="62"/>
      <c r="J112" s="62"/>
      <c r="M112" s="61"/>
      <c r="N112" s="61"/>
      <c r="O112" s="43"/>
      <c r="P112" s="43"/>
      <c r="Q112" s="43"/>
    </row>
    <row r="113" spans="3:17" x14ac:dyDescent="0.25">
      <c r="C113" s="61"/>
      <c r="D113" s="61"/>
      <c r="E113" s="61"/>
      <c r="F113" s="61"/>
      <c r="G113" s="62"/>
      <c r="H113" s="62"/>
      <c r="I113" s="62"/>
      <c r="J113" s="62"/>
      <c r="M113" s="61"/>
      <c r="N113" s="61"/>
      <c r="O113" s="43"/>
      <c r="P113" s="43"/>
      <c r="Q113" s="43"/>
    </row>
    <row r="114" spans="3:17" x14ac:dyDescent="0.25">
      <c r="C114" s="61"/>
      <c r="D114" s="61"/>
      <c r="E114" s="61"/>
      <c r="F114" s="61"/>
      <c r="G114" s="62"/>
      <c r="H114" s="62"/>
      <c r="I114" s="62"/>
      <c r="J114" s="62"/>
      <c r="M114" s="61"/>
      <c r="N114" s="61"/>
      <c r="O114" s="43"/>
      <c r="P114" s="43"/>
      <c r="Q114" s="43"/>
    </row>
    <row r="115" spans="3:17" x14ac:dyDescent="0.25">
      <c r="C115" s="61"/>
      <c r="D115" s="61"/>
      <c r="E115" s="61"/>
      <c r="F115" s="61"/>
      <c r="G115" s="62"/>
      <c r="H115" s="62"/>
      <c r="I115" s="62"/>
      <c r="J115" s="62"/>
      <c r="M115" s="61"/>
      <c r="N115" s="61"/>
      <c r="O115" s="43"/>
      <c r="P115" s="43"/>
      <c r="Q115" s="43"/>
    </row>
    <row r="116" spans="3:17" x14ac:dyDescent="0.25">
      <c r="C116" s="61"/>
      <c r="D116" s="61"/>
      <c r="E116" s="61"/>
      <c r="F116" s="61"/>
      <c r="G116" s="62"/>
      <c r="H116" s="62"/>
      <c r="I116" s="62"/>
      <c r="J116" s="62"/>
      <c r="M116" s="61"/>
      <c r="N116" s="61"/>
      <c r="O116" s="43"/>
      <c r="P116" s="43"/>
      <c r="Q116" s="43"/>
    </row>
    <row r="117" spans="3:17" x14ac:dyDescent="0.25">
      <c r="C117" s="61"/>
      <c r="D117" s="61"/>
      <c r="E117" s="61"/>
      <c r="F117" s="61"/>
      <c r="G117" s="62"/>
      <c r="H117" s="62"/>
      <c r="I117" s="62"/>
      <c r="J117" s="62"/>
      <c r="M117" s="61"/>
      <c r="N117" s="61"/>
      <c r="O117" s="43"/>
      <c r="P117" s="43"/>
      <c r="Q117" s="43"/>
    </row>
    <row r="118" spans="3:17" x14ac:dyDescent="0.25">
      <c r="C118" s="61"/>
      <c r="D118" s="61"/>
      <c r="E118" s="61"/>
      <c r="F118" s="61"/>
      <c r="G118" s="62"/>
      <c r="H118" s="62"/>
      <c r="I118" s="62"/>
      <c r="J118" s="62"/>
      <c r="M118" s="61"/>
      <c r="N118" s="61"/>
      <c r="O118" s="43"/>
      <c r="P118" s="43"/>
      <c r="Q118" s="43"/>
    </row>
    <row r="119" spans="3:17" x14ac:dyDescent="0.25">
      <c r="C119" s="61"/>
      <c r="D119" s="61"/>
      <c r="E119" s="61"/>
      <c r="F119" s="61"/>
      <c r="G119" s="62"/>
      <c r="H119" s="62"/>
      <c r="I119" s="62"/>
      <c r="J119" s="62"/>
      <c r="M119" s="61"/>
      <c r="N119" s="61"/>
      <c r="O119" s="43"/>
      <c r="P119" s="43"/>
      <c r="Q119" s="43"/>
    </row>
    <row r="120" spans="3:17" x14ac:dyDescent="0.25">
      <c r="C120" s="61"/>
      <c r="D120" s="61"/>
      <c r="E120" s="61"/>
      <c r="F120" s="61"/>
      <c r="G120" s="62"/>
      <c r="H120" s="62"/>
      <c r="I120" s="62"/>
      <c r="J120" s="62"/>
      <c r="M120" s="61"/>
      <c r="N120" s="61"/>
      <c r="O120" s="43"/>
      <c r="P120" s="43"/>
      <c r="Q120" s="43"/>
    </row>
    <row r="121" spans="3:17" x14ac:dyDescent="0.25">
      <c r="C121" s="61"/>
      <c r="D121" s="61"/>
      <c r="E121" s="61"/>
      <c r="F121" s="61"/>
      <c r="G121" s="62"/>
      <c r="H121" s="62"/>
      <c r="I121" s="62"/>
      <c r="J121" s="62"/>
      <c r="M121" s="61"/>
      <c r="N121" s="61"/>
      <c r="O121" s="43"/>
      <c r="P121" s="43"/>
      <c r="Q121" s="43"/>
    </row>
    <row r="122" spans="3:17" x14ac:dyDescent="0.25">
      <c r="C122" s="61"/>
      <c r="D122" s="61"/>
      <c r="E122" s="61"/>
      <c r="F122" s="61"/>
      <c r="G122" s="62"/>
      <c r="H122" s="62"/>
      <c r="I122" s="62"/>
      <c r="J122" s="62"/>
      <c r="M122" s="61"/>
      <c r="N122" s="61"/>
      <c r="O122" s="43"/>
      <c r="P122" s="43"/>
      <c r="Q122" s="43"/>
    </row>
    <row r="123" spans="3:17" x14ac:dyDescent="0.25">
      <c r="C123" s="61"/>
      <c r="D123" s="61"/>
      <c r="E123" s="61"/>
      <c r="F123" s="61"/>
      <c r="G123" s="62"/>
      <c r="H123" s="62"/>
      <c r="I123" s="62"/>
      <c r="J123" s="62"/>
      <c r="M123" s="61"/>
      <c r="N123" s="61"/>
      <c r="O123" s="43"/>
      <c r="P123" s="43"/>
      <c r="Q123" s="43"/>
    </row>
    <row r="124" spans="3:17" x14ac:dyDescent="0.25">
      <c r="C124" s="61"/>
      <c r="D124" s="61"/>
      <c r="E124" s="61"/>
      <c r="F124" s="61"/>
      <c r="G124" s="62"/>
      <c r="H124" s="62"/>
      <c r="I124" s="62"/>
      <c r="J124" s="62"/>
      <c r="M124" s="61"/>
      <c r="N124" s="61"/>
      <c r="O124" s="43"/>
      <c r="P124" s="43"/>
      <c r="Q124" s="43"/>
    </row>
    <row r="125" spans="3:17" x14ac:dyDescent="0.25">
      <c r="C125" s="61"/>
      <c r="D125" s="61"/>
      <c r="E125" s="61"/>
      <c r="F125" s="61"/>
      <c r="G125" s="62"/>
      <c r="H125" s="62"/>
      <c r="I125" s="62"/>
      <c r="J125" s="62"/>
      <c r="M125" s="61"/>
      <c r="N125" s="61"/>
      <c r="O125" s="43"/>
      <c r="P125" s="43"/>
      <c r="Q125" s="43"/>
    </row>
    <row r="126" spans="3:17" x14ac:dyDescent="0.25">
      <c r="C126" s="61"/>
      <c r="D126" s="61"/>
      <c r="E126" s="61"/>
      <c r="F126" s="61"/>
      <c r="G126" s="62"/>
      <c r="H126" s="62"/>
      <c r="I126" s="62"/>
      <c r="J126" s="62"/>
      <c r="M126" s="61"/>
      <c r="N126" s="61"/>
      <c r="O126" s="43"/>
      <c r="P126" s="43"/>
      <c r="Q126" s="43"/>
    </row>
    <row r="127" spans="3:17" x14ac:dyDescent="0.25">
      <c r="C127" s="61"/>
      <c r="D127" s="61"/>
      <c r="E127" s="61"/>
      <c r="F127" s="61"/>
      <c r="G127" s="62"/>
      <c r="H127" s="62"/>
      <c r="I127" s="62"/>
      <c r="J127" s="62"/>
      <c r="M127" s="61"/>
      <c r="N127" s="61"/>
      <c r="O127" s="43"/>
      <c r="P127" s="43"/>
      <c r="Q127" s="43"/>
    </row>
    <row r="128" spans="3:17" x14ac:dyDescent="0.25">
      <c r="C128" s="61"/>
      <c r="D128" s="61"/>
      <c r="E128" s="61"/>
      <c r="F128" s="61"/>
      <c r="G128" s="62"/>
      <c r="H128" s="62"/>
      <c r="I128" s="62"/>
      <c r="J128" s="62"/>
      <c r="M128" s="61"/>
      <c r="N128" s="61"/>
      <c r="O128" s="43"/>
      <c r="P128" s="43"/>
      <c r="Q128" s="43"/>
    </row>
    <row r="129" spans="3:17" x14ac:dyDescent="0.25">
      <c r="C129" s="61"/>
      <c r="D129" s="61"/>
      <c r="E129" s="61"/>
      <c r="F129" s="61"/>
      <c r="G129" s="62"/>
      <c r="H129" s="62"/>
      <c r="I129" s="62"/>
      <c r="J129" s="62"/>
      <c r="M129" s="61"/>
      <c r="N129" s="61"/>
      <c r="O129" s="43"/>
      <c r="P129" s="43"/>
      <c r="Q129" s="43"/>
    </row>
    <row r="130" spans="3:17" x14ac:dyDescent="0.25">
      <c r="C130" s="61"/>
      <c r="D130" s="61"/>
      <c r="E130" s="61"/>
      <c r="F130" s="61"/>
      <c r="G130" s="62"/>
      <c r="H130" s="62"/>
      <c r="I130" s="62"/>
      <c r="J130" s="62"/>
      <c r="M130" s="61"/>
      <c r="N130" s="61"/>
      <c r="O130" s="43"/>
      <c r="P130" s="43"/>
      <c r="Q130" s="43"/>
    </row>
    <row r="131" spans="3:17" x14ac:dyDescent="0.25">
      <c r="C131" s="61"/>
      <c r="D131" s="61"/>
      <c r="E131" s="61"/>
      <c r="F131" s="61"/>
      <c r="G131" s="62"/>
      <c r="H131" s="62"/>
      <c r="I131" s="62"/>
      <c r="J131" s="62"/>
      <c r="M131" s="61"/>
      <c r="N131" s="61"/>
      <c r="O131" s="43"/>
      <c r="P131" s="43"/>
      <c r="Q131" s="43"/>
    </row>
    <row r="132" spans="3:17" x14ac:dyDescent="0.25">
      <c r="C132" s="61"/>
      <c r="D132" s="61"/>
      <c r="E132" s="61"/>
      <c r="F132" s="61"/>
      <c r="G132" s="62"/>
      <c r="H132" s="62"/>
      <c r="I132" s="62"/>
      <c r="J132" s="62"/>
      <c r="M132" s="61"/>
      <c r="N132" s="61"/>
      <c r="O132" s="43"/>
      <c r="P132" s="43"/>
      <c r="Q132" s="43"/>
    </row>
    <row r="133" spans="3:17" x14ac:dyDescent="0.25">
      <c r="C133" s="61"/>
      <c r="D133" s="61"/>
      <c r="E133" s="61"/>
      <c r="F133" s="61"/>
      <c r="G133" s="62"/>
      <c r="H133" s="62"/>
      <c r="I133" s="62"/>
      <c r="J133" s="62"/>
      <c r="M133" s="61"/>
      <c r="N133" s="61"/>
      <c r="O133" s="43"/>
      <c r="P133" s="43"/>
      <c r="Q133" s="43"/>
    </row>
    <row r="134" spans="3:17" x14ac:dyDescent="0.25">
      <c r="C134" s="61"/>
      <c r="D134" s="61"/>
      <c r="E134" s="61"/>
      <c r="F134" s="61"/>
      <c r="G134" s="62"/>
      <c r="H134" s="62"/>
      <c r="I134" s="62"/>
      <c r="J134" s="62"/>
      <c r="M134" s="61"/>
      <c r="N134" s="61"/>
      <c r="O134" s="43"/>
      <c r="P134" s="43"/>
      <c r="Q134" s="43"/>
    </row>
    <row r="135" spans="3:17" x14ac:dyDescent="0.25">
      <c r="C135" s="61"/>
      <c r="D135" s="61"/>
      <c r="E135" s="61"/>
      <c r="F135" s="61"/>
      <c r="G135" s="62"/>
      <c r="H135" s="62"/>
      <c r="I135" s="62"/>
      <c r="J135" s="62"/>
      <c r="M135" s="61"/>
      <c r="N135" s="61"/>
      <c r="O135" s="43"/>
      <c r="P135" s="43"/>
      <c r="Q135" s="43"/>
    </row>
    <row r="136" spans="3:17" x14ac:dyDescent="0.25">
      <c r="C136" s="61"/>
      <c r="D136" s="61"/>
      <c r="E136" s="61"/>
      <c r="F136" s="61"/>
      <c r="G136" s="62"/>
      <c r="H136" s="62"/>
      <c r="I136" s="62"/>
      <c r="J136" s="62"/>
      <c r="M136" s="61"/>
      <c r="N136" s="61"/>
      <c r="O136" s="43"/>
      <c r="P136" s="43"/>
      <c r="Q136" s="43"/>
    </row>
    <row r="137" spans="3:17" x14ac:dyDescent="0.25">
      <c r="C137" s="61"/>
      <c r="D137" s="61"/>
      <c r="E137" s="61"/>
      <c r="F137" s="61"/>
      <c r="G137" s="62"/>
      <c r="H137" s="62"/>
      <c r="I137" s="62"/>
      <c r="J137" s="62"/>
      <c r="M137" s="61"/>
      <c r="N137" s="61"/>
      <c r="O137" s="43"/>
      <c r="P137" s="43"/>
      <c r="Q137" s="43"/>
    </row>
    <row r="138" spans="3:17" x14ac:dyDescent="0.25">
      <c r="C138" s="61"/>
      <c r="D138" s="61"/>
      <c r="E138" s="61"/>
      <c r="F138" s="61"/>
      <c r="G138" s="62"/>
      <c r="H138" s="62"/>
      <c r="I138" s="62"/>
      <c r="J138" s="62"/>
      <c r="M138" s="61"/>
      <c r="N138" s="61"/>
      <c r="O138" s="43"/>
      <c r="P138" s="43"/>
      <c r="Q138" s="43"/>
    </row>
    <row r="139" spans="3:17" x14ac:dyDescent="0.25">
      <c r="C139" s="61"/>
      <c r="D139" s="61"/>
      <c r="E139" s="61"/>
      <c r="F139" s="61"/>
      <c r="G139" s="62"/>
      <c r="H139" s="62"/>
      <c r="I139" s="62"/>
      <c r="J139" s="62"/>
      <c r="M139" s="61"/>
      <c r="N139" s="61"/>
      <c r="O139" s="43"/>
      <c r="P139" s="43"/>
      <c r="Q139" s="43"/>
    </row>
    <row r="140" spans="3:17" x14ac:dyDescent="0.25">
      <c r="C140" s="61"/>
      <c r="D140" s="61"/>
      <c r="E140" s="61"/>
      <c r="F140" s="61"/>
      <c r="G140" s="62"/>
      <c r="H140" s="62"/>
      <c r="I140" s="62"/>
      <c r="J140" s="62"/>
      <c r="M140" s="61"/>
      <c r="N140" s="61"/>
      <c r="O140" s="43"/>
      <c r="P140" s="43"/>
      <c r="Q140" s="43"/>
    </row>
    <row r="141" spans="3:17" x14ac:dyDescent="0.25">
      <c r="C141" s="61"/>
      <c r="D141" s="61"/>
      <c r="E141" s="61"/>
      <c r="F141" s="61"/>
      <c r="G141" s="62"/>
      <c r="H141" s="62"/>
      <c r="I141" s="62"/>
      <c r="J141" s="62"/>
      <c r="M141" s="61"/>
      <c r="N141" s="61"/>
      <c r="O141" s="43"/>
      <c r="P141" s="43"/>
      <c r="Q141" s="43"/>
    </row>
    <row r="142" spans="3:17" x14ac:dyDescent="0.25">
      <c r="C142" s="61"/>
      <c r="D142" s="61"/>
      <c r="E142" s="61"/>
      <c r="F142" s="61"/>
      <c r="G142" s="62"/>
      <c r="H142" s="62"/>
      <c r="I142" s="62"/>
      <c r="J142" s="62"/>
      <c r="M142" s="61"/>
      <c r="N142" s="61"/>
      <c r="O142" s="43"/>
      <c r="P142" s="43"/>
      <c r="Q142" s="43"/>
    </row>
    <row r="143" spans="3:17" x14ac:dyDescent="0.25">
      <c r="C143" s="61"/>
      <c r="D143" s="61"/>
      <c r="E143" s="61"/>
      <c r="F143" s="61"/>
      <c r="G143" s="62"/>
      <c r="H143" s="62"/>
      <c r="I143" s="62"/>
      <c r="J143" s="62"/>
      <c r="M143" s="61"/>
      <c r="N143" s="61"/>
      <c r="O143" s="43"/>
      <c r="P143" s="43"/>
      <c r="Q143" s="43"/>
    </row>
    <row r="144" spans="3:17" x14ac:dyDescent="0.25">
      <c r="C144" s="61"/>
      <c r="D144" s="61"/>
      <c r="E144" s="61"/>
      <c r="F144" s="61"/>
      <c r="G144" s="62"/>
      <c r="H144" s="62"/>
      <c r="I144" s="62"/>
      <c r="J144" s="62"/>
      <c r="M144" s="61"/>
      <c r="N144" s="61"/>
      <c r="O144" s="43"/>
      <c r="P144" s="43"/>
      <c r="Q144" s="43"/>
    </row>
    <row r="145" spans="3:17" x14ac:dyDescent="0.25">
      <c r="C145" s="61"/>
      <c r="D145" s="61"/>
      <c r="E145" s="61"/>
      <c r="F145" s="61"/>
      <c r="G145" s="62"/>
      <c r="H145" s="62"/>
      <c r="I145" s="62"/>
      <c r="J145" s="62"/>
      <c r="M145" s="61"/>
      <c r="N145" s="61"/>
      <c r="O145" s="43"/>
      <c r="P145" s="43"/>
      <c r="Q145" s="43"/>
    </row>
    <row r="146" spans="3:17" x14ac:dyDescent="0.25">
      <c r="C146" s="61"/>
      <c r="D146" s="61"/>
      <c r="E146" s="61"/>
      <c r="F146" s="61"/>
      <c r="G146" s="62"/>
      <c r="H146" s="62"/>
      <c r="I146" s="62"/>
      <c r="J146" s="62"/>
      <c r="M146" s="61"/>
      <c r="N146" s="61"/>
      <c r="O146" s="43"/>
      <c r="P146" s="43"/>
      <c r="Q146" s="43"/>
    </row>
    <row r="147" spans="3:17" x14ac:dyDescent="0.25">
      <c r="C147" s="61"/>
      <c r="D147" s="61"/>
      <c r="E147" s="61"/>
      <c r="F147" s="61"/>
      <c r="G147" s="62"/>
      <c r="H147" s="62"/>
      <c r="I147" s="62"/>
      <c r="J147" s="62"/>
      <c r="M147" s="61"/>
      <c r="N147" s="61"/>
      <c r="O147" s="43"/>
      <c r="P147" s="43"/>
      <c r="Q147" s="43"/>
    </row>
    <row r="148" spans="3:17" x14ac:dyDescent="0.25">
      <c r="C148" s="61"/>
      <c r="D148" s="61"/>
      <c r="E148" s="61"/>
      <c r="F148" s="61"/>
      <c r="G148" s="62"/>
      <c r="H148" s="62"/>
      <c r="I148" s="62"/>
      <c r="J148" s="62"/>
      <c r="M148" s="61"/>
      <c r="N148" s="61"/>
      <c r="O148" s="43"/>
      <c r="P148" s="43"/>
      <c r="Q148" s="43"/>
    </row>
    <row r="149" spans="3:17" x14ac:dyDescent="0.25">
      <c r="C149" s="61"/>
      <c r="D149" s="61"/>
      <c r="E149" s="61"/>
      <c r="F149" s="61"/>
      <c r="G149" s="62"/>
      <c r="H149" s="62"/>
      <c r="I149" s="62"/>
      <c r="J149" s="62"/>
      <c r="M149" s="61"/>
      <c r="N149" s="61"/>
      <c r="O149" s="43"/>
      <c r="P149" s="43"/>
      <c r="Q149" s="43"/>
    </row>
    <row r="150" spans="3:17" x14ac:dyDescent="0.25">
      <c r="C150" s="61"/>
      <c r="D150" s="61"/>
      <c r="E150" s="61"/>
      <c r="F150" s="61"/>
      <c r="G150" s="62"/>
      <c r="H150" s="62"/>
      <c r="I150" s="62"/>
      <c r="J150" s="62"/>
      <c r="M150" s="61"/>
      <c r="N150" s="61"/>
      <c r="O150" s="43"/>
      <c r="P150" s="43"/>
      <c r="Q150" s="43"/>
    </row>
    <row r="151" spans="3:17" x14ac:dyDescent="0.25">
      <c r="C151" s="61"/>
      <c r="D151" s="61"/>
      <c r="E151" s="61"/>
      <c r="F151" s="61"/>
      <c r="G151" s="62"/>
      <c r="H151" s="62"/>
      <c r="I151" s="62"/>
      <c r="J151" s="62"/>
      <c r="M151" s="61"/>
      <c r="N151" s="61"/>
      <c r="O151" s="43"/>
      <c r="P151" s="43"/>
      <c r="Q151" s="43"/>
    </row>
    <row r="152" spans="3:17" x14ac:dyDescent="0.25">
      <c r="C152" s="61"/>
      <c r="D152" s="61"/>
      <c r="E152" s="61"/>
      <c r="F152" s="61"/>
      <c r="G152" s="62"/>
      <c r="H152" s="62"/>
      <c r="I152" s="62"/>
      <c r="J152" s="62"/>
      <c r="M152" s="61"/>
      <c r="N152" s="61"/>
      <c r="O152" s="43"/>
      <c r="P152" s="43"/>
      <c r="Q152" s="43"/>
    </row>
    <row r="153" spans="3:17" x14ac:dyDescent="0.25">
      <c r="C153" s="61"/>
      <c r="D153" s="61"/>
      <c r="E153" s="61"/>
      <c r="F153" s="61"/>
      <c r="G153" s="62"/>
      <c r="H153" s="62"/>
      <c r="I153" s="62"/>
      <c r="J153" s="62"/>
      <c r="M153" s="61"/>
      <c r="N153" s="61"/>
      <c r="O153" s="43"/>
      <c r="P153" s="43"/>
      <c r="Q153" s="43"/>
    </row>
    <row r="154" spans="3:17" x14ac:dyDescent="0.25">
      <c r="C154" s="61"/>
      <c r="D154" s="61"/>
      <c r="E154" s="61"/>
      <c r="F154" s="61"/>
      <c r="G154" s="62"/>
      <c r="H154" s="62"/>
      <c r="I154" s="62"/>
      <c r="J154" s="62"/>
      <c r="M154" s="61"/>
      <c r="N154" s="61"/>
      <c r="O154" s="43"/>
      <c r="P154" s="43"/>
      <c r="Q154" s="43"/>
    </row>
    <row r="155" spans="3:17" x14ac:dyDescent="0.25">
      <c r="C155" s="61"/>
      <c r="D155" s="61"/>
      <c r="E155" s="61"/>
      <c r="F155" s="61"/>
      <c r="G155" s="62"/>
      <c r="H155" s="62"/>
      <c r="I155" s="62"/>
      <c r="J155" s="62"/>
      <c r="M155" s="61"/>
      <c r="N155" s="61"/>
      <c r="O155" s="43"/>
      <c r="P155" s="43"/>
      <c r="Q155" s="43"/>
    </row>
    <row r="156" spans="3:17" x14ac:dyDescent="0.25">
      <c r="C156" s="61"/>
      <c r="D156" s="61"/>
      <c r="E156" s="61"/>
      <c r="F156" s="61"/>
      <c r="G156" s="62"/>
      <c r="H156" s="62"/>
      <c r="I156" s="62"/>
      <c r="J156" s="62"/>
      <c r="M156" s="61"/>
      <c r="N156" s="61"/>
      <c r="O156" s="43"/>
      <c r="P156" s="43"/>
      <c r="Q156" s="43"/>
    </row>
    <row r="157" spans="3:17" x14ac:dyDescent="0.25">
      <c r="C157" s="61"/>
      <c r="D157" s="61"/>
      <c r="E157" s="61"/>
      <c r="F157" s="61"/>
      <c r="G157" s="62"/>
      <c r="H157" s="62"/>
      <c r="I157" s="62"/>
      <c r="J157" s="62"/>
      <c r="M157" s="61"/>
      <c r="N157" s="61"/>
      <c r="O157" s="43"/>
      <c r="P157" s="43"/>
      <c r="Q157" s="43"/>
    </row>
    <row r="158" spans="3:17" x14ac:dyDescent="0.25">
      <c r="C158" s="61"/>
      <c r="D158" s="61"/>
      <c r="E158" s="61"/>
      <c r="F158" s="61"/>
      <c r="G158" s="62"/>
      <c r="H158" s="62"/>
      <c r="I158" s="62"/>
      <c r="J158" s="62"/>
      <c r="M158" s="61"/>
      <c r="N158" s="61"/>
      <c r="O158" s="43"/>
      <c r="P158" s="43"/>
      <c r="Q158" s="43"/>
    </row>
    <row r="159" spans="3:17" x14ac:dyDescent="0.25">
      <c r="C159" s="61"/>
      <c r="D159" s="61"/>
      <c r="E159" s="61"/>
      <c r="F159" s="61"/>
      <c r="G159" s="62"/>
      <c r="H159" s="62"/>
      <c r="I159" s="62"/>
      <c r="J159" s="62"/>
      <c r="M159" s="61"/>
      <c r="N159" s="61"/>
      <c r="O159" s="43"/>
      <c r="P159" s="43"/>
      <c r="Q159" s="43"/>
    </row>
    <row r="160" spans="3:17" x14ac:dyDescent="0.25">
      <c r="C160" s="61"/>
      <c r="D160" s="61"/>
      <c r="E160" s="61"/>
      <c r="F160" s="61"/>
      <c r="G160" s="62"/>
      <c r="H160" s="62"/>
      <c r="I160" s="62"/>
      <c r="J160" s="62"/>
      <c r="M160" s="61"/>
      <c r="N160" s="61"/>
      <c r="O160" s="43"/>
      <c r="P160" s="43"/>
      <c r="Q160" s="43"/>
    </row>
    <row r="161" spans="3:17" x14ac:dyDescent="0.25">
      <c r="C161" s="61"/>
      <c r="D161" s="61"/>
      <c r="E161" s="61"/>
      <c r="F161" s="61"/>
      <c r="G161" s="62"/>
      <c r="H161" s="62"/>
      <c r="I161" s="62"/>
      <c r="J161" s="62"/>
      <c r="M161" s="61"/>
      <c r="N161" s="61"/>
      <c r="O161" s="43"/>
      <c r="P161" s="43"/>
      <c r="Q161" s="43"/>
    </row>
    <row r="162" spans="3:17" x14ac:dyDescent="0.25">
      <c r="C162" s="61"/>
      <c r="D162" s="61"/>
      <c r="E162" s="61"/>
      <c r="F162" s="61"/>
      <c r="G162" s="62"/>
      <c r="H162" s="62"/>
      <c r="I162" s="62"/>
      <c r="J162" s="62"/>
      <c r="M162" s="61"/>
      <c r="N162" s="61"/>
      <c r="O162" s="43"/>
      <c r="P162" s="43"/>
      <c r="Q162" s="43"/>
    </row>
    <row r="163" spans="3:17" x14ac:dyDescent="0.25">
      <c r="C163" s="61"/>
      <c r="D163" s="61"/>
      <c r="E163" s="61"/>
      <c r="F163" s="61"/>
      <c r="G163" s="62"/>
      <c r="H163" s="62"/>
      <c r="I163" s="62"/>
      <c r="J163" s="62"/>
      <c r="M163" s="61"/>
      <c r="N163" s="61"/>
      <c r="O163" s="43"/>
      <c r="P163" s="43"/>
      <c r="Q163" s="43"/>
    </row>
    <row r="164" spans="3:17" x14ac:dyDescent="0.25">
      <c r="C164" s="61"/>
      <c r="D164" s="61"/>
      <c r="E164" s="61"/>
      <c r="F164" s="61"/>
      <c r="G164" s="62"/>
      <c r="H164" s="62"/>
      <c r="I164" s="62"/>
      <c r="J164" s="62"/>
      <c r="M164" s="61"/>
      <c r="N164" s="61"/>
      <c r="O164" s="43"/>
      <c r="P164" s="43"/>
      <c r="Q164" s="43"/>
    </row>
    <row r="165" spans="3:17" x14ac:dyDescent="0.25">
      <c r="C165" s="61"/>
      <c r="D165" s="61"/>
      <c r="E165" s="61"/>
      <c r="F165" s="61"/>
      <c r="G165" s="62"/>
      <c r="H165" s="62"/>
      <c r="I165" s="62"/>
      <c r="J165" s="62"/>
      <c r="M165" s="61"/>
      <c r="N165" s="61"/>
      <c r="O165" s="43"/>
      <c r="P165" s="43"/>
      <c r="Q165" s="43"/>
    </row>
    <row r="166" spans="3:17" x14ac:dyDescent="0.25">
      <c r="C166" s="61"/>
      <c r="D166" s="61"/>
      <c r="E166" s="61"/>
      <c r="F166" s="61"/>
      <c r="G166" s="62"/>
      <c r="H166" s="62"/>
      <c r="I166" s="62"/>
      <c r="J166" s="62"/>
      <c r="M166" s="61"/>
      <c r="N166" s="61"/>
      <c r="O166" s="43"/>
      <c r="P166" s="43"/>
      <c r="Q166" s="43"/>
    </row>
    <row r="167" spans="3:17" x14ac:dyDescent="0.25">
      <c r="C167" s="61"/>
      <c r="D167" s="61"/>
      <c r="E167" s="61"/>
      <c r="F167" s="61"/>
      <c r="G167" s="62"/>
      <c r="H167" s="62"/>
      <c r="I167" s="62"/>
      <c r="J167" s="62"/>
      <c r="M167" s="61"/>
      <c r="N167" s="61"/>
      <c r="O167" s="43"/>
      <c r="P167" s="43"/>
      <c r="Q167" s="43"/>
    </row>
    <row r="168" spans="3:17" x14ac:dyDescent="0.25">
      <c r="C168" s="61"/>
      <c r="D168" s="61"/>
      <c r="E168" s="61"/>
      <c r="F168" s="61"/>
      <c r="G168" s="62"/>
      <c r="H168" s="62"/>
      <c r="I168" s="62"/>
      <c r="J168" s="62"/>
      <c r="M168" s="61"/>
      <c r="N168" s="61"/>
      <c r="O168" s="43"/>
      <c r="P168" s="43"/>
      <c r="Q168" s="43"/>
    </row>
    <row r="169" spans="3:17" x14ac:dyDescent="0.25">
      <c r="C169" s="61"/>
      <c r="D169" s="61"/>
      <c r="E169" s="61"/>
      <c r="F169" s="61"/>
      <c r="G169" s="62"/>
      <c r="H169" s="62"/>
      <c r="I169" s="62"/>
      <c r="J169" s="62"/>
      <c r="M169" s="61"/>
      <c r="N169" s="61"/>
      <c r="O169" s="43"/>
      <c r="P169" s="43"/>
      <c r="Q169" s="43"/>
    </row>
    <row r="170" spans="3:17" x14ac:dyDescent="0.25">
      <c r="C170" s="61"/>
      <c r="D170" s="61"/>
      <c r="E170" s="61"/>
      <c r="F170" s="61"/>
      <c r="G170" s="62"/>
      <c r="H170" s="62"/>
      <c r="I170" s="62"/>
      <c r="J170" s="62"/>
      <c r="M170" s="61"/>
      <c r="N170" s="61"/>
      <c r="O170" s="43"/>
      <c r="P170" s="43"/>
      <c r="Q170" s="43"/>
    </row>
    <row r="171" spans="3:17" x14ac:dyDescent="0.25">
      <c r="C171" s="61"/>
      <c r="D171" s="61"/>
      <c r="E171" s="61"/>
      <c r="F171" s="61"/>
      <c r="G171" s="62"/>
      <c r="H171" s="62"/>
      <c r="I171" s="62"/>
      <c r="J171" s="62"/>
      <c r="M171" s="61"/>
      <c r="N171" s="61"/>
      <c r="O171" s="43"/>
      <c r="P171" s="43"/>
      <c r="Q171" s="43"/>
    </row>
    <row r="172" spans="3:17" x14ac:dyDescent="0.25">
      <c r="C172" s="61"/>
      <c r="D172" s="61"/>
      <c r="E172" s="61"/>
      <c r="F172" s="61"/>
      <c r="G172" s="62"/>
      <c r="H172" s="62"/>
      <c r="I172" s="62"/>
      <c r="J172" s="62"/>
      <c r="M172" s="61"/>
      <c r="N172" s="61"/>
      <c r="O172" s="43"/>
      <c r="P172" s="43"/>
      <c r="Q172" s="43"/>
    </row>
    <row r="173" spans="3:17" x14ac:dyDescent="0.25">
      <c r="C173" s="61"/>
      <c r="D173" s="61"/>
      <c r="E173" s="61"/>
      <c r="F173" s="61"/>
      <c r="G173" s="62"/>
      <c r="H173" s="62"/>
      <c r="I173" s="62"/>
      <c r="J173" s="62"/>
      <c r="M173" s="61"/>
      <c r="N173" s="61"/>
      <c r="O173" s="43"/>
      <c r="P173" s="43"/>
      <c r="Q173" s="43"/>
    </row>
    <row r="174" spans="3:17" x14ac:dyDescent="0.25">
      <c r="C174" s="61"/>
      <c r="D174" s="61"/>
      <c r="E174" s="61"/>
      <c r="F174" s="61"/>
      <c r="G174" s="62"/>
      <c r="H174" s="62"/>
      <c r="I174" s="62"/>
      <c r="J174" s="62"/>
      <c r="M174" s="61"/>
      <c r="N174" s="61"/>
      <c r="O174" s="43"/>
      <c r="P174" s="43"/>
      <c r="Q174" s="43"/>
    </row>
    <row r="175" spans="3:17" x14ac:dyDescent="0.25">
      <c r="C175" s="61"/>
      <c r="D175" s="61"/>
      <c r="E175" s="61"/>
      <c r="F175" s="61"/>
      <c r="G175" s="62"/>
      <c r="H175" s="62"/>
      <c r="I175" s="62"/>
      <c r="J175" s="62"/>
      <c r="M175" s="61"/>
      <c r="N175" s="61"/>
      <c r="O175" s="43"/>
      <c r="P175" s="43"/>
      <c r="Q175" s="43"/>
    </row>
    <row r="176" spans="3:17" x14ac:dyDescent="0.25">
      <c r="C176" s="61"/>
      <c r="D176" s="61"/>
      <c r="E176" s="61"/>
      <c r="F176" s="61"/>
      <c r="G176" s="62"/>
      <c r="H176" s="62"/>
      <c r="I176" s="62"/>
      <c r="J176" s="62"/>
      <c r="M176" s="61"/>
      <c r="N176" s="61"/>
      <c r="O176" s="43"/>
      <c r="P176" s="43"/>
      <c r="Q176" s="43"/>
    </row>
    <row r="177" spans="3:17" x14ac:dyDescent="0.25">
      <c r="C177" s="61"/>
      <c r="D177" s="61"/>
      <c r="E177" s="61"/>
      <c r="F177" s="61"/>
      <c r="G177" s="62"/>
      <c r="H177" s="62"/>
      <c r="I177" s="62"/>
      <c r="J177" s="62"/>
      <c r="M177" s="61"/>
      <c r="N177" s="61"/>
      <c r="O177" s="43"/>
      <c r="P177" s="43"/>
      <c r="Q177" s="43"/>
    </row>
    <row r="178" spans="3:17" x14ac:dyDescent="0.25">
      <c r="C178" s="61"/>
      <c r="D178" s="61"/>
      <c r="E178" s="61"/>
      <c r="F178" s="61"/>
      <c r="G178" s="62"/>
      <c r="H178" s="62"/>
      <c r="I178" s="62"/>
      <c r="J178" s="62"/>
      <c r="M178" s="61"/>
      <c r="N178" s="61"/>
      <c r="O178" s="43"/>
      <c r="P178" s="43"/>
      <c r="Q178" s="43"/>
    </row>
    <row r="179" spans="3:17" x14ac:dyDescent="0.25">
      <c r="C179" s="61"/>
      <c r="D179" s="61"/>
      <c r="E179" s="61"/>
      <c r="F179" s="61"/>
      <c r="G179" s="62"/>
      <c r="H179" s="62"/>
      <c r="I179" s="62"/>
      <c r="J179" s="62"/>
      <c r="M179" s="61"/>
      <c r="N179" s="61"/>
      <c r="O179" s="43"/>
      <c r="P179" s="43"/>
      <c r="Q179" s="43"/>
    </row>
    <row r="180" spans="3:17" x14ac:dyDescent="0.25">
      <c r="C180" s="61"/>
      <c r="D180" s="61"/>
      <c r="E180" s="61"/>
      <c r="F180" s="61"/>
      <c r="G180" s="62"/>
      <c r="H180" s="62"/>
      <c r="I180" s="62"/>
      <c r="J180" s="62"/>
      <c r="M180" s="61"/>
      <c r="N180" s="61"/>
      <c r="O180" s="43"/>
      <c r="P180" s="43"/>
      <c r="Q180" s="43"/>
    </row>
    <row r="181" spans="3:17" x14ac:dyDescent="0.25">
      <c r="C181" s="61"/>
      <c r="D181" s="61"/>
      <c r="E181" s="61"/>
      <c r="F181" s="61"/>
      <c r="G181" s="62"/>
      <c r="H181" s="62"/>
      <c r="I181" s="62"/>
      <c r="J181" s="62"/>
      <c r="M181" s="61"/>
      <c r="N181" s="61"/>
      <c r="O181" s="43"/>
      <c r="P181" s="43"/>
      <c r="Q181" s="43"/>
    </row>
    <row r="182" spans="3:17" x14ac:dyDescent="0.25">
      <c r="C182" s="61"/>
      <c r="D182" s="61"/>
      <c r="E182" s="61"/>
      <c r="F182" s="61"/>
      <c r="G182" s="62"/>
      <c r="H182" s="62"/>
      <c r="I182" s="62"/>
      <c r="J182" s="62"/>
      <c r="M182" s="61"/>
      <c r="N182" s="61"/>
      <c r="O182" s="43"/>
      <c r="P182" s="43"/>
      <c r="Q182" s="43"/>
    </row>
    <row r="183" spans="3:17" x14ac:dyDescent="0.25">
      <c r="C183" s="61"/>
      <c r="D183" s="61"/>
      <c r="E183" s="61"/>
      <c r="F183" s="61"/>
      <c r="G183" s="62"/>
      <c r="H183" s="62"/>
      <c r="I183" s="62"/>
      <c r="J183" s="62"/>
      <c r="M183" s="61"/>
      <c r="N183" s="61"/>
      <c r="O183" s="43"/>
      <c r="P183" s="43"/>
      <c r="Q183" s="43"/>
    </row>
    <row r="184" spans="3:17" x14ac:dyDescent="0.25">
      <c r="C184" s="61"/>
      <c r="D184" s="61"/>
      <c r="E184" s="61"/>
      <c r="F184" s="61"/>
      <c r="G184" s="62"/>
      <c r="H184" s="62"/>
      <c r="I184" s="62"/>
      <c r="J184" s="62"/>
      <c r="M184" s="61"/>
      <c r="N184" s="61"/>
      <c r="O184" s="43"/>
      <c r="P184" s="43"/>
      <c r="Q184" s="43"/>
    </row>
    <row r="185" spans="3:17" x14ac:dyDescent="0.25">
      <c r="C185" s="61"/>
      <c r="D185" s="61"/>
      <c r="E185" s="61"/>
      <c r="F185" s="61"/>
      <c r="G185" s="62"/>
      <c r="H185" s="62"/>
      <c r="I185" s="62"/>
      <c r="J185" s="62"/>
      <c r="M185" s="61"/>
      <c r="N185" s="61"/>
      <c r="O185" s="43"/>
      <c r="P185" s="43"/>
      <c r="Q185" s="43"/>
    </row>
    <row r="186" spans="3:17" x14ac:dyDescent="0.25">
      <c r="C186" s="61"/>
      <c r="D186" s="61"/>
      <c r="E186" s="61"/>
      <c r="F186" s="61"/>
      <c r="G186" s="62"/>
      <c r="H186" s="62"/>
      <c r="I186" s="62"/>
      <c r="J186" s="62"/>
      <c r="M186" s="61"/>
      <c r="N186" s="61"/>
      <c r="O186" s="43"/>
      <c r="P186" s="43"/>
      <c r="Q186" s="43"/>
    </row>
    <row r="187" spans="3:17" x14ac:dyDescent="0.25">
      <c r="C187" s="61"/>
      <c r="D187" s="61"/>
      <c r="E187" s="61"/>
      <c r="F187" s="61"/>
      <c r="G187" s="62"/>
      <c r="H187" s="62"/>
      <c r="I187" s="62"/>
      <c r="J187" s="62"/>
      <c r="M187" s="61"/>
      <c r="N187" s="61"/>
      <c r="O187" s="43"/>
      <c r="P187" s="43"/>
      <c r="Q187" s="43"/>
    </row>
    <row r="188" spans="3:17" x14ac:dyDescent="0.25">
      <c r="C188" s="61"/>
      <c r="D188" s="61"/>
      <c r="E188" s="61"/>
      <c r="F188" s="61"/>
      <c r="G188" s="62"/>
      <c r="H188" s="62"/>
      <c r="I188" s="62"/>
      <c r="J188" s="62"/>
      <c r="M188" s="61"/>
      <c r="N188" s="61"/>
      <c r="O188" s="43"/>
      <c r="P188" s="43"/>
      <c r="Q188" s="43"/>
    </row>
    <row r="189" spans="3:17" x14ac:dyDescent="0.25">
      <c r="C189" s="61"/>
      <c r="D189" s="61"/>
      <c r="E189" s="61"/>
      <c r="F189" s="61"/>
      <c r="G189" s="62"/>
      <c r="H189" s="62"/>
      <c r="I189" s="62"/>
      <c r="J189" s="62"/>
      <c r="M189" s="61"/>
      <c r="N189" s="61"/>
      <c r="O189" s="43"/>
      <c r="P189" s="43"/>
      <c r="Q189" s="43"/>
    </row>
    <row r="190" spans="3:17" x14ac:dyDescent="0.25">
      <c r="C190" s="61"/>
      <c r="D190" s="61"/>
      <c r="E190" s="61"/>
      <c r="F190" s="61"/>
      <c r="G190" s="62"/>
      <c r="H190" s="62"/>
      <c r="I190" s="62"/>
      <c r="J190" s="62"/>
      <c r="M190" s="61"/>
      <c r="N190" s="61"/>
      <c r="O190" s="43"/>
      <c r="P190" s="43"/>
      <c r="Q190" s="43"/>
    </row>
    <row r="191" spans="3:17" x14ac:dyDescent="0.25">
      <c r="C191" s="61"/>
      <c r="D191" s="61"/>
      <c r="E191" s="61"/>
      <c r="F191" s="61"/>
      <c r="G191" s="62"/>
      <c r="H191" s="62"/>
      <c r="I191" s="62"/>
      <c r="J191" s="62"/>
      <c r="M191" s="61"/>
      <c r="N191" s="61"/>
      <c r="O191" s="43"/>
      <c r="P191" s="43"/>
      <c r="Q191" s="43"/>
    </row>
    <row r="192" spans="3:17" x14ac:dyDescent="0.25">
      <c r="C192" s="61"/>
      <c r="D192" s="61"/>
      <c r="E192" s="61"/>
      <c r="F192" s="61"/>
      <c r="G192" s="62"/>
      <c r="H192" s="62"/>
      <c r="I192" s="62"/>
      <c r="J192" s="62"/>
      <c r="M192" s="61"/>
      <c r="N192" s="61"/>
      <c r="O192" s="43"/>
      <c r="P192" s="43"/>
      <c r="Q192" s="43"/>
    </row>
    <row r="193" spans="3:17" x14ac:dyDescent="0.25">
      <c r="C193" s="61"/>
      <c r="D193" s="61"/>
      <c r="E193" s="61"/>
      <c r="F193" s="61"/>
      <c r="G193" s="62"/>
      <c r="H193" s="62"/>
      <c r="I193" s="62"/>
      <c r="J193" s="62"/>
      <c r="M193" s="61"/>
      <c r="N193" s="61"/>
      <c r="O193" s="43"/>
      <c r="P193" s="43"/>
      <c r="Q193" s="43"/>
    </row>
    <row r="194" spans="3:17" x14ac:dyDescent="0.25">
      <c r="C194" s="61"/>
      <c r="D194" s="61"/>
      <c r="E194" s="61"/>
      <c r="F194" s="61"/>
      <c r="G194" s="62"/>
      <c r="H194" s="62"/>
      <c r="I194" s="62"/>
      <c r="J194" s="62"/>
      <c r="M194" s="61"/>
      <c r="N194" s="61"/>
      <c r="O194" s="43"/>
      <c r="P194" s="43"/>
      <c r="Q194" s="43"/>
    </row>
    <row r="195" spans="3:17" x14ac:dyDescent="0.25">
      <c r="C195" s="61"/>
      <c r="D195" s="61"/>
      <c r="E195" s="61"/>
      <c r="F195" s="61"/>
      <c r="G195" s="62"/>
      <c r="H195" s="62"/>
      <c r="I195" s="62"/>
      <c r="J195" s="62"/>
      <c r="M195" s="61"/>
      <c r="N195" s="61"/>
      <c r="O195" s="43"/>
      <c r="P195" s="43"/>
      <c r="Q195" s="43"/>
    </row>
    <row r="196" spans="3:17" x14ac:dyDescent="0.25">
      <c r="C196" s="61"/>
      <c r="D196" s="61"/>
      <c r="E196" s="61"/>
      <c r="F196" s="61"/>
      <c r="G196" s="62"/>
      <c r="H196" s="62"/>
      <c r="I196" s="62"/>
      <c r="J196" s="62"/>
      <c r="M196" s="61"/>
      <c r="N196" s="61"/>
      <c r="O196" s="43"/>
      <c r="P196" s="43"/>
      <c r="Q196" s="43"/>
    </row>
    <row r="197" spans="3:17" x14ac:dyDescent="0.25">
      <c r="C197" s="61"/>
      <c r="D197" s="61"/>
      <c r="E197" s="61"/>
      <c r="F197" s="61"/>
      <c r="G197" s="62"/>
      <c r="H197" s="62"/>
      <c r="I197" s="62"/>
      <c r="J197" s="62"/>
      <c r="M197" s="61"/>
      <c r="N197" s="61"/>
      <c r="O197" s="43"/>
      <c r="P197" s="43"/>
      <c r="Q197" s="43"/>
    </row>
    <row r="198" spans="3:17" x14ac:dyDescent="0.25">
      <c r="C198" s="61"/>
      <c r="D198" s="61"/>
      <c r="E198" s="61"/>
      <c r="F198" s="61"/>
      <c r="G198" s="62"/>
      <c r="H198" s="62"/>
      <c r="I198" s="62"/>
      <c r="J198" s="62"/>
      <c r="M198" s="61"/>
      <c r="N198" s="61"/>
      <c r="O198" s="43"/>
      <c r="P198" s="43"/>
      <c r="Q198" s="43"/>
    </row>
    <row r="199" spans="3:17" x14ac:dyDescent="0.25">
      <c r="C199" s="61"/>
      <c r="D199" s="61"/>
      <c r="E199" s="61"/>
      <c r="F199" s="61"/>
      <c r="G199" s="62"/>
      <c r="H199" s="62"/>
      <c r="I199" s="62"/>
      <c r="J199" s="62"/>
      <c r="M199" s="61"/>
      <c r="N199" s="61"/>
      <c r="O199" s="43"/>
      <c r="P199" s="43"/>
      <c r="Q199" s="43"/>
    </row>
    <row r="200" spans="3:17" x14ac:dyDescent="0.25">
      <c r="C200" s="61"/>
      <c r="D200" s="61"/>
      <c r="E200" s="61"/>
      <c r="F200" s="61"/>
      <c r="G200" s="62"/>
      <c r="H200" s="62"/>
      <c r="I200" s="62"/>
      <c r="J200" s="62"/>
      <c r="M200" s="61"/>
      <c r="N200" s="61"/>
      <c r="O200" s="43"/>
      <c r="P200" s="43"/>
      <c r="Q200" s="43"/>
    </row>
    <row r="201" spans="3:17" x14ac:dyDescent="0.25">
      <c r="C201" s="61"/>
      <c r="D201" s="61"/>
      <c r="E201" s="61"/>
      <c r="F201" s="61"/>
      <c r="G201" s="62"/>
      <c r="H201" s="62"/>
      <c r="I201" s="62"/>
      <c r="J201" s="62"/>
      <c r="M201" s="61"/>
      <c r="N201" s="61"/>
      <c r="O201" s="43"/>
      <c r="P201" s="43"/>
      <c r="Q201" s="43"/>
    </row>
    <row r="202" spans="3:17" x14ac:dyDescent="0.25">
      <c r="C202" s="61"/>
      <c r="D202" s="61"/>
      <c r="E202" s="61"/>
      <c r="F202" s="61"/>
      <c r="G202" s="62"/>
      <c r="H202" s="62"/>
      <c r="I202" s="62"/>
      <c r="J202" s="62"/>
      <c r="M202" s="61"/>
      <c r="N202" s="61"/>
      <c r="O202" s="43"/>
      <c r="P202" s="43"/>
      <c r="Q202" s="43"/>
    </row>
    <row r="203" spans="3:17" x14ac:dyDescent="0.25">
      <c r="C203" s="61"/>
      <c r="D203" s="61"/>
      <c r="E203" s="61"/>
      <c r="F203" s="61"/>
      <c r="G203" s="62"/>
      <c r="H203" s="62"/>
      <c r="I203" s="62"/>
      <c r="J203" s="62"/>
      <c r="M203" s="61"/>
      <c r="N203" s="61"/>
      <c r="O203" s="43"/>
      <c r="P203" s="43"/>
      <c r="Q203" s="43"/>
    </row>
    <row r="204" spans="3:17" x14ac:dyDescent="0.25">
      <c r="C204" s="61"/>
      <c r="D204" s="61"/>
      <c r="E204" s="61"/>
      <c r="F204" s="61"/>
      <c r="G204" s="62"/>
      <c r="H204" s="62"/>
      <c r="I204" s="62"/>
      <c r="J204" s="62"/>
      <c r="M204" s="61"/>
      <c r="N204" s="61"/>
      <c r="O204" s="43"/>
      <c r="P204" s="43"/>
      <c r="Q204" s="43"/>
    </row>
    <row r="205" spans="3:17" x14ac:dyDescent="0.25">
      <c r="C205" s="61"/>
      <c r="D205" s="61"/>
      <c r="E205" s="61"/>
      <c r="F205" s="61"/>
      <c r="G205" s="62"/>
      <c r="H205" s="62"/>
      <c r="I205" s="62"/>
      <c r="J205" s="62"/>
      <c r="M205" s="61"/>
      <c r="N205" s="61"/>
      <c r="O205" s="43"/>
      <c r="P205" s="43"/>
      <c r="Q205" s="43"/>
    </row>
    <row r="206" spans="3:17" x14ac:dyDescent="0.25">
      <c r="C206" s="61"/>
      <c r="D206" s="61"/>
      <c r="E206" s="61"/>
      <c r="F206" s="61"/>
      <c r="G206" s="62"/>
      <c r="H206" s="62"/>
      <c r="I206" s="62"/>
      <c r="J206" s="62"/>
      <c r="M206" s="61"/>
      <c r="N206" s="61"/>
      <c r="O206" s="43"/>
      <c r="P206" s="43"/>
      <c r="Q206" s="43"/>
    </row>
    <row r="207" spans="3:17" x14ac:dyDescent="0.25">
      <c r="C207" s="61"/>
      <c r="D207" s="61"/>
      <c r="E207" s="61"/>
      <c r="F207" s="61"/>
      <c r="G207" s="62"/>
      <c r="H207" s="62"/>
      <c r="I207" s="62"/>
      <c r="J207" s="62"/>
      <c r="M207" s="61"/>
      <c r="N207" s="61"/>
      <c r="O207" s="43"/>
      <c r="P207" s="43"/>
      <c r="Q207" s="43"/>
    </row>
    <row r="208" spans="3:17" x14ac:dyDescent="0.25">
      <c r="C208" s="61"/>
      <c r="D208" s="61"/>
      <c r="E208" s="61"/>
      <c r="F208" s="61"/>
      <c r="G208" s="62"/>
      <c r="H208" s="62"/>
      <c r="I208" s="62"/>
      <c r="J208" s="62"/>
      <c r="M208" s="61"/>
      <c r="N208" s="61"/>
      <c r="O208" s="43"/>
      <c r="P208" s="43"/>
      <c r="Q208" s="43"/>
    </row>
    <row r="209" spans="3:17" x14ac:dyDescent="0.25">
      <c r="C209" s="61"/>
      <c r="D209" s="61"/>
      <c r="E209" s="61"/>
      <c r="F209" s="61"/>
      <c r="G209" s="62"/>
      <c r="H209" s="62"/>
      <c r="I209" s="62"/>
      <c r="J209" s="62"/>
      <c r="M209" s="61"/>
      <c r="N209" s="61"/>
      <c r="O209" s="43"/>
      <c r="P209" s="43"/>
      <c r="Q209" s="43"/>
    </row>
    <row r="210" spans="3:17" x14ac:dyDescent="0.25">
      <c r="C210" s="61"/>
      <c r="D210" s="61"/>
      <c r="E210" s="61"/>
      <c r="F210" s="61"/>
      <c r="G210" s="62"/>
      <c r="H210" s="62"/>
      <c r="I210" s="62"/>
      <c r="J210" s="62"/>
      <c r="M210" s="61"/>
      <c r="N210" s="61"/>
      <c r="O210" s="43"/>
      <c r="P210" s="43"/>
      <c r="Q210" s="43"/>
    </row>
    <row r="211" spans="3:17" x14ac:dyDescent="0.25">
      <c r="C211" s="61"/>
      <c r="D211" s="61"/>
      <c r="E211" s="61"/>
      <c r="F211" s="61"/>
      <c r="G211" s="62"/>
      <c r="H211" s="62"/>
      <c r="I211" s="62"/>
      <c r="J211" s="62"/>
      <c r="M211" s="61"/>
      <c r="N211" s="61"/>
      <c r="O211" s="43"/>
      <c r="P211" s="43"/>
      <c r="Q211" s="43"/>
    </row>
    <row r="212" spans="3:17" x14ac:dyDescent="0.25">
      <c r="C212" s="61"/>
      <c r="D212" s="61"/>
      <c r="E212" s="61"/>
      <c r="F212" s="61"/>
      <c r="G212" s="62"/>
      <c r="H212" s="62"/>
      <c r="I212" s="62"/>
      <c r="J212" s="62"/>
      <c r="M212" s="61"/>
      <c r="N212" s="61"/>
      <c r="O212" s="43"/>
      <c r="P212" s="43"/>
      <c r="Q212" s="43"/>
    </row>
    <row r="213" spans="3:17" x14ac:dyDescent="0.25">
      <c r="C213" s="61"/>
      <c r="D213" s="61"/>
      <c r="E213" s="61"/>
      <c r="F213" s="61"/>
      <c r="G213" s="62"/>
      <c r="H213" s="62"/>
      <c r="I213" s="62"/>
      <c r="J213" s="62"/>
      <c r="M213" s="61"/>
      <c r="N213" s="61"/>
      <c r="O213" s="43"/>
      <c r="P213" s="43"/>
      <c r="Q213" s="43"/>
    </row>
    <row r="214" spans="3:17" x14ac:dyDescent="0.25">
      <c r="C214" s="61"/>
      <c r="D214" s="61"/>
      <c r="E214" s="61"/>
      <c r="F214" s="61"/>
      <c r="G214" s="62"/>
      <c r="H214" s="62"/>
      <c r="I214" s="62"/>
      <c r="J214" s="62"/>
      <c r="M214" s="61"/>
      <c r="N214" s="61"/>
      <c r="O214" s="43"/>
      <c r="P214" s="43"/>
      <c r="Q214" s="43"/>
    </row>
    <row r="215" spans="3:17" x14ac:dyDescent="0.25">
      <c r="C215" s="61"/>
      <c r="D215" s="61"/>
      <c r="E215" s="61"/>
      <c r="F215" s="61"/>
      <c r="G215" s="62"/>
      <c r="H215" s="62"/>
      <c r="I215" s="62"/>
      <c r="J215" s="62"/>
      <c r="M215" s="61"/>
      <c r="N215" s="61"/>
      <c r="O215" s="43"/>
      <c r="P215" s="43"/>
      <c r="Q215" s="43"/>
    </row>
    <row r="216" spans="3:17" x14ac:dyDescent="0.25">
      <c r="C216" s="61"/>
      <c r="D216" s="61"/>
      <c r="E216" s="61"/>
      <c r="F216" s="61"/>
      <c r="G216" s="62"/>
      <c r="H216" s="62"/>
      <c r="I216" s="62"/>
      <c r="J216" s="62"/>
      <c r="M216" s="61"/>
      <c r="N216" s="61"/>
      <c r="O216" s="43"/>
      <c r="P216" s="43"/>
      <c r="Q216" s="43"/>
    </row>
    <row r="217" spans="3:17" x14ac:dyDescent="0.25">
      <c r="C217" s="61"/>
      <c r="D217" s="61"/>
      <c r="E217" s="61"/>
      <c r="F217" s="61"/>
      <c r="G217" s="62"/>
      <c r="H217" s="62"/>
      <c r="I217" s="62"/>
      <c r="J217" s="62"/>
      <c r="M217" s="61"/>
      <c r="N217" s="61"/>
      <c r="O217" s="43"/>
      <c r="P217" s="43"/>
      <c r="Q217" s="43"/>
    </row>
    <row r="218" spans="3:17" x14ac:dyDescent="0.25">
      <c r="C218" s="61"/>
      <c r="D218" s="61"/>
      <c r="E218" s="61"/>
      <c r="F218" s="61"/>
      <c r="G218" s="62"/>
      <c r="H218" s="62"/>
      <c r="I218" s="62"/>
      <c r="J218" s="62"/>
      <c r="M218" s="61"/>
      <c r="N218" s="61"/>
      <c r="O218" s="43"/>
      <c r="P218" s="43"/>
      <c r="Q218" s="43"/>
    </row>
    <row r="219" spans="3:17" x14ac:dyDescent="0.25">
      <c r="C219" s="61"/>
      <c r="D219" s="61"/>
      <c r="E219" s="61"/>
      <c r="F219" s="61"/>
      <c r="G219" s="62"/>
      <c r="H219" s="62"/>
      <c r="I219" s="62"/>
      <c r="J219" s="62"/>
      <c r="M219" s="61"/>
      <c r="N219" s="61"/>
      <c r="O219" s="43"/>
      <c r="P219" s="43"/>
      <c r="Q219" s="43"/>
    </row>
    <row r="220" spans="3:17" x14ac:dyDescent="0.25">
      <c r="C220" s="61"/>
      <c r="D220" s="61"/>
      <c r="E220" s="61"/>
      <c r="F220" s="61"/>
      <c r="G220" s="62"/>
      <c r="H220" s="62"/>
      <c r="I220" s="62"/>
      <c r="J220" s="62"/>
      <c r="M220" s="61"/>
      <c r="N220" s="61"/>
      <c r="O220" s="43"/>
      <c r="P220" s="43"/>
      <c r="Q220" s="43"/>
    </row>
    <row r="221" spans="3:17" x14ac:dyDescent="0.25">
      <c r="C221" s="61"/>
      <c r="D221" s="61"/>
      <c r="E221" s="61"/>
      <c r="F221" s="61"/>
      <c r="G221" s="62"/>
      <c r="H221" s="62"/>
      <c r="I221" s="62"/>
      <c r="J221" s="62"/>
      <c r="M221" s="61"/>
      <c r="N221" s="61"/>
      <c r="O221" s="43"/>
      <c r="P221" s="43"/>
      <c r="Q221" s="43"/>
    </row>
    <row r="222" spans="3:17" x14ac:dyDescent="0.25">
      <c r="C222" s="61"/>
      <c r="D222" s="61"/>
      <c r="E222" s="61"/>
      <c r="F222" s="61"/>
      <c r="G222" s="62"/>
      <c r="H222" s="62"/>
      <c r="I222" s="62"/>
      <c r="J222" s="62"/>
      <c r="M222" s="61"/>
      <c r="N222" s="61"/>
      <c r="O222" s="43"/>
      <c r="P222" s="43"/>
      <c r="Q222" s="43"/>
    </row>
    <row r="223" spans="3:17" x14ac:dyDescent="0.25">
      <c r="C223" s="61"/>
      <c r="D223" s="61"/>
      <c r="E223" s="61"/>
      <c r="F223" s="61"/>
      <c r="G223" s="62"/>
      <c r="H223" s="62"/>
      <c r="I223" s="62"/>
      <c r="J223" s="62"/>
      <c r="M223" s="61"/>
      <c r="N223" s="61"/>
      <c r="O223" s="43"/>
      <c r="P223" s="43"/>
      <c r="Q223" s="43"/>
    </row>
    <row r="224" spans="3:17" x14ac:dyDescent="0.25">
      <c r="C224" s="61"/>
      <c r="D224" s="61"/>
      <c r="E224" s="61"/>
      <c r="F224" s="61"/>
      <c r="G224" s="62"/>
      <c r="H224" s="62"/>
      <c r="I224" s="62"/>
      <c r="J224" s="62"/>
      <c r="M224" s="61"/>
      <c r="N224" s="61"/>
      <c r="O224" s="43"/>
      <c r="P224" s="43"/>
      <c r="Q224" s="43"/>
    </row>
    <row r="225" spans="3:17" x14ac:dyDescent="0.25">
      <c r="C225" s="61"/>
      <c r="D225" s="61"/>
      <c r="E225" s="61"/>
      <c r="F225" s="61"/>
      <c r="G225" s="62"/>
      <c r="H225" s="62"/>
      <c r="I225" s="62"/>
      <c r="J225" s="62"/>
      <c r="M225" s="61"/>
      <c r="N225" s="61"/>
      <c r="O225" s="43"/>
      <c r="P225" s="43"/>
      <c r="Q225" s="43"/>
    </row>
    <row r="226" spans="3:17" x14ac:dyDescent="0.25">
      <c r="C226" s="61"/>
      <c r="D226" s="61"/>
      <c r="E226" s="61"/>
      <c r="F226" s="61"/>
      <c r="G226" s="62"/>
      <c r="H226" s="62"/>
      <c r="I226" s="62"/>
      <c r="J226" s="62"/>
      <c r="M226" s="61"/>
      <c r="N226" s="61"/>
      <c r="O226" s="43"/>
      <c r="P226" s="43"/>
      <c r="Q226" s="43"/>
    </row>
    <row r="227" spans="3:17" x14ac:dyDescent="0.25">
      <c r="C227" s="61"/>
      <c r="D227" s="61"/>
      <c r="E227" s="61"/>
      <c r="F227" s="61"/>
      <c r="G227" s="62"/>
      <c r="H227" s="62"/>
      <c r="I227" s="62"/>
      <c r="J227" s="62"/>
      <c r="M227" s="61"/>
      <c r="N227" s="61"/>
      <c r="O227" s="43"/>
      <c r="P227" s="43"/>
      <c r="Q227" s="43"/>
    </row>
    <row r="228" spans="3:17" x14ac:dyDescent="0.25">
      <c r="C228" s="61"/>
      <c r="D228" s="61"/>
      <c r="E228" s="61"/>
      <c r="F228" s="61"/>
      <c r="G228" s="62"/>
      <c r="H228" s="62"/>
      <c r="I228" s="62"/>
      <c r="J228" s="62"/>
      <c r="M228" s="61"/>
      <c r="N228" s="61"/>
      <c r="O228" s="43"/>
      <c r="P228" s="43"/>
      <c r="Q228" s="43"/>
    </row>
    <row r="229" spans="3:17" x14ac:dyDescent="0.25">
      <c r="C229" s="61"/>
      <c r="D229" s="61"/>
      <c r="E229" s="61"/>
      <c r="F229" s="61"/>
      <c r="G229" s="62"/>
      <c r="H229" s="62"/>
      <c r="I229" s="62"/>
      <c r="J229" s="62"/>
      <c r="M229" s="61"/>
      <c r="N229" s="61"/>
      <c r="O229" s="43"/>
      <c r="P229" s="43"/>
      <c r="Q229" s="43"/>
    </row>
    <row r="230" spans="3:17" x14ac:dyDescent="0.25">
      <c r="C230" s="61"/>
      <c r="D230" s="61"/>
      <c r="E230" s="61"/>
      <c r="F230" s="61"/>
      <c r="G230" s="62"/>
      <c r="H230" s="62"/>
      <c r="I230" s="62"/>
      <c r="J230" s="62"/>
      <c r="M230" s="61"/>
      <c r="N230" s="61"/>
      <c r="O230" s="43"/>
      <c r="P230" s="43"/>
      <c r="Q230" s="43"/>
    </row>
    <row r="231" spans="3:17" x14ac:dyDescent="0.25">
      <c r="C231" s="61"/>
      <c r="D231" s="61"/>
      <c r="E231" s="61"/>
      <c r="F231" s="61"/>
      <c r="G231" s="62"/>
      <c r="H231" s="62"/>
      <c r="I231" s="62"/>
      <c r="J231" s="62"/>
      <c r="M231" s="61"/>
      <c r="N231" s="61"/>
      <c r="O231" s="43"/>
      <c r="P231" s="43"/>
      <c r="Q231" s="43"/>
    </row>
    <row r="232" spans="3:17" x14ac:dyDescent="0.25">
      <c r="C232" s="61"/>
      <c r="D232" s="61"/>
      <c r="E232" s="61"/>
      <c r="F232" s="61"/>
      <c r="G232" s="62"/>
      <c r="H232" s="62"/>
      <c r="I232" s="62"/>
      <c r="J232" s="62"/>
      <c r="M232" s="61"/>
      <c r="N232" s="61"/>
      <c r="O232" s="43"/>
      <c r="P232" s="43"/>
      <c r="Q232" s="43"/>
    </row>
    <row r="233" spans="3:17" x14ac:dyDescent="0.25">
      <c r="C233" s="61"/>
      <c r="D233" s="61"/>
      <c r="E233" s="61"/>
      <c r="F233" s="61"/>
      <c r="G233" s="62"/>
      <c r="H233" s="62"/>
      <c r="I233" s="62"/>
      <c r="J233" s="62"/>
      <c r="M233" s="61"/>
      <c r="N233" s="61"/>
      <c r="O233" s="43"/>
      <c r="P233" s="43"/>
      <c r="Q233" s="43"/>
    </row>
    <row r="234" spans="3:17" x14ac:dyDescent="0.25">
      <c r="C234" s="61"/>
      <c r="D234" s="61"/>
      <c r="E234" s="61"/>
      <c r="F234" s="61"/>
      <c r="G234" s="62"/>
      <c r="H234" s="62"/>
      <c r="I234" s="62"/>
      <c r="J234" s="62"/>
      <c r="M234" s="61"/>
      <c r="N234" s="61"/>
      <c r="O234" s="43"/>
      <c r="P234" s="43"/>
      <c r="Q234" s="43"/>
    </row>
    <row r="235" spans="3:17" x14ac:dyDescent="0.25">
      <c r="C235" s="61"/>
      <c r="D235" s="61"/>
      <c r="E235" s="61"/>
      <c r="F235" s="61"/>
      <c r="G235" s="62"/>
      <c r="H235" s="62"/>
      <c r="I235" s="62"/>
      <c r="J235" s="62"/>
      <c r="M235" s="61"/>
      <c r="N235" s="61"/>
      <c r="O235" s="43"/>
      <c r="P235" s="43"/>
      <c r="Q235" s="43"/>
    </row>
    <row r="236" spans="3:17" x14ac:dyDescent="0.25">
      <c r="C236" s="61"/>
      <c r="D236" s="61"/>
      <c r="E236" s="61"/>
      <c r="F236" s="61"/>
      <c r="G236" s="62"/>
      <c r="H236" s="62"/>
      <c r="I236" s="62"/>
      <c r="J236" s="62"/>
      <c r="M236" s="61"/>
      <c r="N236" s="61"/>
      <c r="O236" s="43"/>
      <c r="P236" s="43"/>
      <c r="Q236" s="43"/>
    </row>
    <row r="237" spans="3:17" x14ac:dyDescent="0.25">
      <c r="C237" s="61"/>
      <c r="D237" s="61"/>
      <c r="E237" s="61"/>
      <c r="F237" s="61"/>
      <c r="G237" s="62"/>
      <c r="H237" s="62"/>
      <c r="I237" s="62"/>
      <c r="J237" s="62"/>
      <c r="M237" s="61"/>
      <c r="N237" s="61"/>
      <c r="O237" s="43"/>
      <c r="P237" s="43"/>
      <c r="Q237" s="43"/>
    </row>
    <row r="238" spans="3:17" x14ac:dyDescent="0.25">
      <c r="C238" s="61"/>
      <c r="D238" s="61"/>
      <c r="E238" s="61"/>
      <c r="F238" s="61"/>
      <c r="G238" s="62"/>
      <c r="H238" s="62"/>
      <c r="I238" s="62"/>
      <c r="J238" s="62"/>
      <c r="M238" s="61"/>
      <c r="N238" s="61"/>
      <c r="O238" s="43"/>
      <c r="P238" s="43"/>
      <c r="Q238" s="43"/>
    </row>
    <row r="239" spans="3:17" x14ac:dyDescent="0.25">
      <c r="C239" s="61"/>
      <c r="D239" s="61"/>
      <c r="E239" s="61"/>
      <c r="F239" s="61"/>
      <c r="G239" s="62"/>
      <c r="H239" s="62"/>
      <c r="I239" s="62"/>
      <c r="J239" s="62"/>
      <c r="M239" s="61"/>
      <c r="N239" s="61"/>
      <c r="O239" s="43"/>
      <c r="P239" s="43"/>
      <c r="Q239" s="43"/>
    </row>
    <row r="240" spans="3:17" x14ac:dyDescent="0.25">
      <c r="C240" s="61"/>
      <c r="D240" s="61"/>
      <c r="E240" s="61"/>
      <c r="F240" s="61"/>
      <c r="G240" s="62"/>
      <c r="H240" s="62"/>
      <c r="I240" s="62"/>
      <c r="J240" s="62"/>
      <c r="M240" s="61"/>
      <c r="N240" s="61"/>
      <c r="O240" s="43"/>
      <c r="P240" s="43"/>
      <c r="Q240" s="43"/>
    </row>
    <row r="241" spans="3:17" x14ac:dyDescent="0.25">
      <c r="C241" s="61"/>
      <c r="D241" s="61"/>
      <c r="E241" s="61"/>
      <c r="F241" s="61"/>
      <c r="G241" s="62"/>
      <c r="H241" s="62"/>
      <c r="I241" s="62"/>
      <c r="J241" s="62"/>
      <c r="M241" s="61"/>
      <c r="N241" s="61"/>
      <c r="O241" s="43"/>
      <c r="P241" s="43"/>
      <c r="Q241" s="43"/>
    </row>
    <row r="242" spans="3:17" x14ac:dyDescent="0.25">
      <c r="C242" s="61"/>
      <c r="D242" s="61"/>
      <c r="E242" s="61"/>
      <c r="F242" s="61"/>
      <c r="G242" s="62"/>
      <c r="H242" s="62"/>
      <c r="I242" s="62"/>
      <c r="J242" s="62"/>
      <c r="M242" s="61"/>
      <c r="N242" s="61"/>
      <c r="O242" s="43"/>
      <c r="P242" s="43"/>
      <c r="Q242" s="43"/>
    </row>
    <row r="243" spans="3:17" x14ac:dyDescent="0.25">
      <c r="C243" s="61"/>
      <c r="D243" s="61"/>
      <c r="E243" s="61"/>
      <c r="F243" s="61"/>
      <c r="G243" s="62"/>
      <c r="H243" s="62"/>
      <c r="I243" s="62"/>
      <c r="J243" s="62"/>
      <c r="M243" s="61"/>
      <c r="N243" s="61"/>
      <c r="O243" s="43"/>
      <c r="P243" s="43"/>
      <c r="Q243" s="43"/>
    </row>
    <row r="244" spans="3:17" x14ac:dyDescent="0.25">
      <c r="C244" s="61"/>
      <c r="D244" s="61"/>
      <c r="E244" s="61"/>
      <c r="F244" s="61"/>
      <c r="G244" s="62"/>
      <c r="H244" s="62"/>
      <c r="I244" s="62"/>
      <c r="J244" s="62"/>
      <c r="M244" s="61"/>
      <c r="N244" s="61"/>
      <c r="O244" s="43"/>
      <c r="P244" s="43"/>
      <c r="Q244" s="43"/>
    </row>
    <row r="245" spans="3:17" x14ac:dyDescent="0.25">
      <c r="C245" s="61"/>
      <c r="D245" s="61"/>
      <c r="E245" s="61"/>
      <c r="F245" s="61"/>
      <c r="G245" s="62"/>
      <c r="H245" s="62"/>
      <c r="I245" s="62"/>
      <c r="J245" s="62"/>
      <c r="M245" s="61"/>
      <c r="N245" s="61"/>
      <c r="O245" s="43"/>
      <c r="P245" s="43"/>
      <c r="Q245" s="43"/>
    </row>
    <row r="246" spans="3:17" x14ac:dyDescent="0.25">
      <c r="C246" s="61"/>
      <c r="D246" s="61"/>
      <c r="E246" s="61"/>
      <c r="F246" s="61"/>
      <c r="G246" s="62"/>
      <c r="H246" s="62"/>
      <c r="I246" s="62"/>
      <c r="J246" s="62"/>
      <c r="M246" s="61"/>
      <c r="N246" s="61"/>
      <c r="O246" s="43"/>
      <c r="P246" s="43"/>
      <c r="Q246" s="43"/>
    </row>
    <row r="247" spans="3:17" x14ac:dyDescent="0.25">
      <c r="C247" s="61"/>
      <c r="D247" s="61"/>
      <c r="E247" s="61"/>
      <c r="F247" s="61"/>
      <c r="G247" s="62"/>
      <c r="H247" s="62"/>
      <c r="I247" s="62"/>
      <c r="J247" s="62"/>
      <c r="M247" s="61"/>
      <c r="N247" s="61"/>
      <c r="O247" s="43"/>
      <c r="P247" s="43"/>
      <c r="Q247" s="43"/>
    </row>
    <row r="248" spans="3:17" x14ac:dyDescent="0.25">
      <c r="C248" s="61"/>
      <c r="D248" s="61"/>
      <c r="E248" s="61"/>
      <c r="F248" s="61"/>
      <c r="G248" s="62"/>
      <c r="H248" s="62"/>
      <c r="I248" s="62"/>
      <c r="J248" s="62"/>
      <c r="M248" s="61"/>
      <c r="N248" s="61"/>
      <c r="O248" s="43"/>
      <c r="P248" s="43"/>
      <c r="Q248" s="43"/>
    </row>
    <row r="249" spans="3:17" x14ac:dyDescent="0.25">
      <c r="C249" s="61"/>
      <c r="D249" s="61"/>
      <c r="E249" s="61"/>
      <c r="F249" s="61"/>
      <c r="G249" s="62"/>
      <c r="H249" s="62"/>
      <c r="I249" s="62"/>
      <c r="J249" s="62"/>
      <c r="M249" s="61"/>
      <c r="N249" s="61"/>
      <c r="O249" s="43"/>
      <c r="P249" s="43"/>
      <c r="Q249" s="43"/>
    </row>
    <row r="250" spans="3:17" x14ac:dyDescent="0.25">
      <c r="C250" s="61"/>
      <c r="D250" s="61"/>
      <c r="E250" s="61"/>
      <c r="F250" s="61"/>
      <c r="G250" s="62"/>
      <c r="H250" s="62"/>
      <c r="I250" s="62"/>
      <c r="J250" s="62"/>
      <c r="M250" s="61"/>
      <c r="N250" s="61"/>
      <c r="O250" s="43"/>
      <c r="P250" s="43"/>
      <c r="Q250" s="43"/>
    </row>
    <row r="251" spans="3:17" x14ac:dyDescent="0.25">
      <c r="C251" s="61"/>
      <c r="D251" s="61"/>
      <c r="E251" s="61"/>
      <c r="F251" s="61"/>
      <c r="G251" s="62"/>
      <c r="H251" s="62"/>
      <c r="I251" s="62"/>
      <c r="J251" s="62"/>
      <c r="M251" s="61"/>
      <c r="N251" s="61"/>
      <c r="O251" s="43"/>
      <c r="P251" s="43"/>
      <c r="Q251" s="43"/>
    </row>
    <row r="252" spans="3:17" x14ac:dyDescent="0.25">
      <c r="C252" s="61"/>
      <c r="D252" s="61"/>
      <c r="E252" s="61"/>
      <c r="F252" s="61"/>
      <c r="G252" s="62"/>
      <c r="H252" s="62"/>
      <c r="I252" s="62"/>
      <c r="J252" s="62"/>
      <c r="M252" s="61"/>
      <c r="N252" s="61"/>
      <c r="O252" s="43"/>
      <c r="P252" s="43"/>
      <c r="Q252" s="43"/>
    </row>
    <row r="253" spans="3:17" x14ac:dyDescent="0.25">
      <c r="C253" s="61"/>
      <c r="D253" s="61"/>
      <c r="E253" s="61"/>
      <c r="F253" s="61"/>
      <c r="G253" s="62"/>
      <c r="H253" s="62"/>
      <c r="I253" s="62"/>
      <c r="J253" s="62"/>
      <c r="M253" s="61"/>
      <c r="N253" s="61"/>
      <c r="O253" s="43"/>
      <c r="P253" s="43"/>
      <c r="Q253" s="43"/>
    </row>
    <row r="254" spans="3:17" x14ac:dyDescent="0.25">
      <c r="C254" s="61"/>
      <c r="D254" s="61"/>
      <c r="E254" s="61"/>
      <c r="F254" s="61"/>
      <c r="G254" s="62"/>
      <c r="H254" s="62"/>
      <c r="I254" s="62"/>
      <c r="J254" s="62"/>
      <c r="M254" s="61"/>
      <c r="N254" s="61"/>
      <c r="O254" s="43"/>
      <c r="P254" s="43"/>
      <c r="Q254" s="43"/>
    </row>
    <row r="255" spans="3:17" x14ac:dyDescent="0.25">
      <c r="C255" s="61"/>
      <c r="D255" s="61"/>
      <c r="E255" s="61"/>
      <c r="F255" s="61"/>
      <c r="G255" s="62"/>
      <c r="H255" s="62"/>
      <c r="I255" s="62"/>
      <c r="J255" s="62"/>
      <c r="M255" s="61"/>
      <c r="N255" s="61"/>
      <c r="O255" s="43"/>
      <c r="P255" s="43"/>
      <c r="Q255" s="43"/>
    </row>
    <row r="256" spans="3:17" x14ac:dyDescent="0.25">
      <c r="C256" s="61"/>
      <c r="D256" s="61"/>
      <c r="E256" s="61"/>
      <c r="F256" s="61"/>
      <c r="G256" s="62"/>
      <c r="H256" s="62"/>
      <c r="I256" s="62"/>
      <c r="J256" s="62"/>
      <c r="M256" s="61"/>
      <c r="N256" s="61"/>
      <c r="O256" s="43"/>
      <c r="P256" s="43"/>
      <c r="Q256" s="43"/>
    </row>
    <row r="257" spans="3:17" x14ac:dyDescent="0.25">
      <c r="C257" s="61"/>
      <c r="D257" s="61"/>
      <c r="E257" s="61"/>
      <c r="F257" s="61"/>
      <c r="G257" s="62"/>
      <c r="H257" s="62"/>
      <c r="I257" s="62"/>
      <c r="J257" s="62"/>
      <c r="M257" s="61"/>
      <c r="N257" s="61"/>
      <c r="O257" s="43"/>
      <c r="P257" s="43"/>
      <c r="Q257" s="43"/>
    </row>
    <row r="258" spans="3:17" x14ac:dyDescent="0.25">
      <c r="C258" s="61"/>
      <c r="D258" s="61"/>
      <c r="E258" s="61"/>
      <c r="F258" s="61"/>
      <c r="G258" s="62"/>
      <c r="H258" s="62"/>
      <c r="I258" s="62"/>
      <c r="J258" s="62"/>
      <c r="M258" s="61"/>
      <c r="N258" s="61"/>
      <c r="O258" s="43"/>
      <c r="P258" s="43"/>
      <c r="Q258" s="43"/>
    </row>
    <row r="259" spans="3:17" x14ac:dyDescent="0.25">
      <c r="C259" s="61"/>
      <c r="D259" s="61"/>
      <c r="E259" s="61"/>
      <c r="F259" s="61"/>
      <c r="G259" s="62"/>
      <c r="H259" s="62"/>
      <c r="I259" s="62"/>
      <c r="J259" s="62"/>
      <c r="M259" s="61"/>
      <c r="N259" s="61"/>
      <c r="O259" s="43"/>
      <c r="P259" s="43"/>
      <c r="Q259" s="43"/>
    </row>
    <row r="260" spans="3:17" x14ac:dyDescent="0.25">
      <c r="C260" s="61"/>
      <c r="D260" s="61"/>
      <c r="E260" s="61"/>
      <c r="F260" s="61"/>
      <c r="G260" s="62"/>
      <c r="H260" s="62"/>
      <c r="I260" s="62"/>
      <c r="J260" s="62"/>
      <c r="M260" s="61"/>
      <c r="N260" s="61"/>
      <c r="O260" s="43"/>
      <c r="P260" s="43"/>
      <c r="Q260" s="43"/>
    </row>
    <row r="261" spans="3:17" x14ac:dyDescent="0.25">
      <c r="C261" s="61"/>
      <c r="D261" s="61"/>
      <c r="E261" s="61"/>
      <c r="F261" s="61"/>
      <c r="G261" s="62"/>
      <c r="H261" s="62"/>
      <c r="I261" s="62"/>
      <c r="J261" s="62"/>
      <c r="M261" s="61"/>
      <c r="N261" s="61"/>
      <c r="O261" s="43"/>
      <c r="P261" s="43"/>
      <c r="Q261" s="43"/>
    </row>
    <row r="262" spans="3:17" x14ac:dyDescent="0.25">
      <c r="C262" s="61"/>
      <c r="D262" s="61"/>
      <c r="E262" s="61"/>
      <c r="F262" s="61"/>
      <c r="G262" s="62"/>
      <c r="H262" s="62"/>
      <c r="I262" s="62"/>
      <c r="J262" s="62"/>
      <c r="M262" s="61"/>
      <c r="N262" s="61"/>
      <c r="O262" s="43"/>
      <c r="P262" s="43"/>
      <c r="Q262" s="43"/>
    </row>
    <row r="263" spans="3:17" x14ac:dyDescent="0.25">
      <c r="C263" s="61"/>
      <c r="D263" s="61"/>
      <c r="E263" s="61"/>
      <c r="F263" s="61"/>
      <c r="G263" s="62"/>
      <c r="H263" s="62"/>
      <c r="I263" s="62"/>
      <c r="J263" s="62"/>
      <c r="M263" s="61"/>
      <c r="N263" s="61"/>
      <c r="O263" s="43"/>
      <c r="P263" s="43"/>
      <c r="Q263" s="43"/>
    </row>
    <row r="264" spans="3:17" x14ac:dyDescent="0.25">
      <c r="C264" s="61"/>
      <c r="D264" s="61"/>
      <c r="E264" s="61"/>
      <c r="F264" s="61"/>
      <c r="G264" s="62"/>
      <c r="H264" s="62"/>
      <c r="I264" s="62"/>
      <c r="J264" s="62"/>
      <c r="M264" s="61"/>
      <c r="N264" s="61"/>
      <c r="O264" s="43"/>
      <c r="P264" s="43"/>
      <c r="Q264" s="43"/>
    </row>
    <row r="265" spans="3:17" x14ac:dyDescent="0.25">
      <c r="C265" s="61"/>
      <c r="D265" s="61"/>
      <c r="E265" s="61"/>
      <c r="F265" s="61"/>
      <c r="G265" s="62"/>
      <c r="H265" s="62"/>
      <c r="I265" s="62"/>
      <c r="J265" s="62"/>
      <c r="M265" s="61"/>
      <c r="N265" s="61"/>
      <c r="O265" s="43"/>
      <c r="P265" s="43"/>
      <c r="Q265" s="43"/>
    </row>
    <row r="266" spans="3:17" x14ac:dyDescent="0.25">
      <c r="C266" s="61"/>
      <c r="D266" s="61"/>
      <c r="E266" s="61"/>
      <c r="F266" s="61"/>
      <c r="G266" s="62"/>
      <c r="H266" s="62"/>
      <c r="I266" s="62"/>
      <c r="J266" s="62"/>
      <c r="M266" s="61"/>
      <c r="N266" s="61"/>
      <c r="O266" s="43"/>
      <c r="P266" s="43"/>
      <c r="Q266" s="43"/>
    </row>
    <row r="267" spans="3:17" x14ac:dyDescent="0.25">
      <c r="C267" s="61"/>
      <c r="D267" s="61"/>
      <c r="E267" s="61"/>
      <c r="F267" s="61"/>
      <c r="G267" s="62"/>
      <c r="H267" s="62"/>
      <c r="I267" s="62"/>
      <c r="J267" s="62"/>
      <c r="M267" s="61"/>
      <c r="N267" s="61"/>
      <c r="O267" s="43"/>
      <c r="P267" s="43"/>
      <c r="Q267" s="43"/>
    </row>
    <row r="268" spans="3:17" x14ac:dyDescent="0.25">
      <c r="C268" s="61"/>
      <c r="D268" s="61"/>
      <c r="E268" s="61"/>
      <c r="F268" s="61"/>
      <c r="G268" s="62"/>
      <c r="H268" s="62"/>
      <c r="I268" s="62"/>
      <c r="J268" s="62"/>
      <c r="M268" s="61"/>
      <c r="N268" s="61"/>
      <c r="O268" s="43"/>
      <c r="P268" s="43"/>
      <c r="Q268" s="43"/>
    </row>
    <row r="269" spans="3:17" x14ac:dyDescent="0.25">
      <c r="C269" s="61"/>
      <c r="D269" s="61"/>
      <c r="E269" s="61"/>
      <c r="F269" s="61"/>
      <c r="G269" s="62"/>
      <c r="H269" s="62"/>
      <c r="I269" s="62"/>
      <c r="J269" s="62"/>
      <c r="M269" s="61"/>
      <c r="N269" s="61"/>
      <c r="O269" s="43"/>
      <c r="P269" s="43"/>
      <c r="Q269" s="43"/>
    </row>
    <row r="270" spans="3:17" x14ac:dyDescent="0.25">
      <c r="C270" s="61"/>
      <c r="D270" s="61"/>
      <c r="E270" s="61"/>
      <c r="F270" s="61"/>
      <c r="G270" s="62"/>
      <c r="H270" s="62"/>
      <c r="I270" s="62"/>
      <c r="J270" s="62"/>
      <c r="M270" s="61"/>
      <c r="N270" s="61"/>
      <c r="O270" s="43"/>
      <c r="P270" s="43"/>
      <c r="Q270" s="43"/>
    </row>
    <row r="271" spans="3:17" x14ac:dyDescent="0.25">
      <c r="C271" s="61"/>
      <c r="D271" s="61"/>
      <c r="E271" s="61"/>
      <c r="F271" s="61"/>
      <c r="G271" s="62"/>
      <c r="H271" s="62"/>
      <c r="I271" s="62"/>
      <c r="J271" s="62"/>
      <c r="M271" s="61"/>
      <c r="N271" s="61"/>
      <c r="O271" s="43"/>
      <c r="P271" s="43"/>
      <c r="Q271" s="43"/>
    </row>
    <row r="272" spans="3:17" x14ac:dyDescent="0.25">
      <c r="C272" s="61"/>
      <c r="D272" s="61"/>
      <c r="E272" s="61"/>
      <c r="F272" s="61"/>
      <c r="G272" s="62"/>
      <c r="H272" s="62"/>
      <c r="I272" s="62"/>
      <c r="J272" s="62"/>
      <c r="M272" s="61"/>
      <c r="N272" s="61"/>
      <c r="O272" s="43"/>
      <c r="P272" s="43"/>
      <c r="Q272" s="43"/>
    </row>
    <row r="273" spans="3:17" x14ac:dyDescent="0.25">
      <c r="C273" s="61"/>
      <c r="D273" s="61"/>
      <c r="E273" s="61"/>
      <c r="F273" s="61"/>
      <c r="G273" s="62"/>
      <c r="H273" s="62"/>
      <c r="I273" s="62"/>
      <c r="J273" s="62"/>
      <c r="M273" s="61"/>
      <c r="N273" s="61"/>
      <c r="O273" s="43"/>
      <c r="P273" s="43"/>
      <c r="Q273" s="43"/>
    </row>
    <row r="274" spans="3:17" x14ac:dyDescent="0.25">
      <c r="C274" s="61"/>
      <c r="D274" s="61"/>
      <c r="E274" s="61"/>
      <c r="F274" s="61"/>
      <c r="G274" s="62"/>
      <c r="H274" s="62"/>
      <c r="I274" s="62"/>
      <c r="J274" s="62"/>
      <c r="M274" s="61"/>
      <c r="N274" s="61"/>
      <c r="O274" s="43"/>
      <c r="P274" s="43"/>
      <c r="Q274" s="43"/>
    </row>
    <row r="275" spans="3:17" x14ac:dyDescent="0.25">
      <c r="C275" s="61"/>
      <c r="D275" s="61"/>
      <c r="E275" s="61"/>
      <c r="F275" s="61"/>
      <c r="G275" s="62"/>
      <c r="H275" s="62"/>
      <c r="I275" s="62"/>
      <c r="J275" s="62"/>
      <c r="M275" s="61"/>
      <c r="N275" s="61"/>
      <c r="O275" s="43"/>
      <c r="P275" s="43"/>
      <c r="Q275" s="43"/>
    </row>
    <row r="276" spans="3:17" x14ac:dyDescent="0.25">
      <c r="C276" s="61"/>
      <c r="D276" s="61"/>
      <c r="E276" s="61"/>
      <c r="F276" s="61"/>
      <c r="G276" s="62"/>
      <c r="H276" s="62"/>
      <c r="I276" s="62"/>
      <c r="J276" s="62"/>
      <c r="M276" s="61"/>
      <c r="N276" s="61"/>
      <c r="O276" s="43"/>
      <c r="P276" s="43"/>
      <c r="Q276" s="43"/>
    </row>
    <row r="277" spans="3:17" x14ac:dyDescent="0.25">
      <c r="C277" s="61"/>
      <c r="D277" s="61"/>
      <c r="E277" s="61"/>
      <c r="F277" s="61"/>
      <c r="G277" s="62"/>
      <c r="H277" s="62"/>
      <c r="I277" s="62"/>
      <c r="J277" s="62"/>
      <c r="M277" s="61"/>
      <c r="N277" s="61"/>
      <c r="O277" s="43"/>
      <c r="P277" s="43"/>
      <c r="Q277" s="43"/>
    </row>
    <row r="278" spans="3:17" x14ac:dyDescent="0.25">
      <c r="C278" s="61"/>
      <c r="D278" s="61"/>
      <c r="E278" s="61"/>
      <c r="F278" s="61"/>
      <c r="G278" s="62"/>
      <c r="H278" s="62"/>
      <c r="I278" s="62"/>
      <c r="J278" s="62"/>
      <c r="M278" s="61"/>
      <c r="N278" s="61"/>
      <c r="O278" s="43"/>
      <c r="P278" s="43"/>
      <c r="Q278" s="43"/>
    </row>
    <row r="279" spans="3:17" x14ac:dyDescent="0.25">
      <c r="C279" s="61"/>
      <c r="D279" s="61"/>
      <c r="E279" s="61"/>
      <c r="F279" s="61"/>
      <c r="G279" s="62"/>
      <c r="H279" s="62"/>
      <c r="I279" s="62"/>
      <c r="J279" s="62"/>
      <c r="M279" s="61"/>
      <c r="N279" s="61"/>
      <c r="O279" s="43"/>
      <c r="P279" s="43"/>
      <c r="Q279" s="43"/>
    </row>
    <row r="280" spans="3:17" x14ac:dyDescent="0.25">
      <c r="C280" s="61"/>
      <c r="D280" s="61"/>
      <c r="E280" s="61"/>
      <c r="F280" s="61"/>
      <c r="G280" s="62"/>
      <c r="H280" s="62"/>
      <c r="I280" s="62"/>
      <c r="J280" s="62"/>
      <c r="M280" s="61"/>
      <c r="N280" s="61"/>
      <c r="O280" s="43"/>
      <c r="P280" s="43"/>
      <c r="Q280" s="43"/>
    </row>
    <row r="281" spans="3:17" x14ac:dyDescent="0.25">
      <c r="C281" s="61"/>
      <c r="D281" s="61"/>
      <c r="E281" s="61"/>
      <c r="F281" s="61"/>
      <c r="G281" s="62"/>
      <c r="H281" s="62"/>
      <c r="I281" s="62"/>
      <c r="J281" s="62"/>
      <c r="M281" s="61"/>
      <c r="N281" s="61"/>
      <c r="O281" s="43"/>
      <c r="P281" s="43"/>
      <c r="Q281" s="43"/>
    </row>
    <row r="282" spans="3:17" x14ac:dyDescent="0.25">
      <c r="C282" s="61"/>
      <c r="D282" s="61"/>
      <c r="E282" s="61"/>
      <c r="F282" s="61"/>
      <c r="G282" s="62"/>
      <c r="H282" s="62"/>
      <c r="I282" s="62"/>
      <c r="J282" s="62"/>
      <c r="M282" s="61"/>
      <c r="N282" s="61"/>
      <c r="O282" s="43"/>
      <c r="P282" s="43"/>
      <c r="Q282" s="43"/>
    </row>
    <row r="283" spans="3:17" x14ac:dyDescent="0.25">
      <c r="C283" s="61"/>
      <c r="D283" s="61"/>
      <c r="E283" s="61"/>
      <c r="F283" s="61"/>
      <c r="G283" s="62"/>
      <c r="H283" s="62"/>
      <c r="I283" s="62"/>
      <c r="J283" s="62"/>
      <c r="M283" s="61"/>
      <c r="N283" s="61"/>
      <c r="O283" s="43"/>
      <c r="P283" s="43"/>
      <c r="Q283" s="43"/>
    </row>
    <row r="284" spans="3:17" x14ac:dyDescent="0.25">
      <c r="C284" s="61"/>
      <c r="D284" s="61"/>
      <c r="E284" s="61"/>
      <c r="F284" s="61"/>
      <c r="G284" s="62"/>
      <c r="H284" s="62"/>
      <c r="I284" s="62"/>
      <c r="J284" s="62"/>
      <c r="M284" s="61"/>
      <c r="N284" s="61"/>
      <c r="O284" s="43"/>
      <c r="P284" s="43"/>
      <c r="Q284" s="43"/>
    </row>
    <row r="285" spans="3:17" x14ac:dyDescent="0.25">
      <c r="C285" s="61"/>
      <c r="D285" s="61"/>
      <c r="E285" s="61"/>
      <c r="F285" s="61"/>
      <c r="G285" s="62"/>
      <c r="H285" s="62"/>
      <c r="I285" s="62"/>
      <c r="J285" s="62"/>
      <c r="M285" s="61"/>
      <c r="N285" s="61"/>
      <c r="O285" s="43"/>
      <c r="P285" s="43"/>
      <c r="Q285" s="43"/>
    </row>
    <row r="286" spans="3:17" x14ac:dyDescent="0.25">
      <c r="C286" s="61"/>
      <c r="D286" s="61"/>
      <c r="E286" s="61"/>
      <c r="F286" s="61"/>
      <c r="G286" s="62"/>
      <c r="H286" s="62"/>
      <c r="I286" s="62"/>
      <c r="J286" s="62"/>
      <c r="M286" s="61"/>
      <c r="N286" s="61"/>
      <c r="O286" s="43"/>
      <c r="P286" s="43"/>
      <c r="Q286" s="43"/>
    </row>
    <row r="287" spans="3:17" x14ac:dyDescent="0.25">
      <c r="C287" s="61"/>
      <c r="D287" s="61"/>
      <c r="E287" s="61"/>
      <c r="F287" s="61"/>
      <c r="G287" s="62"/>
      <c r="H287" s="62"/>
      <c r="I287" s="62"/>
      <c r="J287" s="62"/>
      <c r="M287" s="61"/>
      <c r="N287" s="61"/>
      <c r="O287" s="43"/>
      <c r="P287" s="43"/>
      <c r="Q287" s="43"/>
    </row>
    <row r="288" spans="3:17" x14ac:dyDescent="0.25">
      <c r="C288" s="61"/>
      <c r="D288" s="61"/>
      <c r="E288" s="61"/>
      <c r="F288" s="61"/>
      <c r="G288" s="62"/>
      <c r="H288" s="62"/>
      <c r="I288" s="62"/>
      <c r="J288" s="62"/>
      <c r="M288" s="61"/>
      <c r="N288" s="61"/>
      <c r="O288" s="43"/>
      <c r="P288" s="43"/>
      <c r="Q288" s="43"/>
    </row>
    <row r="289" spans="3:17" x14ac:dyDescent="0.25">
      <c r="C289" s="61"/>
      <c r="D289" s="61"/>
      <c r="E289" s="61"/>
      <c r="F289" s="61"/>
      <c r="G289" s="62"/>
      <c r="H289" s="62"/>
      <c r="I289" s="62"/>
      <c r="J289" s="62"/>
      <c r="M289" s="61"/>
      <c r="N289" s="61"/>
      <c r="O289" s="43"/>
      <c r="P289" s="43"/>
      <c r="Q289" s="43"/>
    </row>
    <row r="290" spans="3:17" x14ac:dyDescent="0.25">
      <c r="C290" s="61"/>
      <c r="D290" s="61"/>
      <c r="E290" s="61"/>
      <c r="F290" s="61"/>
      <c r="G290" s="62"/>
      <c r="H290" s="62"/>
      <c r="I290" s="62"/>
      <c r="J290" s="62"/>
      <c r="M290" s="61"/>
      <c r="N290" s="61"/>
      <c r="O290" s="43"/>
      <c r="P290" s="43"/>
      <c r="Q290" s="43"/>
    </row>
    <row r="291" spans="3:17" x14ac:dyDescent="0.25">
      <c r="C291" s="61"/>
      <c r="D291" s="61"/>
      <c r="E291" s="61"/>
      <c r="F291" s="61"/>
      <c r="G291" s="62"/>
      <c r="H291" s="62"/>
      <c r="I291" s="62"/>
      <c r="J291" s="62"/>
      <c r="M291" s="61"/>
      <c r="N291" s="61"/>
      <c r="O291" s="43"/>
      <c r="P291" s="43"/>
      <c r="Q291" s="43"/>
    </row>
    <row r="292" spans="3:17" x14ac:dyDescent="0.25">
      <c r="C292" s="61"/>
      <c r="D292" s="61"/>
      <c r="E292" s="61"/>
      <c r="F292" s="61"/>
      <c r="G292" s="62"/>
      <c r="H292" s="62"/>
      <c r="I292" s="62"/>
      <c r="J292" s="62"/>
      <c r="M292" s="61"/>
      <c r="N292" s="61"/>
      <c r="O292" s="43"/>
      <c r="P292" s="43"/>
      <c r="Q292" s="43"/>
    </row>
    <row r="293" spans="3:17" x14ac:dyDescent="0.25">
      <c r="C293" s="61"/>
      <c r="D293" s="61"/>
      <c r="E293" s="61"/>
      <c r="F293" s="61"/>
      <c r="G293" s="62"/>
      <c r="H293" s="62"/>
      <c r="I293" s="62"/>
      <c r="J293" s="62"/>
      <c r="M293" s="61"/>
      <c r="N293" s="61"/>
      <c r="O293" s="43"/>
      <c r="P293" s="43"/>
      <c r="Q293" s="43"/>
    </row>
    <row r="294" spans="3:17" x14ac:dyDescent="0.25">
      <c r="C294" s="61"/>
      <c r="D294" s="61"/>
      <c r="E294" s="61"/>
      <c r="F294" s="61"/>
      <c r="G294" s="62"/>
      <c r="H294" s="62"/>
      <c r="I294" s="62"/>
      <c r="J294" s="62"/>
      <c r="M294" s="61"/>
      <c r="N294" s="61"/>
      <c r="O294" s="43"/>
      <c r="P294" s="43"/>
      <c r="Q294" s="43"/>
    </row>
    <row r="295" spans="3:17" x14ac:dyDescent="0.25">
      <c r="C295" s="61"/>
      <c r="D295" s="61"/>
      <c r="E295" s="61"/>
      <c r="F295" s="61"/>
      <c r="G295" s="62"/>
      <c r="H295" s="62"/>
      <c r="I295" s="62"/>
      <c r="J295" s="62"/>
      <c r="M295" s="61"/>
      <c r="N295" s="61"/>
      <c r="O295" s="43"/>
      <c r="P295" s="43"/>
      <c r="Q295" s="43"/>
    </row>
    <row r="296" spans="3:17" x14ac:dyDescent="0.25">
      <c r="C296" s="61"/>
      <c r="D296" s="61"/>
      <c r="E296" s="61"/>
      <c r="F296" s="61"/>
      <c r="G296" s="62"/>
      <c r="H296" s="62"/>
      <c r="I296" s="62"/>
      <c r="J296" s="62"/>
      <c r="M296" s="61"/>
      <c r="N296" s="61"/>
      <c r="O296" s="43"/>
      <c r="P296" s="43"/>
      <c r="Q296" s="43"/>
    </row>
    <row r="297" spans="3:17" x14ac:dyDescent="0.25">
      <c r="C297" s="61"/>
      <c r="D297" s="61"/>
      <c r="E297" s="61"/>
      <c r="F297" s="61"/>
      <c r="G297" s="62"/>
      <c r="H297" s="62"/>
      <c r="I297" s="62"/>
      <c r="J297" s="62"/>
      <c r="M297" s="61"/>
      <c r="N297" s="61"/>
      <c r="O297" s="43"/>
      <c r="P297" s="43"/>
      <c r="Q297" s="43"/>
    </row>
    <row r="298" spans="3:17" x14ac:dyDescent="0.25">
      <c r="C298" s="61"/>
      <c r="D298" s="61"/>
      <c r="E298" s="61"/>
      <c r="F298" s="61"/>
      <c r="G298" s="62"/>
      <c r="H298" s="62"/>
      <c r="I298" s="62"/>
      <c r="J298" s="62"/>
      <c r="M298" s="61"/>
      <c r="N298" s="61"/>
      <c r="O298" s="43"/>
      <c r="P298" s="43"/>
      <c r="Q298" s="43"/>
    </row>
    <row r="299" spans="3:17" x14ac:dyDescent="0.25">
      <c r="C299" s="61"/>
      <c r="D299" s="61"/>
      <c r="E299" s="61"/>
      <c r="F299" s="61"/>
      <c r="G299" s="62"/>
      <c r="H299" s="62"/>
      <c r="I299" s="62"/>
      <c r="J299" s="62"/>
      <c r="M299" s="61"/>
      <c r="N299" s="61"/>
      <c r="O299" s="43"/>
      <c r="P299" s="43"/>
      <c r="Q299" s="43"/>
    </row>
    <row r="300" spans="3:17" x14ac:dyDescent="0.25">
      <c r="C300" s="61"/>
      <c r="D300" s="61"/>
      <c r="E300" s="61"/>
      <c r="F300" s="61"/>
      <c r="G300" s="62"/>
      <c r="H300" s="62"/>
      <c r="I300" s="62"/>
      <c r="J300" s="62"/>
      <c r="M300" s="61"/>
      <c r="N300" s="61"/>
      <c r="O300" s="43"/>
      <c r="P300" s="43"/>
      <c r="Q300" s="43"/>
    </row>
    <row r="301" spans="3:17" x14ac:dyDescent="0.25">
      <c r="C301" s="61"/>
      <c r="D301" s="61"/>
      <c r="E301" s="61"/>
      <c r="F301" s="61"/>
      <c r="G301" s="62"/>
      <c r="H301" s="62"/>
      <c r="I301" s="62"/>
      <c r="J301" s="62"/>
      <c r="M301" s="61"/>
      <c r="N301" s="61"/>
      <c r="O301" s="43"/>
      <c r="P301" s="43"/>
      <c r="Q301" s="43"/>
    </row>
    <row r="302" spans="3:17" x14ac:dyDescent="0.25">
      <c r="C302" s="61"/>
      <c r="D302" s="61"/>
      <c r="E302" s="61"/>
      <c r="F302" s="61"/>
      <c r="G302" s="62"/>
      <c r="H302" s="62"/>
      <c r="I302" s="62"/>
      <c r="J302" s="62"/>
      <c r="M302" s="61"/>
      <c r="N302" s="61"/>
      <c r="O302" s="43"/>
      <c r="P302" s="43"/>
      <c r="Q302" s="43"/>
    </row>
    <row r="303" spans="3:17" x14ac:dyDescent="0.25">
      <c r="C303" s="61"/>
      <c r="D303" s="61"/>
      <c r="E303" s="61"/>
      <c r="F303" s="61"/>
      <c r="G303" s="62"/>
      <c r="H303" s="62"/>
      <c r="I303" s="62"/>
      <c r="J303" s="62"/>
      <c r="M303" s="61"/>
      <c r="N303" s="61"/>
      <c r="O303" s="43"/>
      <c r="P303" s="43"/>
      <c r="Q303" s="43"/>
    </row>
    <row r="304" spans="3:17" x14ac:dyDescent="0.25">
      <c r="C304" s="61"/>
      <c r="D304" s="61"/>
      <c r="E304" s="61"/>
      <c r="F304" s="61"/>
      <c r="G304" s="62"/>
      <c r="H304" s="62"/>
      <c r="I304" s="62"/>
      <c r="J304" s="62"/>
      <c r="M304" s="61"/>
      <c r="N304" s="61"/>
      <c r="O304" s="43"/>
      <c r="P304" s="43"/>
      <c r="Q304" s="43"/>
    </row>
    <row r="305" spans="3:17" x14ac:dyDescent="0.25">
      <c r="C305" s="61"/>
      <c r="D305" s="61"/>
      <c r="E305" s="61"/>
      <c r="F305" s="61"/>
      <c r="G305" s="62"/>
      <c r="H305" s="62"/>
      <c r="I305" s="62"/>
      <c r="J305" s="62"/>
      <c r="M305" s="61"/>
      <c r="N305" s="61"/>
      <c r="O305" s="43"/>
      <c r="P305" s="43"/>
      <c r="Q305" s="43"/>
    </row>
    <row r="306" spans="3:17" x14ac:dyDescent="0.25">
      <c r="C306" s="61"/>
      <c r="D306" s="61"/>
      <c r="E306" s="61"/>
      <c r="F306" s="61"/>
      <c r="G306" s="62"/>
      <c r="H306" s="62"/>
      <c r="I306" s="62"/>
      <c r="J306" s="62"/>
      <c r="M306" s="61"/>
      <c r="N306" s="61"/>
      <c r="O306" s="43"/>
      <c r="P306" s="43"/>
      <c r="Q306" s="43"/>
    </row>
    <row r="307" spans="3:17" x14ac:dyDescent="0.25">
      <c r="C307" s="61"/>
      <c r="D307" s="61"/>
      <c r="E307" s="61"/>
      <c r="F307" s="61"/>
      <c r="G307" s="62"/>
      <c r="H307" s="62"/>
      <c r="I307" s="62"/>
      <c r="J307" s="62"/>
      <c r="M307" s="61"/>
      <c r="N307" s="61"/>
      <c r="O307" s="43"/>
      <c r="P307" s="43"/>
      <c r="Q307" s="43"/>
    </row>
    <row r="308" spans="3:17" x14ac:dyDescent="0.25">
      <c r="C308" s="61"/>
      <c r="D308" s="61"/>
      <c r="E308" s="61"/>
      <c r="F308" s="61"/>
      <c r="G308" s="62"/>
      <c r="H308" s="62"/>
      <c r="I308" s="62"/>
      <c r="J308" s="62"/>
      <c r="M308" s="61"/>
      <c r="N308" s="61"/>
      <c r="O308" s="43"/>
      <c r="P308" s="43"/>
      <c r="Q308" s="43"/>
    </row>
    <row r="309" spans="3:17" x14ac:dyDescent="0.25">
      <c r="C309" s="61"/>
      <c r="D309" s="61"/>
      <c r="E309" s="61"/>
      <c r="F309" s="61"/>
      <c r="G309" s="62"/>
      <c r="H309" s="62"/>
      <c r="I309" s="62"/>
      <c r="J309" s="62"/>
      <c r="M309" s="61"/>
      <c r="N309" s="61"/>
      <c r="O309" s="43"/>
      <c r="P309" s="43"/>
      <c r="Q309" s="43"/>
    </row>
  </sheetData>
  <autoFilter ref="B53:AP307" xr:uid="{F27F2CEA-501E-4137-9333-A631D760BB1D}"/>
  <mergeCells count="24">
    <mergeCell ref="G52:I52"/>
    <mergeCell ref="K52:L52"/>
    <mergeCell ref="O52:Q52"/>
    <mergeCell ref="AO2:AU2"/>
    <mergeCell ref="AV2:BB2"/>
    <mergeCell ref="AN17:BK17"/>
    <mergeCell ref="C2:I2"/>
    <mergeCell ref="J2:P2"/>
    <mergeCell ref="Q2:T2"/>
    <mergeCell ref="U2:X2"/>
    <mergeCell ref="D3:F3"/>
    <mergeCell ref="G3:I3"/>
    <mergeCell ref="K3:M3"/>
    <mergeCell ref="N3:P3"/>
    <mergeCell ref="R3:T3"/>
    <mergeCell ref="V3:X3"/>
    <mergeCell ref="BG2:BJ2"/>
    <mergeCell ref="AP3:AR3"/>
    <mergeCell ref="AS3:AU3"/>
    <mergeCell ref="AW3:AY3"/>
    <mergeCell ref="AZ3:BB3"/>
    <mergeCell ref="BD3:BF3"/>
    <mergeCell ref="BH3:BJ3"/>
    <mergeCell ref="BC2:BF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27078-3477-4790-98AF-3F1D8DA06983}">
  <dimension ref="A2:L17"/>
  <sheetViews>
    <sheetView zoomScale="70" zoomScaleNormal="70" workbookViewId="0">
      <selection activeCell="L33" sqref="L33"/>
    </sheetView>
  </sheetViews>
  <sheetFormatPr defaultRowHeight="15" x14ac:dyDescent="0.25"/>
  <cols>
    <col min="1" max="1" width="13.28515625" style="40" customWidth="1"/>
    <col min="2" max="2" width="9.140625" style="40"/>
    <col min="3" max="3" width="12" style="40" bestFit="1" customWidth="1"/>
    <col min="4" max="4" width="10" style="40" bestFit="1" customWidth="1"/>
    <col min="5" max="5" width="11.140625" style="40" bestFit="1" customWidth="1"/>
    <col min="6" max="7" width="9.140625" style="40"/>
    <col min="8" max="8" width="15.5703125" style="40" customWidth="1"/>
    <col min="9" max="10" width="9.140625" style="40"/>
    <col min="11" max="11" width="11.42578125" style="40" bestFit="1" customWidth="1"/>
    <col min="12" max="12" width="11" style="40" bestFit="1" customWidth="1"/>
    <col min="13" max="16384" width="9.140625" style="40"/>
  </cols>
  <sheetData>
    <row r="2" spans="1:12" x14ac:dyDescent="0.25">
      <c r="A2" s="40" t="s">
        <v>104</v>
      </c>
      <c r="F2" s="40" t="s">
        <v>105</v>
      </c>
    </row>
    <row r="3" spans="1:12" x14ac:dyDescent="0.25">
      <c r="A3" s="40" t="s">
        <v>106</v>
      </c>
      <c r="B3" s="40" t="s">
        <v>107</v>
      </c>
      <c r="F3" s="40" t="s">
        <v>57</v>
      </c>
      <c r="G3" s="40" t="s">
        <v>108</v>
      </c>
    </row>
    <row r="4" spans="1:12" x14ac:dyDescent="0.25">
      <c r="A4" s="40">
        <v>325</v>
      </c>
      <c r="B4" s="40">
        <v>6000</v>
      </c>
      <c r="C4" s="40">
        <f>955126228.669619*A4^(-2.072954248068)</f>
        <v>5929.8196865212758</v>
      </c>
      <c r="D4" s="40">
        <f>300*(1400/A4)^2</f>
        <v>5566.8639053254437</v>
      </c>
      <c r="F4" s="40">
        <f t="shared" ref="F4:F12" si="0">+A4/51.64</f>
        <v>6.293570875290472</v>
      </c>
      <c r="G4" s="40">
        <f t="shared" ref="G4:G12" si="1">0.70324961490205*B4</f>
        <v>4219.4976894123001</v>
      </c>
      <c r="H4" s="40">
        <f>188898.358757362*F4^(-2.072954248068)</f>
        <v>4170.1434109777911</v>
      </c>
      <c r="I4" s="40">
        <f>300*0.703*(1400/51.64/F4)^2</f>
        <v>3913.505325443788</v>
      </c>
      <c r="K4" s="40">
        <v>300</v>
      </c>
      <c r="L4" s="40">
        <v>1400</v>
      </c>
    </row>
    <row r="5" spans="1:12" x14ac:dyDescent="0.25">
      <c r="A5" s="40">
        <v>390</v>
      </c>
      <c r="B5" s="40">
        <v>4000</v>
      </c>
      <c r="C5" s="40">
        <f t="shared" ref="C5:C12" si="2">955126228.669619*A5^(-2.072954248068)</f>
        <v>4063.5198651635028</v>
      </c>
      <c r="D5" s="40">
        <f t="shared" ref="D5:D11" si="3">300*(1400/A5)^2</f>
        <v>3865.8777120315585</v>
      </c>
      <c r="F5" s="40">
        <f t="shared" si="0"/>
        <v>7.5522850503485666</v>
      </c>
      <c r="G5" s="40">
        <f t="shared" si="1"/>
        <v>2812.9984596081999</v>
      </c>
      <c r="H5" s="40">
        <f t="shared" ref="H5:H12" si="4">188898.358757362*F5^(-2.072954248068)</f>
        <v>2857.6687803183454</v>
      </c>
      <c r="I5" s="40">
        <f t="shared" ref="I5:I12" si="5">300*0.703*(1400/51.64/F5)^2</f>
        <v>2717.7120315581851</v>
      </c>
      <c r="K5" s="91">
        <f>+K4*0.70324961490205</f>
        <v>210.974884470615</v>
      </c>
      <c r="L5" s="92">
        <f>+L4/51.64</f>
        <v>27.110766847405113</v>
      </c>
    </row>
    <row r="6" spans="1:12" x14ac:dyDescent="0.25">
      <c r="A6" s="40">
        <v>545</v>
      </c>
      <c r="B6" s="40">
        <v>2000</v>
      </c>
      <c r="C6" s="40">
        <f t="shared" si="2"/>
        <v>2030.6544050656614</v>
      </c>
      <c r="D6" s="40">
        <f t="shared" si="3"/>
        <v>1979.6313441629493</v>
      </c>
      <c r="F6" s="40">
        <f t="shared" si="0"/>
        <v>10.553834237025562</v>
      </c>
      <c r="G6" s="40">
        <f t="shared" si="1"/>
        <v>1406.4992298041</v>
      </c>
      <c r="H6" s="40">
        <f t="shared" si="4"/>
        <v>1428.0569283592174</v>
      </c>
      <c r="I6" s="40">
        <f t="shared" si="5"/>
        <v>1391.6808349465532</v>
      </c>
    </row>
    <row r="7" spans="1:12" x14ac:dyDescent="0.25">
      <c r="A7" s="40">
        <v>1000</v>
      </c>
      <c r="B7" s="40">
        <v>585</v>
      </c>
      <c r="C7" s="40">
        <f t="shared" si="2"/>
        <v>577.02951409684511</v>
      </c>
      <c r="D7" s="40">
        <f t="shared" si="3"/>
        <v>587.99999999999989</v>
      </c>
      <c r="F7" s="40">
        <f t="shared" si="0"/>
        <v>19.364833462432223</v>
      </c>
      <c r="G7" s="40">
        <f t="shared" si="1"/>
        <v>411.40102471769922</v>
      </c>
      <c r="H7" s="40">
        <f t="shared" si="4"/>
        <v>405.79578357505301</v>
      </c>
      <c r="I7" s="40">
        <f t="shared" si="5"/>
        <v>413.36400000000003</v>
      </c>
    </row>
    <row r="8" spans="1:12" x14ac:dyDescent="0.25">
      <c r="A8" s="40">
        <v>1500</v>
      </c>
      <c r="B8" s="40">
        <v>250</v>
      </c>
      <c r="C8" s="40">
        <f t="shared" si="2"/>
        <v>248.98254605706782</v>
      </c>
      <c r="D8" s="40">
        <f t="shared" si="3"/>
        <v>261.33333333333337</v>
      </c>
      <c r="F8" s="40">
        <f t="shared" si="0"/>
        <v>29.047250193648335</v>
      </c>
      <c r="G8" s="40">
        <f t="shared" si="1"/>
        <v>175.8124037255125</v>
      </c>
      <c r="H8" s="40">
        <f t="shared" si="4"/>
        <v>175.09687963167562</v>
      </c>
      <c r="I8" s="40">
        <f t="shared" si="5"/>
        <v>183.71733333333333</v>
      </c>
    </row>
    <row r="9" spans="1:12" x14ac:dyDescent="0.25">
      <c r="A9" s="40">
        <v>2000</v>
      </c>
      <c r="B9" s="40">
        <v>145</v>
      </c>
      <c r="C9" s="40">
        <f t="shared" si="2"/>
        <v>137.14393896605085</v>
      </c>
      <c r="D9" s="40">
        <f t="shared" si="3"/>
        <v>146.99999999999997</v>
      </c>
      <c r="F9" s="40">
        <f t="shared" si="0"/>
        <v>38.729666924864446</v>
      </c>
      <c r="G9" s="40">
        <f t="shared" si="1"/>
        <v>101.97119416079724</v>
      </c>
      <c r="H9" s="40">
        <f t="shared" si="4"/>
        <v>96.446422263866197</v>
      </c>
      <c r="I9" s="40">
        <f t="shared" si="5"/>
        <v>103.34100000000001</v>
      </c>
    </row>
    <row r="10" spans="1:12" x14ac:dyDescent="0.25">
      <c r="A10" s="40">
        <v>3000</v>
      </c>
      <c r="B10" s="40">
        <v>55</v>
      </c>
      <c r="C10" s="40">
        <f t="shared" si="2"/>
        <v>59.176257480534318</v>
      </c>
      <c r="D10" s="40">
        <f t="shared" si="3"/>
        <v>65.333333333333343</v>
      </c>
      <c r="F10" s="40">
        <f t="shared" si="0"/>
        <v>58.094500387296669</v>
      </c>
      <c r="G10" s="40">
        <f t="shared" si="1"/>
        <v>38.678728819612751</v>
      </c>
      <c r="H10" s="40">
        <f t="shared" si="4"/>
        <v>41.615680284461455</v>
      </c>
      <c r="I10" s="40">
        <f t="shared" si="5"/>
        <v>45.929333333333332</v>
      </c>
    </row>
    <row r="11" spans="1:12" x14ac:dyDescent="0.25">
      <c r="A11" s="40">
        <v>3500</v>
      </c>
      <c r="B11" s="40">
        <v>42</v>
      </c>
      <c r="C11" s="40">
        <f t="shared" si="2"/>
        <v>42.990239380797213</v>
      </c>
      <c r="D11" s="40">
        <f t="shared" si="3"/>
        <v>48.000000000000007</v>
      </c>
      <c r="F11" s="40">
        <f t="shared" si="0"/>
        <v>67.776917118512785</v>
      </c>
      <c r="G11" s="40">
        <f t="shared" si="1"/>
        <v>29.536483825886098</v>
      </c>
      <c r="H11" s="40">
        <f t="shared" si="4"/>
        <v>30.232869289042615</v>
      </c>
      <c r="I11" s="40">
        <f t="shared" si="5"/>
        <v>33.743999999999993</v>
      </c>
    </row>
    <row r="12" spans="1:12" x14ac:dyDescent="0.25">
      <c r="A12" s="40">
        <v>4000</v>
      </c>
      <c r="B12" s="40">
        <v>34</v>
      </c>
      <c r="C12" s="40">
        <f t="shared" si="2"/>
        <v>32.595317112266841</v>
      </c>
      <c r="D12" s="40">
        <f>300*(1400/A12)^2</f>
        <v>36.749999999999993</v>
      </c>
      <c r="F12" s="40">
        <f t="shared" si="0"/>
        <v>77.459333849728893</v>
      </c>
      <c r="G12" s="40">
        <f t="shared" si="1"/>
        <v>23.9104869066697</v>
      </c>
      <c r="H12" s="40">
        <f t="shared" si="4"/>
        <v>22.922644206773931</v>
      </c>
      <c r="I12" s="40">
        <f t="shared" si="5"/>
        <v>25.835250000000002</v>
      </c>
    </row>
    <row r="17" spans="5:5" x14ac:dyDescent="0.25">
      <c r="E17" s="40" t="s">
        <v>86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7ABFD-DF80-45CA-8FB2-8F943ABBA891}">
  <dimension ref="B1:AJ41"/>
  <sheetViews>
    <sheetView zoomScale="85" zoomScaleNormal="85" workbookViewId="0">
      <selection activeCell="L33" sqref="L33"/>
    </sheetView>
  </sheetViews>
  <sheetFormatPr defaultRowHeight="15" x14ac:dyDescent="0.25"/>
  <cols>
    <col min="1" max="16" width="9.140625" style="40"/>
    <col min="17" max="17" width="1.85546875" style="40" customWidth="1"/>
    <col min="18" max="18" width="9.140625" style="40"/>
    <col min="19" max="19" width="12.140625" style="40" bestFit="1" customWidth="1"/>
    <col min="20" max="20" width="10" style="40" customWidth="1"/>
    <col min="21" max="33" width="9.140625" style="40"/>
    <col min="34" max="36" width="13.42578125" style="40" bestFit="1" customWidth="1"/>
    <col min="37" max="16384" width="9.140625" style="40"/>
  </cols>
  <sheetData>
    <row r="1" spans="2:36" ht="7.5" customHeight="1" x14ac:dyDescent="0.25"/>
    <row r="2" spans="2:36" ht="7.5" customHeight="1" x14ac:dyDescent="0.25"/>
    <row r="3" spans="2:36" ht="7.5" customHeight="1" x14ac:dyDescent="0.25"/>
    <row r="4" spans="2:36" ht="7.5" customHeight="1" x14ac:dyDescent="0.25"/>
    <row r="5" spans="2:36" ht="7.5" customHeight="1" x14ac:dyDescent="0.25"/>
    <row r="6" spans="2:36" ht="7.5" customHeight="1" x14ac:dyDescent="0.25"/>
    <row r="7" spans="2:36" ht="82.5" x14ac:dyDescent="0.25">
      <c r="B7" s="72" t="s">
        <v>109</v>
      </c>
      <c r="C7" s="72" t="s">
        <v>95</v>
      </c>
      <c r="D7" s="72" t="s">
        <v>110</v>
      </c>
      <c r="E7" s="72" t="s">
        <v>111</v>
      </c>
      <c r="F7" s="72" t="s">
        <v>112</v>
      </c>
    </row>
    <row r="8" spans="2:36" x14ac:dyDescent="0.25">
      <c r="B8" s="62"/>
      <c r="M8" s="40" t="s">
        <v>113</v>
      </c>
      <c r="AA8" s="40" t="s">
        <v>96</v>
      </c>
      <c r="AG8" s="40" t="s">
        <v>50</v>
      </c>
    </row>
    <row r="9" spans="2:36" ht="15.75" thickBot="1" x14ac:dyDescent="0.3">
      <c r="B9" s="62"/>
      <c r="M9" s="40" t="s">
        <v>57</v>
      </c>
      <c r="N9" s="40" t="s">
        <v>114</v>
      </c>
      <c r="O9" s="40" t="s">
        <v>115</v>
      </c>
      <c r="P9" s="40" t="s">
        <v>116</v>
      </c>
      <c r="AA9" s="40" t="s">
        <v>57</v>
      </c>
      <c r="AB9" s="40" t="s">
        <v>114</v>
      </c>
      <c r="AC9" s="40" t="s">
        <v>115</v>
      </c>
      <c r="AD9" s="40" t="s">
        <v>116</v>
      </c>
    </row>
    <row r="10" spans="2:36" x14ac:dyDescent="0.25">
      <c r="B10" s="62"/>
      <c r="M10" s="73">
        <v>5</v>
      </c>
      <c r="N10" s="73">
        <v>250</v>
      </c>
      <c r="O10" s="73">
        <v>142</v>
      </c>
      <c r="P10" s="73">
        <v>85</v>
      </c>
      <c r="U10" s="40" t="s">
        <v>113</v>
      </c>
      <c r="AA10" s="73">
        <v>5</v>
      </c>
      <c r="AB10" s="73">
        <v>65</v>
      </c>
      <c r="AC10" s="73">
        <v>50</v>
      </c>
      <c r="AD10" s="73">
        <v>38</v>
      </c>
    </row>
    <row r="11" spans="2:36" x14ac:dyDescent="0.25">
      <c r="B11" s="62"/>
      <c r="M11" s="74">
        <v>10</v>
      </c>
      <c r="N11" s="74">
        <v>270</v>
      </c>
      <c r="O11" s="74">
        <v>155</v>
      </c>
      <c r="P11" s="74">
        <v>93</v>
      </c>
      <c r="U11" s="40" t="s">
        <v>63</v>
      </c>
      <c r="V11" s="40" t="s">
        <v>62</v>
      </c>
      <c r="W11" s="40" t="s">
        <v>61</v>
      </c>
      <c r="AA11" s="74">
        <v>10</v>
      </c>
      <c r="AB11" s="74">
        <v>69</v>
      </c>
      <c r="AC11" s="74">
        <v>53</v>
      </c>
      <c r="AD11" s="74">
        <v>40</v>
      </c>
      <c r="AH11" s="40" t="s">
        <v>63</v>
      </c>
      <c r="AI11" s="40" t="s">
        <v>62</v>
      </c>
      <c r="AJ11" s="40" t="s">
        <v>61</v>
      </c>
    </row>
    <row r="12" spans="2:36" x14ac:dyDescent="0.25">
      <c r="B12" s="62"/>
      <c r="M12" s="74">
        <v>15</v>
      </c>
      <c r="N12" s="74">
        <v>330</v>
      </c>
      <c r="O12" s="74">
        <v>190</v>
      </c>
      <c r="P12" s="74">
        <v>115</v>
      </c>
      <c r="T12" s="75" t="s">
        <v>72</v>
      </c>
      <c r="U12" s="40">
        <v>196</v>
      </c>
      <c r="V12" s="40">
        <v>94.4</v>
      </c>
      <c r="W12" s="40">
        <v>55.6</v>
      </c>
      <c r="AA12" s="74">
        <v>15</v>
      </c>
      <c r="AB12" s="74">
        <v>79</v>
      </c>
      <c r="AC12" s="74">
        <v>60</v>
      </c>
      <c r="AD12" s="74">
        <v>45</v>
      </c>
      <c r="AG12" s="40" t="s">
        <v>72</v>
      </c>
      <c r="AH12" s="40">
        <v>60.4</v>
      </c>
      <c r="AI12" s="40">
        <v>43.6</v>
      </c>
      <c r="AJ12" s="40">
        <v>34.6</v>
      </c>
    </row>
    <row r="13" spans="2:36" ht="15.75" thickBot="1" x14ac:dyDescent="0.3">
      <c r="B13" s="62"/>
      <c r="M13" s="74">
        <v>20</v>
      </c>
      <c r="N13" s="74">
        <v>480</v>
      </c>
      <c r="O13" s="74">
        <v>270</v>
      </c>
      <c r="P13" s="74">
        <v>160</v>
      </c>
      <c r="S13" s="76" t="s">
        <v>117</v>
      </c>
      <c r="T13" s="75" t="s">
        <v>118</v>
      </c>
      <c r="U13" s="40">
        <v>18.190476189999998</v>
      </c>
      <c r="V13" s="40">
        <v>15.433333333</v>
      </c>
      <c r="W13" s="40">
        <v>9.3428571429999998</v>
      </c>
      <c r="AA13" s="74">
        <v>20</v>
      </c>
      <c r="AB13" s="74">
        <v>96</v>
      </c>
      <c r="AC13" s="74">
        <v>72</v>
      </c>
      <c r="AD13" s="74">
        <v>55</v>
      </c>
      <c r="AF13" s="76" t="s">
        <v>117</v>
      </c>
      <c r="AG13" s="40" t="s">
        <v>73</v>
      </c>
      <c r="AH13" s="40">
        <v>1.2</v>
      </c>
      <c r="AI13" s="40">
        <v>1.861904762</v>
      </c>
      <c r="AJ13" s="40">
        <v>1.0190479189999999</v>
      </c>
    </row>
    <row r="14" spans="2:36" ht="15.75" thickBot="1" x14ac:dyDescent="0.3">
      <c r="B14" s="62"/>
      <c r="M14" s="77">
        <v>25</v>
      </c>
      <c r="N14" s="77">
        <v>800</v>
      </c>
      <c r="O14" s="77">
        <v>460</v>
      </c>
      <c r="P14" s="77">
        <v>270</v>
      </c>
      <c r="T14" s="75" t="s">
        <v>119</v>
      </c>
      <c r="U14" s="40">
        <v>-1.928571429</v>
      </c>
      <c r="V14" s="40">
        <v>-1.5</v>
      </c>
      <c r="W14" s="40">
        <v>-0.88142857100000005</v>
      </c>
      <c r="AA14" s="77">
        <v>25</v>
      </c>
      <c r="AB14" s="77">
        <v>128</v>
      </c>
      <c r="AC14" s="77">
        <v>98</v>
      </c>
      <c r="AD14" s="77">
        <v>75</v>
      </c>
      <c r="AG14" s="40" t="s">
        <v>74</v>
      </c>
      <c r="AH14" s="40">
        <v>-0.09</v>
      </c>
      <c r="AI14" s="40">
        <v>-0.15428571399999999</v>
      </c>
      <c r="AJ14" s="40">
        <v>-9.2857143000000003E-2</v>
      </c>
    </row>
    <row r="15" spans="2:36" ht="15.75" thickBot="1" x14ac:dyDescent="0.3">
      <c r="B15" s="62"/>
      <c r="M15" s="78">
        <v>29</v>
      </c>
      <c r="N15" s="78">
        <v>800</v>
      </c>
      <c r="O15" s="78">
        <v>460</v>
      </c>
      <c r="P15" s="78">
        <v>270</v>
      </c>
      <c r="T15" s="75" t="s">
        <v>120</v>
      </c>
      <c r="U15" s="40">
        <v>8.6666667000000003E-2</v>
      </c>
      <c r="V15" s="40">
        <v>5.8666666999999999E-2</v>
      </c>
      <c r="W15" s="40">
        <v>3.4000000000000002E-2</v>
      </c>
      <c r="AA15" s="78">
        <v>29</v>
      </c>
      <c r="AB15" s="78">
        <v>128</v>
      </c>
      <c r="AC15" s="78">
        <v>98</v>
      </c>
      <c r="AD15" s="78">
        <v>75</v>
      </c>
      <c r="AG15" s="40" t="s">
        <v>75</v>
      </c>
      <c r="AH15" s="40">
        <v>6.0000000000000001E-3</v>
      </c>
      <c r="AI15" s="40">
        <v>6.6666670000000003E-3</v>
      </c>
      <c r="AJ15" s="40">
        <v>4.6666670000000002E-3</v>
      </c>
    </row>
    <row r="16" spans="2:36" ht="15.75" thickBot="1" x14ac:dyDescent="0.3">
      <c r="B16" s="62"/>
      <c r="M16" s="79">
        <v>32</v>
      </c>
      <c r="N16" s="79">
        <v>800</v>
      </c>
      <c r="O16" s="79">
        <v>460</v>
      </c>
      <c r="P16" s="79">
        <v>270</v>
      </c>
      <c r="AA16" s="79">
        <v>32</v>
      </c>
      <c r="AB16" s="79">
        <v>128</v>
      </c>
      <c r="AC16" s="79">
        <v>98</v>
      </c>
      <c r="AD16" s="79">
        <v>75</v>
      </c>
    </row>
    <row r="17" spans="2:36" x14ac:dyDescent="0.25">
      <c r="B17" s="62"/>
      <c r="M17" s="80">
        <v>40</v>
      </c>
      <c r="N17" s="80">
        <v>490</v>
      </c>
      <c r="O17" s="80">
        <v>280</v>
      </c>
      <c r="P17" s="80">
        <v>165</v>
      </c>
      <c r="S17" s="81" t="s">
        <v>121</v>
      </c>
      <c r="T17" s="81" t="s">
        <v>72</v>
      </c>
      <c r="U17" s="40">
        <v>800</v>
      </c>
      <c r="V17" s="40">
        <v>460</v>
      </c>
      <c r="W17" s="40">
        <v>270</v>
      </c>
      <c r="AA17" s="80">
        <v>40</v>
      </c>
      <c r="AB17" s="80">
        <v>103</v>
      </c>
      <c r="AC17" s="80">
        <v>80</v>
      </c>
      <c r="AD17" s="80">
        <v>60</v>
      </c>
      <c r="AF17" s="81" t="s">
        <v>121</v>
      </c>
      <c r="AG17" s="40" t="s">
        <v>72</v>
      </c>
      <c r="AH17" s="40">
        <v>128</v>
      </c>
      <c r="AI17" s="40">
        <v>98</v>
      </c>
      <c r="AJ17" s="40">
        <v>75</v>
      </c>
    </row>
    <row r="18" spans="2:36" x14ac:dyDescent="0.25">
      <c r="B18" s="62"/>
      <c r="M18" s="80">
        <v>45</v>
      </c>
      <c r="N18" s="80">
        <v>360</v>
      </c>
      <c r="O18" s="80">
        <v>210</v>
      </c>
      <c r="P18" s="80">
        <v>120</v>
      </c>
      <c r="AA18" s="80">
        <v>45</v>
      </c>
      <c r="AB18" s="80">
        <v>92</v>
      </c>
      <c r="AC18" s="80">
        <v>70</v>
      </c>
      <c r="AD18" s="80">
        <v>54</v>
      </c>
    </row>
    <row r="19" spans="2:36" x14ac:dyDescent="0.25">
      <c r="B19" s="62"/>
      <c r="M19" s="80">
        <v>50</v>
      </c>
      <c r="N19" s="80">
        <v>295</v>
      </c>
      <c r="O19" s="80">
        <v>170</v>
      </c>
      <c r="P19" s="80">
        <v>100</v>
      </c>
      <c r="S19" s="81" t="s">
        <v>122</v>
      </c>
      <c r="T19" s="75" t="s">
        <v>72</v>
      </c>
      <c r="U19" s="40">
        <v>2111221.9556685998</v>
      </c>
      <c r="V19" s="40">
        <v>1256659.1670234799</v>
      </c>
      <c r="W19" s="40">
        <v>713901.87880245701</v>
      </c>
      <c r="AA19" s="80">
        <v>50</v>
      </c>
      <c r="AB19" s="80">
        <v>84</v>
      </c>
      <c r="AC19" s="80">
        <v>63</v>
      </c>
      <c r="AD19" s="80">
        <v>49</v>
      </c>
      <c r="AG19" s="40" t="s">
        <v>72</v>
      </c>
      <c r="AH19" s="40">
        <v>327.69153626999997</v>
      </c>
      <c r="AI19" s="40">
        <v>249.78261234799999</v>
      </c>
      <c r="AJ19" s="40">
        <v>192.964697718</v>
      </c>
    </row>
    <row r="20" spans="2:36" x14ac:dyDescent="0.25">
      <c r="B20" s="62"/>
      <c r="M20" s="80">
        <v>55</v>
      </c>
      <c r="N20" s="80">
        <v>237</v>
      </c>
      <c r="O20" s="80">
        <v>138</v>
      </c>
      <c r="P20" s="80">
        <v>80</v>
      </c>
      <c r="T20" s="75" t="s">
        <v>123</v>
      </c>
      <c r="U20" s="40">
        <v>-2.2715421990000002</v>
      </c>
      <c r="V20" s="40">
        <v>-2.2788872759999999</v>
      </c>
      <c r="W20" s="40">
        <v>-2.2732164949999998</v>
      </c>
      <c r="AA20" s="80">
        <v>55</v>
      </c>
      <c r="AB20" s="80">
        <v>77</v>
      </c>
      <c r="AC20" s="80">
        <v>60</v>
      </c>
      <c r="AD20" s="80">
        <v>45</v>
      </c>
      <c r="AF20" s="81" t="s">
        <v>122</v>
      </c>
      <c r="AG20" s="40" t="s">
        <v>73</v>
      </c>
      <c r="AH20" s="40">
        <v>-10.286049308999999</v>
      </c>
      <c r="AI20" s="40">
        <v>-7.8037310169999996</v>
      </c>
      <c r="AJ20" s="40">
        <v>-6.115721035</v>
      </c>
    </row>
    <row r="21" spans="2:36" x14ac:dyDescent="0.25">
      <c r="B21" s="62"/>
      <c r="M21" s="80">
        <v>60</v>
      </c>
      <c r="N21" s="80">
        <v>198</v>
      </c>
      <c r="O21" s="80">
        <v>113</v>
      </c>
      <c r="P21" s="80">
        <v>65</v>
      </c>
      <c r="AA21" s="80">
        <v>60</v>
      </c>
      <c r="AB21" s="80">
        <v>71</v>
      </c>
      <c r="AC21" s="80">
        <v>55</v>
      </c>
      <c r="AD21" s="80">
        <v>42</v>
      </c>
      <c r="AG21" s="40" t="s">
        <v>74</v>
      </c>
      <c r="AH21" s="40">
        <v>0.16544667499999999</v>
      </c>
      <c r="AI21" s="40">
        <v>0.12543210699999999</v>
      </c>
      <c r="AJ21" s="40">
        <v>9.9579511999999995E-2</v>
      </c>
    </row>
    <row r="22" spans="2:36" x14ac:dyDescent="0.25">
      <c r="B22" s="62"/>
      <c r="M22" s="80">
        <v>65</v>
      </c>
      <c r="N22" s="80">
        <v>162</v>
      </c>
      <c r="O22" s="80">
        <v>95</v>
      </c>
      <c r="P22" s="80">
        <v>55</v>
      </c>
      <c r="AA22" s="80">
        <v>65</v>
      </c>
      <c r="AB22" s="80">
        <v>66</v>
      </c>
      <c r="AC22" s="80">
        <v>51</v>
      </c>
      <c r="AD22" s="80">
        <v>39</v>
      </c>
      <c r="AG22" s="40" t="s">
        <v>75</v>
      </c>
      <c r="AH22" s="40">
        <v>-1.4588310000000001E-3</v>
      </c>
      <c r="AI22" s="40">
        <v>-1.1108050000000001E-3</v>
      </c>
      <c r="AJ22" s="40">
        <v>-8.8939399999999995E-4</v>
      </c>
    </row>
    <row r="23" spans="2:36" x14ac:dyDescent="0.25">
      <c r="B23" s="62"/>
      <c r="M23" s="80">
        <v>70</v>
      </c>
      <c r="N23" s="80">
        <v>136</v>
      </c>
      <c r="O23" s="80">
        <v>80</v>
      </c>
      <c r="P23" s="80">
        <v>46</v>
      </c>
      <c r="AA23" s="80">
        <v>70</v>
      </c>
      <c r="AB23" s="80">
        <v>62</v>
      </c>
      <c r="AC23" s="80">
        <v>47</v>
      </c>
      <c r="AD23" s="80">
        <v>36.299999999999997</v>
      </c>
      <c r="AG23" s="40" t="s">
        <v>79</v>
      </c>
      <c r="AH23" s="40">
        <v>7.1609999999999997E-6</v>
      </c>
      <c r="AI23" s="40">
        <v>5.4960000000000004E-6</v>
      </c>
      <c r="AJ23" s="40">
        <v>4.4159999999999997E-6</v>
      </c>
    </row>
    <row r="24" spans="2:36" x14ac:dyDescent="0.25">
      <c r="B24" s="62"/>
      <c r="M24" s="80">
        <v>80</v>
      </c>
      <c r="N24" s="80">
        <v>100</v>
      </c>
      <c r="O24" s="80">
        <v>58</v>
      </c>
      <c r="P24" s="80">
        <v>34</v>
      </c>
      <c r="AA24" s="80">
        <v>80</v>
      </c>
      <c r="AB24" s="80">
        <v>55</v>
      </c>
      <c r="AC24" s="80">
        <v>42</v>
      </c>
      <c r="AD24" s="80">
        <v>32</v>
      </c>
      <c r="AG24" s="40" t="s">
        <v>80</v>
      </c>
      <c r="AH24" s="82">
        <v>-1.8306504670000001E-8</v>
      </c>
      <c r="AI24" s="82">
        <v>-1.418966008E-8</v>
      </c>
      <c r="AJ24" s="82">
        <v>-1.139580414E-8</v>
      </c>
    </row>
    <row r="25" spans="2:36" x14ac:dyDescent="0.25">
      <c r="B25" s="62"/>
      <c r="M25" s="80">
        <v>90</v>
      </c>
      <c r="N25" s="80">
        <v>76</v>
      </c>
      <c r="O25" s="80">
        <v>43</v>
      </c>
      <c r="P25" s="80">
        <v>25</v>
      </c>
      <c r="AA25" s="80">
        <v>90</v>
      </c>
      <c r="AB25" s="80">
        <v>50</v>
      </c>
      <c r="AC25" s="80">
        <v>38</v>
      </c>
      <c r="AD25" s="80">
        <v>29</v>
      </c>
      <c r="AG25" s="40" t="s">
        <v>81</v>
      </c>
      <c r="AH25" s="82">
        <v>1.897531741E-11</v>
      </c>
      <c r="AI25" s="82">
        <v>1.4860842430000002E-11</v>
      </c>
      <c r="AJ25" s="82">
        <v>1.190212187E-11</v>
      </c>
    </row>
    <row r="26" spans="2:36" x14ac:dyDescent="0.25">
      <c r="B26" s="62"/>
      <c r="M26" s="80">
        <v>100</v>
      </c>
      <c r="N26" s="80">
        <v>60</v>
      </c>
      <c r="O26" s="80">
        <v>35</v>
      </c>
      <c r="P26" s="80">
        <v>20</v>
      </c>
      <c r="AA26" s="80">
        <v>100</v>
      </c>
      <c r="AB26" s="80">
        <v>46</v>
      </c>
      <c r="AC26" s="80">
        <v>35</v>
      </c>
      <c r="AD26" s="80">
        <v>27</v>
      </c>
    </row>
    <row r="27" spans="2:36" x14ac:dyDescent="0.25">
      <c r="B27" s="62"/>
      <c r="M27" s="80">
        <v>110</v>
      </c>
      <c r="N27" s="80">
        <v>49</v>
      </c>
      <c r="O27" s="80">
        <v>28</v>
      </c>
      <c r="P27" s="80">
        <v>16</v>
      </c>
      <c r="AA27" s="80">
        <v>110</v>
      </c>
      <c r="AB27" s="80">
        <v>43.5</v>
      </c>
      <c r="AC27" s="80">
        <v>33</v>
      </c>
      <c r="AD27" s="80">
        <v>25.5</v>
      </c>
    </row>
    <row r="28" spans="2:36" x14ac:dyDescent="0.25">
      <c r="B28" s="62"/>
      <c r="M28" s="80">
        <v>120</v>
      </c>
      <c r="N28" s="80">
        <v>40</v>
      </c>
      <c r="O28" s="80">
        <v>23</v>
      </c>
      <c r="P28" s="80">
        <v>13.5</v>
      </c>
      <c r="AA28" s="80">
        <v>120</v>
      </c>
      <c r="AB28" s="80">
        <v>41</v>
      </c>
      <c r="AC28" s="80">
        <v>31</v>
      </c>
      <c r="AD28" s="80">
        <v>24</v>
      </c>
    </row>
    <row r="29" spans="2:36" x14ac:dyDescent="0.25">
      <c r="M29" s="80">
        <v>130</v>
      </c>
      <c r="N29" s="80">
        <v>33</v>
      </c>
      <c r="O29" s="80">
        <v>19</v>
      </c>
      <c r="P29" s="80">
        <v>11.3</v>
      </c>
      <c r="AA29" s="80">
        <v>130</v>
      </c>
      <c r="AB29" s="80">
        <v>38.700000000000003</v>
      </c>
      <c r="AC29" s="80">
        <v>29.3</v>
      </c>
      <c r="AD29" s="80">
        <v>22.5</v>
      </c>
    </row>
    <row r="30" spans="2:36" x14ac:dyDescent="0.25">
      <c r="M30" s="80">
        <v>140</v>
      </c>
      <c r="N30" s="80">
        <v>28</v>
      </c>
      <c r="O30" s="80">
        <v>16</v>
      </c>
      <c r="P30" s="80">
        <v>9.4</v>
      </c>
      <c r="AA30" s="80">
        <v>140</v>
      </c>
      <c r="AB30" s="80">
        <v>36.6</v>
      </c>
      <c r="AC30" s="80">
        <v>28</v>
      </c>
      <c r="AD30" s="80">
        <v>21</v>
      </c>
    </row>
    <row r="31" spans="2:36" x14ac:dyDescent="0.25">
      <c r="M31" s="80">
        <v>150</v>
      </c>
      <c r="N31" s="80">
        <v>24</v>
      </c>
      <c r="O31" s="80">
        <v>13.8</v>
      </c>
      <c r="P31" s="80">
        <v>8</v>
      </c>
      <c r="AA31" s="80">
        <v>150</v>
      </c>
      <c r="AB31" s="80">
        <v>35</v>
      </c>
      <c r="AC31" s="80">
        <v>27</v>
      </c>
      <c r="AD31" s="80">
        <v>20</v>
      </c>
    </row>
    <row r="32" spans="2:36" x14ac:dyDescent="0.25">
      <c r="M32" s="80">
        <v>160</v>
      </c>
      <c r="N32" s="80">
        <v>20.5</v>
      </c>
      <c r="O32" s="80">
        <v>11.7</v>
      </c>
      <c r="P32" s="80">
        <v>7</v>
      </c>
      <c r="AA32" s="80">
        <v>160</v>
      </c>
      <c r="AB32" s="80">
        <v>34</v>
      </c>
      <c r="AC32" s="80">
        <v>26</v>
      </c>
      <c r="AD32" s="80">
        <v>19.399999999999999</v>
      </c>
    </row>
    <row r="33" spans="13:30" x14ac:dyDescent="0.25">
      <c r="M33" s="80">
        <v>170</v>
      </c>
      <c r="N33" s="80">
        <v>18</v>
      </c>
      <c r="O33" s="80">
        <v>10.3</v>
      </c>
      <c r="P33" s="80">
        <v>6</v>
      </c>
      <c r="AA33" s="80">
        <v>170</v>
      </c>
      <c r="AB33" s="80">
        <v>33</v>
      </c>
      <c r="AC33" s="80">
        <v>25.2</v>
      </c>
      <c r="AD33" s="80">
        <v>19.2</v>
      </c>
    </row>
    <row r="34" spans="13:30" x14ac:dyDescent="0.25">
      <c r="M34" s="80">
        <v>180</v>
      </c>
      <c r="N34" s="80">
        <v>15.7</v>
      </c>
      <c r="O34" s="80">
        <v>9</v>
      </c>
      <c r="P34" s="80">
        <v>5.3</v>
      </c>
      <c r="AA34" s="80">
        <v>180</v>
      </c>
      <c r="AB34" s="80">
        <v>32.299999999999997</v>
      </c>
      <c r="AC34" s="80">
        <v>24.8</v>
      </c>
      <c r="AD34" s="80">
        <v>18.7</v>
      </c>
    </row>
    <row r="35" spans="13:30" x14ac:dyDescent="0.25">
      <c r="M35" s="80">
        <v>190</v>
      </c>
      <c r="N35" s="80">
        <v>14</v>
      </c>
      <c r="O35" s="80">
        <v>8</v>
      </c>
      <c r="P35" s="80">
        <v>4.7</v>
      </c>
      <c r="AA35" s="80">
        <v>190</v>
      </c>
      <c r="AB35" s="80">
        <v>31.5</v>
      </c>
      <c r="AC35" s="80">
        <v>24.4</v>
      </c>
      <c r="AD35" s="80">
        <v>18.3</v>
      </c>
    </row>
    <row r="36" spans="13:30" x14ac:dyDescent="0.25">
      <c r="M36" s="80">
        <v>200</v>
      </c>
      <c r="N36" s="80">
        <v>12.5</v>
      </c>
      <c r="O36" s="80">
        <v>7.3</v>
      </c>
      <c r="P36" s="80">
        <v>4.2</v>
      </c>
      <c r="AA36" s="80">
        <v>200</v>
      </c>
      <c r="AB36" s="80">
        <v>31</v>
      </c>
      <c r="AC36" s="80">
        <v>24</v>
      </c>
      <c r="AD36" s="80">
        <v>18</v>
      </c>
    </row>
    <row r="37" spans="13:30" x14ac:dyDescent="0.25">
      <c r="M37" s="80">
        <v>210</v>
      </c>
      <c r="N37" s="80">
        <v>11.5</v>
      </c>
      <c r="O37" s="80">
        <v>6.5</v>
      </c>
      <c r="P37" s="80">
        <v>3.8</v>
      </c>
      <c r="AA37" s="80">
        <v>210</v>
      </c>
      <c r="AB37" s="80">
        <v>30.7</v>
      </c>
      <c r="AC37" s="80">
        <v>23.6</v>
      </c>
      <c r="AD37" s="80">
        <v>17.7</v>
      </c>
    </row>
    <row r="38" spans="13:30" x14ac:dyDescent="0.25">
      <c r="M38" s="80">
        <v>220</v>
      </c>
      <c r="N38" s="80">
        <v>10.199999999999999</v>
      </c>
      <c r="O38" s="80">
        <v>5.8</v>
      </c>
      <c r="P38" s="80">
        <v>3.4</v>
      </c>
      <c r="AA38" s="80">
        <v>220</v>
      </c>
      <c r="AB38" s="80">
        <v>30.3</v>
      </c>
      <c r="AC38" s="80">
        <v>23.3</v>
      </c>
      <c r="AD38" s="80">
        <v>17.5</v>
      </c>
    </row>
    <row r="39" spans="13:30" x14ac:dyDescent="0.25">
      <c r="M39" s="80">
        <v>230</v>
      </c>
      <c r="N39" s="80">
        <v>9.1999999999999993</v>
      </c>
      <c r="O39" s="80">
        <v>5.3</v>
      </c>
      <c r="P39" s="80">
        <v>3.1</v>
      </c>
      <c r="AA39" s="80">
        <v>230</v>
      </c>
      <c r="AB39" s="80">
        <v>30</v>
      </c>
      <c r="AC39" s="80">
        <v>22.9</v>
      </c>
      <c r="AD39" s="80">
        <v>17.399999999999999</v>
      </c>
    </row>
    <row r="40" spans="13:30" x14ac:dyDescent="0.25">
      <c r="M40" s="80">
        <v>240</v>
      </c>
      <c r="N40" s="80">
        <v>8.3000000000000007</v>
      </c>
      <c r="O40" s="80">
        <v>4.8</v>
      </c>
      <c r="P40" s="80">
        <v>2.8</v>
      </c>
      <c r="AA40" s="80">
        <v>240</v>
      </c>
      <c r="AB40" s="80">
        <v>29.5</v>
      </c>
      <c r="AC40" s="80">
        <v>22.6</v>
      </c>
      <c r="AD40" s="80">
        <v>17.2</v>
      </c>
    </row>
    <row r="41" spans="13:30" ht="15.75" thickBot="1" x14ac:dyDescent="0.3">
      <c r="M41" s="83">
        <v>250</v>
      </c>
      <c r="N41" s="83">
        <v>7.5</v>
      </c>
      <c r="O41" s="83">
        <v>4.2</v>
      </c>
      <c r="P41" s="83">
        <v>2.5</v>
      </c>
      <c r="AA41" s="83">
        <v>250</v>
      </c>
      <c r="AB41" s="83">
        <v>29.3</v>
      </c>
      <c r="AC41" s="83">
        <v>22.4</v>
      </c>
      <c r="AD41" s="83">
        <v>17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D5AF-56FB-4752-9071-A7C650FCCB00}">
  <dimension ref="B1:H29"/>
  <sheetViews>
    <sheetView zoomScale="85" zoomScaleNormal="85" workbookViewId="0">
      <selection activeCell="L33" sqref="L33"/>
    </sheetView>
  </sheetViews>
  <sheetFormatPr defaultRowHeight="15" x14ac:dyDescent="0.25"/>
  <cols>
    <col min="1" max="16384" width="9.140625" style="40"/>
  </cols>
  <sheetData>
    <row r="1" spans="2:8" x14ac:dyDescent="0.25">
      <c r="B1" s="40" t="s">
        <v>104</v>
      </c>
    </row>
    <row r="2" spans="2:8" x14ac:dyDescent="0.25">
      <c r="C2" s="40" t="s">
        <v>34</v>
      </c>
      <c r="D2" s="40" t="s">
        <v>36</v>
      </c>
      <c r="F2" s="40" t="s">
        <v>124</v>
      </c>
    </row>
    <row r="3" spans="2:8" x14ac:dyDescent="0.25">
      <c r="B3" s="40" t="s">
        <v>125</v>
      </c>
      <c r="C3" s="40" t="s">
        <v>126</v>
      </c>
      <c r="D3" s="40" t="s">
        <v>126</v>
      </c>
      <c r="F3" s="40" t="s">
        <v>127</v>
      </c>
      <c r="G3" s="40">
        <v>2133</v>
      </c>
      <c r="H3" s="40">
        <v>5000</v>
      </c>
    </row>
    <row r="4" spans="2:8" x14ac:dyDescent="0.25">
      <c r="B4" s="40" t="s">
        <v>128</v>
      </c>
      <c r="C4" s="40" t="s">
        <v>129</v>
      </c>
      <c r="D4" s="40" t="s">
        <v>129</v>
      </c>
      <c r="F4" s="40" t="s">
        <v>130</v>
      </c>
      <c r="G4" s="40">
        <v>-0.33300000000000002</v>
      </c>
      <c r="H4" s="40">
        <v>-0.33300000000000002</v>
      </c>
    </row>
    <row r="5" spans="2:8" x14ac:dyDescent="0.25">
      <c r="B5" s="40">
        <v>10</v>
      </c>
      <c r="C5" s="40">
        <v>1000</v>
      </c>
      <c r="D5" s="40">
        <v>2350</v>
      </c>
      <c r="G5" s="40">
        <f>G$3*$B5^G$4</f>
        <v>990.81108205012447</v>
      </c>
      <c r="H5" s="40">
        <f>H$3*$B5^H$4</f>
        <v>2322.5763761137468</v>
      </c>
    </row>
    <row r="6" spans="2:8" x14ac:dyDescent="0.25">
      <c r="B6" s="40">
        <v>20</v>
      </c>
      <c r="C6" s="40">
        <v>800</v>
      </c>
      <c r="D6" s="40">
        <v>1850</v>
      </c>
      <c r="G6" s="40">
        <f t="shared" ref="G6:H14" si="0">G$3*$B6^G$4</f>
        <v>786.58899662859699</v>
      </c>
      <c r="H6" s="40">
        <f t="shared" si="0"/>
        <v>1843.8560633581737</v>
      </c>
    </row>
    <row r="7" spans="2:8" x14ac:dyDescent="0.25">
      <c r="B7" s="40">
        <v>50</v>
      </c>
      <c r="C7" s="40">
        <v>600</v>
      </c>
      <c r="D7" s="40">
        <v>1380</v>
      </c>
      <c r="G7" s="40">
        <f t="shared" si="0"/>
        <v>579.74077133939068</v>
      </c>
      <c r="H7" s="40">
        <f t="shared" si="0"/>
        <v>1358.979773416293</v>
      </c>
    </row>
    <row r="8" spans="2:8" x14ac:dyDescent="0.25">
      <c r="B8" s="40">
        <v>100</v>
      </c>
      <c r="C8" s="40">
        <v>470</v>
      </c>
      <c r="D8" s="40">
        <v>1080</v>
      </c>
      <c r="G8" s="40">
        <f t="shared" si="0"/>
        <v>460.24688247226368</v>
      </c>
      <c r="H8" s="40">
        <f t="shared" si="0"/>
        <v>1078.8722045763329</v>
      </c>
    </row>
    <row r="9" spans="2:8" x14ac:dyDescent="0.25">
      <c r="B9" s="40">
        <v>200</v>
      </c>
      <c r="C9" s="40">
        <v>365</v>
      </c>
      <c r="D9" s="40">
        <v>860</v>
      </c>
      <c r="G9" s="40">
        <f t="shared" si="0"/>
        <v>365.38260425611901</v>
      </c>
      <c r="H9" s="40">
        <f t="shared" si="0"/>
        <v>856.49930674195741</v>
      </c>
    </row>
    <row r="10" spans="2:8" x14ac:dyDescent="0.25">
      <c r="B10" s="40">
        <v>500</v>
      </c>
      <c r="C10" s="40">
        <v>280</v>
      </c>
      <c r="D10" s="40">
        <v>630</v>
      </c>
      <c r="G10" s="40">
        <f t="shared" si="0"/>
        <v>269.29844395656608</v>
      </c>
      <c r="H10" s="40">
        <f t="shared" si="0"/>
        <v>631.26686347061911</v>
      </c>
    </row>
    <row r="11" spans="2:8" x14ac:dyDescent="0.25">
      <c r="B11" s="40">
        <v>1000</v>
      </c>
      <c r="C11" s="40">
        <v>220</v>
      </c>
      <c r="D11" s="40">
        <v>500</v>
      </c>
      <c r="G11" s="40">
        <f t="shared" si="0"/>
        <v>213.79170728201598</v>
      </c>
      <c r="H11" s="40">
        <f t="shared" si="0"/>
        <v>501.15261903894981</v>
      </c>
    </row>
    <row r="12" spans="2:8" x14ac:dyDescent="0.25">
      <c r="B12" s="40">
        <v>2000</v>
      </c>
      <c r="C12" s="40">
        <v>175</v>
      </c>
      <c r="D12" s="40">
        <v>400</v>
      </c>
      <c r="G12" s="40">
        <f t="shared" si="0"/>
        <v>169.72580097763608</v>
      </c>
      <c r="H12" s="40">
        <f t="shared" si="0"/>
        <v>397.85701119933447</v>
      </c>
    </row>
    <row r="13" spans="2:8" x14ac:dyDescent="0.25">
      <c r="B13" s="40">
        <v>5000</v>
      </c>
      <c r="C13" s="40">
        <v>128</v>
      </c>
      <c r="D13" s="40">
        <v>295</v>
      </c>
      <c r="G13" s="40">
        <f t="shared" si="0"/>
        <v>125.09324081154243</v>
      </c>
      <c r="H13" s="40">
        <f t="shared" si="0"/>
        <v>293.23310082405635</v>
      </c>
    </row>
    <row r="14" spans="2:8" x14ac:dyDescent="0.25">
      <c r="B14" s="40">
        <v>10000</v>
      </c>
      <c r="C14" s="40">
        <v>100</v>
      </c>
      <c r="D14" s="40">
        <v>230</v>
      </c>
      <c r="G14" s="40">
        <f t="shared" si="0"/>
        <v>99.309513748447117</v>
      </c>
      <c r="H14" s="40">
        <f t="shared" si="0"/>
        <v>232.79304676147942</v>
      </c>
    </row>
    <row r="16" spans="2:8" x14ac:dyDescent="0.25">
      <c r="B16" s="40" t="s">
        <v>13</v>
      </c>
    </row>
    <row r="17" spans="2:8" x14ac:dyDescent="0.25">
      <c r="B17" s="40" t="s">
        <v>131</v>
      </c>
      <c r="C17" s="40" t="s">
        <v>34</v>
      </c>
      <c r="D17" s="40" t="s">
        <v>36</v>
      </c>
      <c r="F17" s="40" t="s">
        <v>124</v>
      </c>
    </row>
    <row r="18" spans="2:8" x14ac:dyDescent="0.25">
      <c r="B18" s="40" t="s">
        <v>132</v>
      </c>
      <c r="C18" s="40" t="s">
        <v>86</v>
      </c>
      <c r="D18" s="40" t="s">
        <v>86</v>
      </c>
      <c r="F18" s="40" t="s">
        <v>127</v>
      </c>
      <c r="G18" s="40">
        <v>595</v>
      </c>
      <c r="H18" s="40">
        <v>1400</v>
      </c>
    </row>
    <row r="19" spans="2:8" x14ac:dyDescent="0.25">
      <c r="B19" s="40" t="s">
        <v>133</v>
      </c>
      <c r="C19" s="40" t="s">
        <v>134</v>
      </c>
      <c r="D19" s="40" t="s">
        <v>134</v>
      </c>
      <c r="F19" s="40" t="s">
        <v>130</v>
      </c>
      <c r="G19" s="40">
        <v>-0.33300000000000002</v>
      </c>
      <c r="H19" s="40">
        <v>-0.33300000000000002</v>
      </c>
    </row>
    <row r="20" spans="2:8" x14ac:dyDescent="0.25">
      <c r="B20" s="40">
        <f>+B5*0.7457</f>
        <v>7.4570000000000007</v>
      </c>
      <c r="C20" s="40">
        <f>+C5*0.3048</f>
        <v>304.8</v>
      </c>
      <c r="D20" s="40">
        <f>+D5*0.3048</f>
        <v>716.28000000000009</v>
      </c>
      <c r="G20" s="40">
        <f>G$18*$B20^G$19</f>
        <v>304.7565904098426</v>
      </c>
      <c r="H20" s="40">
        <f>H$18*$B20^H$19</f>
        <v>717.07433037610031</v>
      </c>
    </row>
    <row r="21" spans="2:8" x14ac:dyDescent="0.25">
      <c r="B21" s="40">
        <f t="shared" ref="B21:B29" si="1">+B6*0.7457</f>
        <v>14.914000000000001</v>
      </c>
      <c r="C21" s="40">
        <f t="shared" ref="C21:D29" si="2">+C6*0.3048</f>
        <v>243.84</v>
      </c>
      <c r="D21" s="40">
        <f t="shared" si="2"/>
        <v>563.88</v>
      </c>
      <c r="G21" s="40">
        <f t="shared" ref="G21:H29" si="3">G$18*$B21^G$19</f>
        <v>241.94135997189341</v>
      </c>
      <c r="H21" s="40">
        <f t="shared" si="3"/>
        <v>569.27378816916098</v>
      </c>
    </row>
    <row r="22" spans="2:8" x14ac:dyDescent="0.25">
      <c r="B22" s="40">
        <f t="shared" si="1"/>
        <v>37.285000000000004</v>
      </c>
      <c r="C22" s="40">
        <f t="shared" si="2"/>
        <v>182.88</v>
      </c>
      <c r="D22" s="40">
        <f t="shared" si="2"/>
        <v>420.62400000000002</v>
      </c>
      <c r="G22" s="40">
        <f t="shared" si="3"/>
        <v>178.31837369984805</v>
      </c>
      <c r="H22" s="40">
        <f t="shared" si="3"/>
        <v>419.57264399964242</v>
      </c>
    </row>
    <row r="23" spans="2:8" x14ac:dyDescent="0.25">
      <c r="B23" s="40">
        <f t="shared" si="1"/>
        <v>74.570000000000007</v>
      </c>
      <c r="C23" s="40">
        <f t="shared" si="2"/>
        <v>143.256</v>
      </c>
      <c r="D23" s="40">
        <f t="shared" si="2"/>
        <v>329.18400000000003</v>
      </c>
      <c r="G23" s="40">
        <f t="shared" si="3"/>
        <v>141.56409147017476</v>
      </c>
      <c r="H23" s="40">
        <f t="shared" si="3"/>
        <v>333.09197992982297</v>
      </c>
    </row>
    <row r="24" spans="2:8" x14ac:dyDescent="0.25">
      <c r="B24" s="40">
        <f t="shared" si="1"/>
        <v>149.14000000000001</v>
      </c>
      <c r="C24" s="40">
        <f t="shared" si="2"/>
        <v>111.25200000000001</v>
      </c>
      <c r="D24" s="40">
        <f t="shared" si="2"/>
        <v>262.12799999999999</v>
      </c>
      <c r="G24" s="40">
        <f t="shared" si="3"/>
        <v>112.38545741511039</v>
      </c>
      <c r="H24" s="40">
        <f t="shared" si="3"/>
        <v>264.43637038849505</v>
      </c>
    </row>
    <row r="25" spans="2:8" x14ac:dyDescent="0.25">
      <c r="B25" s="40">
        <f t="shared" si="1"/>
        <v>372.85</v>
      </c>
      <c r="C25" s="40">
        <f t="shared" si="2"/>
        <v>85.344000000000008</v>
      </c>
      <c r="D25" s="40">
        <f t="shared" si="2"/>
        <v>192.024</v>
      </c>
      <c r="G25" s="40">
        <f t="shared" si="3"/>
        <v>82.831608436457998</v>
      </c>
      <c r="H25" s="40">
        <f t="shared" si="3"/>
        <v>194.89790220343056</v>
      </c>
    </row>
    <row r="26" spans="2:8" x14ac:dyDescent="0.25">
      <c r="B26" s="40">
        <f t="shared" si="1"/>
        <v>745.7</v>
      </c>
      <c r="C26" s="40">
        <f t="shared" si="2"/>
        <v>67.055999999999997</v>
      </c>
      <c r="D26" s="40">
        <f t="shared" si="2"/>
        <v>152.4</v>
      </c>
      <c r="G26" s="40">
        <f t="shared" si="3"/>
        <v>65.758682910926694</v>
      </c>
      <c r="H26" s="40">
        <f t="shared" si="3"/>
        <v>154.72631273159223</v>
      </c>
    </row>
    <row r="27" spans="2:8" x14ac:dyDescent="0.25">
      <c r="B27" s="40">
        <f t="shared" si="1"/>
        <v>1491.4</v>
      </c>
      <c r="C27" s="40">
        <f t="shared" si="2"/>
        <v>53.34</v>
      </c>
      <c r="D27" s="40">
        <f t="shared" si="2"/>
        <v>121.92</v>
      </c>
      <c r="G27" s="40">
        <f t="shared" si="3"/>
        <v>52.204761682214574</v>
      </c>
      <c r="H27" s="40">
        <f t="shared" si="3"/>
        <v>122.83473336991663</v>
      </c>
    </row>
    <row r="28" spans="2:8" x14ac:dyDescent="0.25">
      <c r="B28" s="40">
        <f t="shared" si="1"/>
        <v>3728.5</v>
      </c>
      <c r="C28" s="40">
        <f t="shared" si="2"/>
        <v>39.014400000000002</v>
      </c>
      <c r="D28" s="40">
        <f t="shared" si="2"/>
        <v>89.916000000000011</v>
      </c>
      <c r="G28" s="40">
        <f t="shared" si="3"/>
        <v>38.476547390004299</v>
      </c>
      <c r="H28" s="40">
        <f t="shared" si="3"/>
        <v>90.533052682363049</v>
      </c>
    </row>
    <row r="29" spans="2:8" x14ac:dyDescent="0.25">
      <c r="B29" s="40">
        <f t="shared" si="1"/>
        <v>7457</v>
      </c>
      <c r="C29" s="40">
        <f t="shared" si="2"/>
        <v>30.48</v>
      </c>
      <c r="D29" s="40">
        <f t="shared" si="2"/>
        <v>70.103999999999999</v>
      </c>
      <c r="G29" s="40">
        <f t="shared" si="3"/>
        <v>30.545912690654628</v>
      </c>
      <c r="H29" s="40">
        <f t="shared" si="3"/>
        <v>71.87273574271677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F513D-C6A4-44A7-A2F3-ABE1347023DE}">
  <dimension ref="A1"/>
  <sheetViews>
    <sheetView workbookViewId="0">
      <selection activeCell="L33" sqref="L33"/>
    </sheetView>
  </sheetViews>
  <sheetFormatPr defaultRowHeight="15" x14ac:dyDescent="0.25"/>
  <cols>
    <col min="1" max="16384" width="9.140625" style="40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52DFE-242D-4FCC-84C2-9137FCE22458}">
  <sheetPr codeName="Sheet4"/>
  <dimension ref="B2:E12"/>
  <sheetViews>
    <sheetView zoomScale="145" zoomScaleNormal="145" workbookViewId="0">
      <selection activeCell="L33" sqref="L33"/>
    </sheetView>
  </sheetViews>
  <sheetFormatPr defaultRowHeight="12.75" x14ac:dyDescent="0.2"/>
  <cols>
    <col min="2" max="2" width="17.28515625" customWidth="1"/>
    <col min="3" max="3" width="21.140625" bestFit="1" customWidth="1"/>
    <col min="4" max="4" width="20.28515625" customWidth="1"/>
    <col min="5" max="5" width="23.5703125" bestFit="1" customWidth="1"/>
    <col min="6" max="6" width="18.28515625" customWidth="1"/>
    <col min="7" max="7" width="18.85546875" customWidth="1"/>
    <col min="9" max="9" width="12.42578125" customWidth="1"/>
    <col min="10" max="10" width="16.85546875" customWidth="1"/>
  </cols>
  <sheetData>
    <row r="2" spans="2:5" x14ac:dyDescent="0.2">
      <c r="B2" t="s">
        <v>135</v>
      </c>
    </row>
    <row r="4" spans="2:5" x14ac:dyDescent="0.2">
      <c r="B4" t="s">
        <v>12</v>
      </c>
      <c r="C4" s="7"/>
    </row>
    <row r="5" spans="2:5" x14ac:dyDescent="0.2">
      <c r="B5" t="s">
        <v>104</v>
      </c>
      <c r="C5" s="7" t="s">
        <v>136</v>
      </c>
    </row>
    <row r="6" spans="2:5" x14ac:dyDescent="0.2">
      <c r="B6" t="s">
        <v>13</v>
      </c>
      <c r="C6" s="7" t="s">
        <v>30</v>
      </c>
    </row>
    <row r="7" spans="2:5" x14ac:dyDescent="0.2">
      <c r="E7" s="7"/>
    </row>
    <row r="10" spans="2:5" x14ac:dyDescent="0.2">
      <c r="C10" s="7"/>
    </row>
    <row r="11" spans="2:5" x14ac:dyDescent="0.2">
      <c r="C11" s="7"/>
    </row>
    <row r="12" spans="2:5" x14ac:dyDescent="0.2">
      <c r="C12" s="7"/>
    </row>
  </sheetData>
  <pageMargins left="0.75" right="0.75" top="1" bottom="1" header="0.5" footer="0.5"/>
  <pageSetup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F8F5C3D-FC12-4EDB-A670-126E6328FC68}"/>
</file>

<file path=customXml/itemProps2.xml><?xml version="1.0" encoding="utf-8"?>
<ds:datastoreItem xmlns:ds="http://schemas.openxmlformats.org/officeDocument/2006/customXml" ds:itemID="{90098DE5-6FF4-4227-B3D4-609AB9ECB213}">
  <ds:schemaRefs>
    <ds:schemaRef ds:uri="http://schemas.openxmlformats.org/package/2006/metadata/core-properties"/>
    <ds:schemaRef ds:uri="http://purl.org/dc/terms/"/>
    <ds:schemaRef ds:uri="http://purl.org/dc/dcmitype/"/>
    <ds:schemaRef ds:uri="http://www.w3.org/XML/1998/namespace"/>
    <ds:schemaRef ds:uri="http://purl.org/dc/elements/1.1/"/>
    <ds:schemaRef ds:uri="http://schemas.microsoft.com/office/2006/documentManagement/types"/>
    <ds:schemaRef ds:uri="66770250-2911-4975-a930-e265f16377b7"/>
    <ds:schemaRef ds:uri="http://schemas.microsoft.com/office/infopath/2007/PartnerControls"/>
    <ds:schemaRef ds:uri="a0136f4a-310d-49c3-b0fa-c69417a7ff2d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538C65AC-3B22-428A-8782-54C85D6EF4B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Fogli di lavoro</vt:lpstr>
      </vt:variant>
      <vt:variant>
        <vt:i4>9</vt:i4>
      </vt:variant>
      <vt:variant>
        <vt:lpstr>Intervalli denominati</vt:lpstr>
      </vt:variant>
      <vt:variant>
        <vt:i4>4</vt:i4>
      </vt:variant>
    </vt:vector>
  </HeadingPairs>
  <TitlesOfParts>
    <vt:vector size="13" baseType="lpstr">
      <vt:lpstr>Cover</vt:lpstr>
      <vt:lpstr>Input_Output</vt:lpstr>
      <vt:lpstr>Metric_Conversion</vt:lpstr>
      <vt:lpstr>EnergyLevel</vt:lpstr>
      <vt:lpstr>API610-12ed-preview</vt:lpstr>
      <vt:lpstr>Gulich</vt:lpstr>
      <vt:lpstr>St-Wk-Bradshaw</vt:lpstr>
      <vt:lpstr>Foglio2</vt:lpstr>
      <vt:lpstr>setup</vt:lpstr>
      <vt:lpstr>Cover!Area_stampa</vt:lpstr>
      <vt:lpstr>Input_Output!Area_stampa</vt:lpstr>
      <vt:lpstr>Metric_Conversion!Area_stampa</vt:lpstr>
      <vt:lpstr>Metric_Conversion!Suction_Diameter</vt:lpstr>
    </vt:vector>
  </TitlesOfParts>
  <Manager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keywords/>
  <dc:description/>
  <cp:revision/>
  <dcterms:created xsi:type="dcterms:W3CDTF">2005-04-18T17:50:19Z</dcterms:created>
  <dcterms:modified xsi:type="dcterms:W3CDTF">2024-05-22T14:08:17Z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  <property fmtid="{D5CDD505-2E9C-101B-9397-08002B2CF9AE}" pid="4" name="Order">
    <vt:r8>198900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