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2\3. Tommaso\Keys verification SOP e Mod\"/>
    </mc:Choice>
  </mc:AlternateContent>
  <xr:revisionPtr revIDLastSave="0" documentId="13_ncr:1_{3FA15D4D-EC36-4A3A-9AC6-7C48EBEFBE0F}" xr6:coauthVersionLast="47" xr6:coauthVersionMax="47" xr10:uidLastSave="{00000000-0000-0000-0000-000000000000}"/>
  <bookViews>
    <workbookView xWindow="-108" yWindow="-108" windowWidth="23256" windowHeight="12456" xr2:uid="{2C995D22-DAF1-4199-AAC6-246F3A2B7FF8}"/>
  </bookViews>
  <sheets>
    <sheet name="content" sheetId="5" r:id="rId1"/>
    <sheet name="key calculator" sheetId="2" r:id="rId2"/>
    <sheet name="tables" sheetId="1" r:id="rId3"/>
    <sheet name="key dimensions" sheetId="3" r:id="rId4"/>
    <sheet name="SCF" sheetId="4" r:id="rId5"/>
    <sheet name="Report" sheetId="6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2" l="1"/>
  <c r="I6" i="2" s="1"/>
  <c r="C30" i="2"/>
  <c r="I5" i="2" s="1"/>
  <c r="C29" i="2"/>
  <c r="I4" i="2" s="1"/>
  <c r="C28" i="2"/>
  <c r="I3" i="2" s="1"/>
  <c r="C27" i="2"/>
  <c r="I2" i="2" s="1"/>
  <c r="C26" i="2"/>
  <c r="C25" i="2"/>
  <c r="K23" i="2"/>
  <c r="K22" i="2"/>
  <c r="D21" i="6"/>
  <c r="D32" i="6"/>
  <c r="D29" i="6"/>
  <c r="D31" i="6"/>
  <c r="D30" i="6"/>
  <c r="D28" i="6"/>
  <c r="D26" i="6"/>
  <c r="D25" i="6"/>
  <c r="D24" i="6"/>
  <c r="D11" i="6"/>
  <c r="D13" i="6"/>
  <c r="D19" i="6"/>
  <c r="D4" i="4" l="1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" i="4"/>
  <c r="P3" i="4" a="1"/>
  <c r="C34" i="2"/>
  <c r="V4" i="2" s="1"/>
  <c r="C39" i="2"/>
  <c r="U13" i="2"/>
  <c r="U14" i="2"/>
  <c r="U15" i="2"/>
  <c r="U16" i="2"/>
  <c r="U17" i="2"/>
  <c r="U18" i="2"/>
  <c r="U19" i="2"/>
  <c r="U20" i="2"/>
  <c r="U21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U4" i="2"/>
  <c r="U5" i="2"/>
  <c r="U6" i="2"/>
  <c r="U7" i="2"/>
  <c r="U8" i="2"/>
  <c r="U9" i="2"/>
  <c r="U10" i="2"/>
  <c r="U11" i="2"/>
  <c r="U12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3" i="2"/>
  <c r="C38" i="2"/>
  <c r="W4" i="2" l="1"/>
  <c r="V3" i="2"/>
  <c r="P3" i="4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4" i="3"/>
  <c r="D18" i="6" l="1"/>
  <c r="D17" i="6"/>
  <c r="D16" i="6"/>
  <c r="D15" i="6"/>
  <c r="C9" i="2" a="1"/>
  <c r="C9" i="2" s="1"/>
  <c r="C6" i="2"/>
  <c r="C4" i="2" a="1"/>
  <c r="C4" i="2" s="1"/>
  <c r="D14" i="6" l="1"/>
  <c r="K6" i="2"/>
  <c r="C21" i="2"/>
  <c r="C22" i="2" s="1"/>
  <c r="D22" i="6" s="1"/>
  <c r="C35" i="2"/>
  <c r="I18" i="2" s="1"/>
  <c r="K18" i="2" s="1"/>
  <c r="K2" i="2"/>
  <c r="I24" i="2"/>
  <c r="I22" i="2"/>
  <c r="L22" i="2" s="1"/>
  <c r="I23" i="2"/>
  <c r="L23" i="2" s="1"/>
  <c r="I25" i="2"/>
  <c r="K25" i="2" l="1"/>
  <c r="L25" i="2" s="1"/>
  <c r="K24" i="2"/>
  <c r="L24" i="2" s="1"/>
  <c r="K3" i="2"/>
  <c r="K5" i="2" s="1"/>
  <c r="I21" i="2" s="1"/>
  <c r="K21" i="2" s="1"/>
  <c r="K4" i="2"/>
  <c r="D34" i="6"/>
  <c r="J25" i="2"/>
  <c r="J23" i="2"/>
  <c r="J22" i="2"/>
  <c r="J18" i="2"/>
  <c r="J24" i="2"/>
  <c r="D39" i="6" l="1"/>
  <c r="L18" i="2"/>
  <c r="D37" i="6"/>
  <c r="J21" i="2"/>
  <c r="I20" i="2"/>
  <c r="K20" i="2" s="1"/>
  <c r="I19" i="2"/>
  <c r="K19" i="2" s="1"/>
  <c r="L21" i="2" l="1"/>
  <c r="D42" i="6"/>
  <c r="D35" i="6"/>
  <c r="D36" i="6"/>
  <c r="J19" i="2"/>
  <c r="J20" i="2"/>
  <c r="D41" i="6" l="1"/>
  <c r="L20" i="2"/>
  <c r="D40" i="6"/>
  <c r="L19" i="2"/>
  <c r="D4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<sst xmlns="http://schemas.openxmlformats.org/spreadsheetml/2006/main" count="255" uniqueCount="193">
  <si>
    <t>Key dimensioning
(linked to SOP-561)</t>
  </si>
  <si>
    <t>Second issue</t>
  </si>
  <si>
    <t xml:space="preserve"> Advanced Mechanical Design Manager - F. Cademartori</t>
  </si>
  <si>
    <t>Client Qualification/ EHSS - A. Banfi/ T. Morelli Stefani</t>
  </si>
  <si>
    <t>R&amp;D Manager / M.Borghetti</t>
  </si>
  <si>
    <t>First issue</t>
  </si>
  <si>
    <t>R&amp;D - T. Puccetti</t>
  </si>
  <si>
    <t>QA/HSEM C.Delli Quadri - M.Tremolada</t>
  </si>
  <si>
    <t>Rev.</t>
  </si>
  <si>
    <t>Date</t>
  </si>
  <si>
    <t>Description</t>
  </si>
  <si>
    <t>Prepared</t>
  </si>
  <si>
    <t>Checked</t>
  </si>
  <si>
    <t>Approved</t>
  </si>
  <si>
    <t>Power source</t>
  </si>
  <si>
    <t>Uniform
(turbine, motor)</t>
  </si>
  <si>
    <t>Table 1</t>
  </si>
  <si>
    <t>b [mm]</t>
  </si>
  <si>
    <r>
      <t>H</t>
    </r>
    <r>
      <rPr>
        <vertAlign val="subscript"/>
        <sz val="11"/>
        <color theme="1"/>
        <rFont val="Aptos Narrow"/>
        <family val="2"/>
        <scheme val="minor"/>
      </rPr>
      <t>sh</t>
    </r>
    <r>
      <rPr>
        <sz val="11"/>
        <color theme="1"/>
        <rFont val="Aptos Narrow"/>
        <family val="2"/>
        <scheme val="minor"/>
      </rPr>
      <t xml:space="preserve">  [mm]</t>
    </r>
  </si>
  <si>
    <t>r/d</t>
  </si>
  <si>
    <t>KtA</t>
  </si>
  <si>
    <t>KtB</t>
  </si>
  <si>
    <t>KtsA</t>
  </si>
  <si>
    <t>KtsB</t>
  </si>
  <si>
    <t>Kt</t>
  </si>
  <si>
    <t>Legend</t>
  </si>
  <si>
    <t>Type of load</t>
  </si>
  <si>
    <t>Light Shock
(oscillating pumps, etc…)</t>
  </si>
  <si>
    <t>h [mm]</t>
  </si>
  <si>
    <r>
      <t>H</t>
    </r>
    <r>
      <rPr>
        <vertAlign val="subscript"/>
        <sz val="11"/>
        <color theme="1"/>
        <rFont val="Aptos Narrow"/>
        <family val="2"/>
        <scheme val="minor"/>
      </rPr>
      <t>h</t>
    </r>
    <r>
      <rPr>
        <sz val="11"/>
        <color theme="1"/>
        <rFont val="Aptos Narrow"/>
        <family val="2"/>
        <scheme val="minor"/>
      </rPr>
      <t xml:space="preserve">  [mm]</t>
    </r>
  </si>
  <si>
    <t>input data</t>
  </si>
  <si>
    <r>
      <t>K</t>
    </r>
    <r>
      <rPr>
        <b/>
        <vertAlign val="subscript"/>
        <sz val="11"/>
        <color theme="0"/>
        <rFont val="Aptos Narrow"/>
        <family val="2"/>
        <scheme val="minor"/>
      </rPr>
      <t>a</t>
    </r>
    <r>
      <rPr>
        <b/>
        <sz val="11"/>
        <color theme="0"/>
        <rFont val="Aptos Narrow"/>
        <family val="2"/>
        <scheme val="minor"/>
      </rPr>
      <t xml:space="preserve"> [-]</t>
    </r>
  </si>
  <si>
    <t>application factor</t>
  </si>
  <si>
    <r>
      <t>t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scheme val="minor"/>
      </rPr>
      <t xml:space="preserve">  [mm]</t>
    </r>
  </si>
  <si>
    <r>
      <t>F</t>
    </r>
    <r>
      <rPr>
        <vertAlign val="subscript"/>
        <sz val="11"/>
        <color theme="1"/>
        <rFont val="Aptos Narrow"/>
        <family val="2"/>
        <scheme val="minor"/>
      </rPr>
      <t>sh</t>
    </r>
    <r>
      <rPr>
        <sz val="11"/>
        <color theme="1"/>
        <rFont val="Aptos Narrow"/>
        <family val="2"/>
        <scheme val="minor"/>
      </rPr>
      <t xml:space="preserve">  [N]</t>
    </r>
  </si>
  <si>
    <t>descriptor</t>
  </si>
  <si>
    <t>Coupling design</t>
  </si>
  <si>
    <t>Fixed (close fit) loaded</t>
  </si>
  <si>
    <t>Table 2</t>
  </si>
  <si>
    <r>
      <t>t</t>
    </r>
    <r>
      <rPr>
        <vertAlign val="sub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[mm]</t>
    </r>
  </si>
  <si>
    <r>
      <t>F</t>
    </r>
    <r>
      <rPr>
        <vertAlign val="subscript"/>
        <sz val="11"/>
        <color theme="1"/>
        <rFont val="Aptos Narrow"/>
        <family val="2"/>
        <scheme val="minor"/>
      </rPr>
      <t>h</t>
    </r>
    <r>
      <rPr>
        <sz val="11"/>
        <color theme="1"/>
        <rFont val="Aptos Narrow"/>
        <family val="2"/>
        <scheme val="minor"/>
      </rPr>
      <t xml:space="preserve">  [N]</t>
    </r>
  </si>
  <si>
    <t>calculated</t>
  </si>
  <si>
    <r>
      <t>K</t>
    </r>
    <r>
      <rPr>
        <b/>
        <vertAlign val="subscript"/>
        <sz val="11"/>
        <color theme="0"/>
        <rFont val="Aptos Narrow"/>
        <family val="2"/>
        <scheme val="minor"/>
      </rPr>
      <t>d</t>
    </r>
    <r>
      <rPr>
        <b/>
        <sz val="11"/>
        <color theme="0"/>
        <rFont val="Aptos Narrow"/>
        <family val="2"/>
        <scheme val="minor"/>
      </rPr>
      <t xml:space="preserve"> [-]</t>
    </r>
  </si>
  <si>
    <t>design factor</t>
  </si>
  <si>
    <t>f [mm]</t>
  </si>
  <si>
    <r>
      <t>R</t>
    </r>
    <r>
      <rPr>
        <vertAlign val="subscript"/>
        <sz val="11"/>
        <color theme="1"/>
        <rFont val="Aptos Narrow"/>
        <family val="2"/>
        <scheme val="minor"/>
      </rPr>
      <t xml:space="preserve">limit </t>
    </r>
    <r>
      <rPr>
        <sz val="11"/>
        <color theme="1"/>
        <rFont val="Aptos Narrow"/>
        <family val="2"/>
        <scheme val="minor"/>
      </rPr>
      <t>[mm]</t>
    </r>
  </si>
  <si>
    <t>annotation</t>
  </si>
  <si>
    <t>Number of cycles [-]</t>
  </si>
  <si>
    <t>Table 3
(default = 1.00E6)</t>
  </si>
  <si>
    <t>Torque direction</t>
  </si>
  <si>
    <t>Unidirectional</t>
  </si>
  <si>
    <t>Table 3</t>
  </si>
  <si>
    <t>Warnings legend</t>
  </si>
  <si>
    <r>
      <t>K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[-]</t>
    </r>
  </si>
  <si>
    <t>fatigue life factor</t>
  </si>
  <si>
    <t>not allowable</t>
  </si>
  <si>
    <t>SF [-]</t>
  </si>
  <si>
    <t>safety factor (default = 1.5)</t>
  </si>
  <si>
    <t>near to limit</t>
  </si>
  <si>
    <t>allowable</t>
  </si>
  <si>
    <t>Material name</t>
  </si>
  <si>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Aptos Narrow"/>
        <family val="2"/>
      </rPr>
      <t>yield</t>
    </r>
    <r>
      <rPr>
        <b/>
        <sz val="11"/>
        <color theme="1"/>
        <rFont val="Aptos Narrow"/>
        <family val="2"/>
      </rPr>
      <t xml:space="preserve"> [MPa]</t>
    </r>
  </si>
  <si>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Aptos Narrow"/>
        <family val="2"/>
      </rPr>
      <t>ultimate</t>
    </r>
    <r>
      <rPr>
        <b/>
        <sz val="11"/>
        <color theme="1"/>
        <rFont val="Aptos Narrow"/>
        <family val="2"/>
      </rPr>
      <t>[MPa]</t>
    </r>
  </si>
  <si>
    <t>shaft</t>
  </si>
  <si>
    <t>steel</t>
  </si>
  <si>
    <t>key</t>
  </si>
  <si>
    <t>hub</t>
  </si>
  <si>
    <t>T [Nm]</t>
  </si>
  <si>
    <t>(nominal torque)</t>
  </si>
  <si>
    <t>operating conditions</t>
  </si>
  <si>
    <r>
      <t>D</t>
    </r>
    <r>
      <rPr>
        <b/>
        <vertAlign val="subscript"/>
        <sz val="11"/>
        <color theme="0"/>
        <rFont val="Aptos Narrow"/>
        <family val="2"/>
        <scheme val="minor"/>
      </rPr>
      <t>j</t>
    </r>
    <r>
      <rPr>
        <b/>
        <sz val="11"/>
        <color theme="0"/>
        <rFont val="Aptos Narrow"/>
        <family val="2"/>
        <scheme val="minor"/>
      </rPr>
      <t xml:space="preserve"> [mm]</t>
    </r>
  </si>
  <si>
    <t>(journal diameter)</t>
  </si>
  <si>
    <r>
      <t>τ</t>
    </r>
    <r>
      <rPr>
        <b/>
        <vertAlign val="subscript"/>
        <sz val="11"/>
        <color theme="0"/>
        <rFont val="Calibri"/>
        <family val="2"/>
      </rPr>
      <t>max</t>
    </r>
    <r>
      <rPr>
        <b/>
        <sz val="11"/>
        <color theme="0"/>
        <rFont val="Calibri"/>
        <family val="2"/>
      </rPr>
      <t xml:space="preserve"> [MPa]</t>
    </r>
  </si>
  <si>
    <t>STEP 1 (MANDATORY): shaft minimum diameter</t>
  </si>
  <si>
    <r>
      <t>D</t>
    </r>
    <r>
      <rPr>
        <b/>
        <vertAlign val="subscript"/>
        <sz val="11"/>
        <color theme="0"/>
        <rFont val="Aptos Narrow"/>
        <family val="2"/>
        <scheme val="minor"/>
      </rPr>
      <t xml:space="preserve">h </t>
    </r>
    <r>
      <rPr>
        <b/>
        <sz val="11"/>
        <color theme="0"/>
        <rFont val="Aptos Narrow"/>
        <family val="2"/>
        <scheme val="minor"/>
      </rPr>
      <t>[mm]</t>
    </r>
  </si>
  <si>
    <t>(hub diameter)</t>
  </si>
  <si>
    <r>
      <t>τ</t>
    </r>
    <r>
      <rPr>
        <b/>
        <vertAlign val="subscript"/>
        <sz val="11"/>
        <color theme="0"/>
        <rFont val="Calibri"/>
        <family val="2"/>
      </rPr>
      <t>shear</t>
    </r>
    <r>
      <rPr>
        <b/>
        <sz val="11"/>
        <color theme="0"/>
        <rFont val="Calibri"/>
        <family val="2"/>
      </rPr>
      <t xml:space="preserve"> [MPa]</t>
    </r>
  </si>
  <si>
    <t>STEP 2 (MANDATORY): key shear verification</t>
  </si>
  <si>
    <r>
      <t>R</t>
    </r>
    <r>
      <rPr>
        <b/>
        <vertAlign val="subscript"/>
        <sz val="11"/>
        <color theme="0"/>
        <rFont val="Aptos Narrow"/>
        <family val="2"/>
        <scheme val="minor"/>
      </rPr>
      <t xml:space="preserve">lim </t>
    </r>
    <r>
      <rPr>
        <b/>
        <sz val="11"/>
        <color theme="0"/>
        <rFont val="Aptos Narrow"/>
        <family val="2"/>
        <scheme val="minor"/>
      </rPr>
      <t>[mm]</t>
    </r>
  </si>
  <si>
    <t>(hub limit diameter)</t>
  </si>
  <si>
    <r>
      <t>p</t>
    </r>
    <r>
      <rPr>
        <b/>
        <vertAlign val="subscript"/>
        <sz val="11"/>
        <color theme="0"/>
        <rFont val="Calibri"/>
        <family val="2"/>
      </rPr>
      <t>shaft</t>
    </r>
    <r>
      <rPr>
        <b/>
        <sz val="11"/>
        <color theme="0"/>
        <rFont val="Calibri"/>
        <family val="2"/>
      </rPr>
      <t xml:space="preserve"> [MPa]</t>
    </r>
  </si>
  <si>
    <t>STEP 3 (MANDATORY): shaft/key pressure verification</t>
  </si>
  <si>
    <r>
      <t>D</t>
    </r>
    <r>
      <rPr>
        <b/>
        <vertAlign val="subscript"/>
        <sz val="11"/>
        <color theme="0"/>
        <rFont val="Aptos Narrow"/>
        <family val="2"/>
        <scheme val="minor"/>
      </rPr>
      <t xml:space="preserve">lim </t>
    </r>
    <r>
      <rPr>
        <b/>
        <sz val="11"/>
        <color theme="0"/>
        <rFont val="Aptos Narrow"/>
        <family val="2"/>
        <scheme val="minor"/>
      </rPr>
      <t>[mm]</t>
    </r>
  </si>
  <si>
    <r>
      <t>p</t>
    </r>
    <r>
      <rPr>
        <b/>
        <vertAlign val="subscript"/>
        <sz val="11"/>
        <color theme="0"/>
        <rFont val="Calibri"/>
        <family val="2"/>
      </rPr>
      <t>hub</t>
    </r>
    <r>
      <rPr>
        <b/>
        <sz val="11"/>
        <color theme="0"/>
        <rFont val="Calibri"/>
        <family val="2"/>
      </rPr>
      <t xml:space="preserve"> [MPa]</t>
    </r>
  </si>
  <si>
    <t>STEP 4 (MANDATORY): hub/key pressure verification</t>
  </si>
  <si>
    <t>(key b x h)</t>
  </si>
  <si>
    <r>
      <t>σ</t>
    </r>
    <r>
      <rPr>
        <b/>
        <vertAlign val="subscript"/>
        <sz val="11"/>
        <color theme="0"/>
        <rFont val="Calibri"/>
        <family val="2"/>
      </rPr>
      <t>A max</t>
    </r>
    <r>
      <rPr>
        <b/>
        <sz val="11"/>
        <color theme="0"/>
        <rFont val="Calibri"/>
        <family val="2"/>
      </rPr>
      <t xml:space="preserve"> [MPa]</t>
    </r>
  </si>
  <si>
    <t>STEP 5A (SCF): shaft normal stress at point A verification</t>
  </si>
  <si>
    <t>-</t>
  </si>
  <si>
    <t>(key dimension)</t>
  </si>
  <si>
    <r>
      <t>τ</t>
    </r>
    <r>
      <rPr>
        <b/>
        <vertAlign val="subscript"/>
        <sz val="11"/>
        <color theme="0"/>
        <rFont val="Calibri"/>
        <family val="2"/>
      </rPr>
      <t>A max</t>
    </r>
    <r>
      <rPr>
        <b/>
        <sz val="11"/>
        <color theme="0"/>
        <rFont val="Calibri"/>
        <family val="2"/>
      </rPr>
      <t xml:space="preserve"> [MPa]</t>
    </r>
  </si>
  <si>
    <t xml:space="preserve">STEP 5B (SCF): shaft shear stress at point A verification </t>
  </si>
  <si>
    <r>
      <t>σ</t>
    </r>
    <r>
      <rPr>
        <b/>
        <vertAlign val="subscript"/>
        <sz val="11"/>
        <color theme="0"/>
        <rFont val="Calibri"/>
        <family val="2"/>
      </rPr>
      <t>B max</t>
    </r>
    <r>
      <rPr>
        <b/>
        <sz val="11"/>
        <color theme="0"/>
        <rFont val="Calibri"/>
        <family val="2"/>
      </rPr>
      <t xml:space="preserve"> [MPa]</t>
    </r>
  </si>
  <si>
    <t>STEP 5C (SCF): shaft normal stress at point B verification</t>
  </si>
  <si>
    <r>
      <t>t</t>
    </r>
    <r>
      <rPr>
        <b/>
        <vertAlign val="subscript"/>
        <sz val="11"/>
        <color theme="0"/>
        <rFont val="Calibri"/>
        <family val="2"/>
      </rPr>
      <t>1</t>
    </r>
    <r>
      <rPr>
        <b/>
        <sz val="11"/>
        <color theme="0"/>
        <rFont val="Calibri"/>
        <family val="2"/>
      </rPr>
      <t xml:space="preserve">  [mm]</t>
    </r>
  </si>
  <si>
    <r>
      <t>τ</t>
    </r>
    <r>
      <rPr>
        <b/>
        <vertAlign val="subscript"/>
        <sz val="11"/>
        <color theme="0"/>
        <rFont val="Calibri"/>
        <family val="2"/>
      </rPr>
      <t>B max</t>
    </r>
    <r>
      <rPr>
        <b/>
        <sz val="11"/>
        <color theme="0"/>
        <rFont val="Calibri"/>
        <family val="2"/>
      </rPr>
      <t xml:space="preserve"> [MPa]</t>
    </r>
  </si>
  <si>
    <t>STEP 5D (SCF): shaft shear stress at point B verification</t>
  </si>
  <si>
    <r>
      <t>t</t>
    </r>
    <r>
      <rPr>
        <b/>
        <vertAlign val="subscript"/>
        <sz val="11"/>
        <color theme="0"/>
        <rFont val="Calibri"/>
        <family val="2"/>
      </rPr>
      <t>2</t>
    </r>
    <r>
      <rPr>
        <b/>
        <sz val="11"/>
        <color theme="0"/>
        <rFont val="Calibri"/>
        <family val="2"/>
      </rPr>
      <t xml:space="preserve"> [mm]</t>
    </r>
  </si>
  <si>
    <r>
      <t>L</t>
    </r>
    <r>
      <rPr>
        <b/>
        <vertAlign val="subscript"/>
        <sz val="11"/>
        <color theme="0"/>
        <rFont val="Aptos Narrow"/>
        <family val="2"/>
        <scheme val="minor"/>
      </rPr>
      <t>key</t>
    </r>
    <r>
      <rPr>
        <b/>
        <sz val="11"/>
        <color theme="0"/>
        <rFont val="Aptos Narrow"/>
        <family val="2"/>
        <scheme val="minor"/>
      </rPr>
      <t xml:space="preserve"> [mm]</t>
    </r>
  </si>
  <si>
    <t>(key lenght)</t>
  </si>
  <si>
    <t>r [mm]</t>
  </si>
  <si>
    <t>(fillet radius)</t>
  </si>
  <si>
    <t>r/D [-]</t>
  </si>
  <si>
    <t>(fillet ratio = 0.005 - 0.07)</t>
  </si>
  <si>
    <r>
      <t>D</t>
    </r>
    <r>
      <rPr>
        <b/>
        <vertAlign val="subscript"/>
        <sz val="11"/>
        <color theme="0"/>
        <rFont val="Aptos Narrow"/>
        <family val="2"/>
        <scheme val="minor"/>
      </rPr>
      <t>j</t>
    </r>
    <r>
      <rPr>
        <b/>
        <vertAlign val="superscript"/>
        <sz val="11"/>
        <color theme="0"/>
        <rFont val="Aptos Narrow"/>
        <family val="2"/>
        <scheme val="minor"/>
      </rPr>
      <t>*</t>
    </r>
    <r>
      <rPr>
        <b/>
        <sz val="11"/>
        <color theme="0"/>
        <rFont val="Aptos Narrow"/>
        <family val="2"/>
        <scheme val="minor"/>
      </rPr>
      <t xml:space="preserve"> [mm]</t>
    </r>
  </si>
  <si>
    <t>(torque resistant diameter)</t>
  </si>
  <si>
    <r>
      <t>K</t>
    </r>
    <r>
      <rPr>
        <b/>
        <vertAlign val="subscript"/>
        <sz val="11"/>
        <color theme="0"/>
        <rFont val="Aptos Narrow"/>
        <family val="2"/>
        <scheme val="minor"/>
      </rPr>
      <t>tA</t>
    </r>
    <r>
      <rPr>
        <b/>
        <sz val="11"/>
        <color theme="0"/>
        <rFont val="Aptos Narrow"/>
        <family val="2"/>
        <scheme val="minor"/>
      </rPr>
      <t xml:space="preserve"> [-]</t>
    </r>
  </si>
  <si>
    <t>(SCF at point A)</t>
  </si>
  <si>
    <r>
      <t>K</t>
    </r>
    <r>
      <rPr>
        <b/>
        <vertAlign val="subscript"/>
        <sz val="11"/>
        <color theme="0"/>
        <rFont val="Aptos Narrow"/>
        <family val="2"/>
        <scheme val="minor"/>
      </rPr>
      <t>tsA</t>
    </r>
    <r>
      <rPr>
        <b/>
        <sz val="11"/>
        <color theme="0"/>
        <rFont val="Aptos Narrow"/>
        <family val="2"/>
        <scheme val="minor"/>
      </rPr>
      <t xml:space="preserve"> [-]</t>
    </r>
  </si>
  <si>
    <t>(shear SCF at point A)</t>
  </si>
  <si>
    <r>
      <t>K</t>
    </r>
    <r>
      <rPr>
        <b/>
        <vertAlign val="subscript"/>
        <sz val="11"/>
        <color theme="0"/>
        <rFont val="Aptos Narrow"/>
        <family val="2"/>
        <scheme val="minor"/>
      </rPr>
      <t>tB</t>
    </r>
    <r>
      <rPr>
        <b/>
        <sz val="11"/>
        <color theme="0"/>
        <rFont val="Aptos Narrow"/>
        <family val="2"/>
        <scheme val="minor"/>
      </rPr>
      <t>, K</t>
    </r>
    <r>
      <rPr>
        <b/>
        <vertAlign val="subscript"/>
        <sz val="11"/>
        <color theme="0"/>
        <rFont val="Aptos Narrow"/>
        <family val="2"/>
        <scheme val="minor"/>
      </rPr>
      <t>tsB</t>
    </r>
    <r>
      <rPr>
        <b/>
        <sz val="11"/>
        <color theme="0"/>
        <rFont val="Aptos Narrow"/>
        <family val="2"/>
        <scheme val="minor"/>
      </rPr>
      <t xml:space="preserve"> [-]</t>
    </r>
  </si>
  <si>
    <t>(shear and normal SCF at point B, without key)</t>
  </si>
  <si>
    <t>(shear and normal SCF at point B, with key)</t>
  </si>
  <si>
    <r>
      <t>Table 1: Application factor K</t>
    </r>
    <r>
      <rPr>
        <b/>
        <vertAlign val="subscript"/>
        <sz val="11"/>
        <color theme="1"/>
        <rFont val="Aptos Narrow"/>
        <family val="2"/>
        <scheme val="minor"/>
      </rPr>
      <t>a</t>
    </r>
  </si>
  <si>
    <t>Uniform
(generator, fan)</t>
  </si>
  <si>
    <t>Intermittent Shock
(actuating pumps, etc…)</t>
  </si>
  <si>
    <t>Heavy Shock
(punches, shears, etc…)</t>
  </si>
  <si>
    <t>Light shock
(hydraulic motor)</t>
  </si>
  <si>
    <t>Medium shock
(internal combustion engine)</t>
  </si>
  <si>
    <r>
      <t>Table 2: Design factor K</t>
    </r>
    <r>
      <rPr>
        <b/>
        <vertAlign val="subscript"/>
        <sz val="11"/>
        <color theme="1"/>
        <rFont val="Aptos Narrow"/>
        <family val="2"/>
        <scheme val="minor"/>
      </rPr>
      <t>d</t>
    </r>
  </si>
  <si>
    <t>No relative axial/radial movement of the hub and the shaft occurs.; the relative positions of the shaft and hub are fixed using a suitable bearing or constructional design e.g press-fit , Shaft nuts.</t>
  </si>
  <si>
    <t>Flexible/Sliding - Unloaded</t>
  </si>
  <si>
    <t>Relative positions of the shaft and hub are not fixed; Axial movements of the hub along the shaft occur only when coupling is unloaded. The shaft is effectively fixed when loaded.</t>
  </si>
  <si>
    <t>Flexible/Sliding loaded</t>
  </si>
  <si>
    <t>Sliding coupling with loading:relative positions of the shaft and hub are not fixed; axial shifts of the hub along the shaft occur in loaded couplings.</t>
  </si>
  <si>
    <r>
      <t>Table 3: Fatigue life factor K</t>
    </r>
    <r>
      <rPr>
        <b/>
        <vertAlign val="subscript"/>
        <sz val="11"/>
        <color theme="1"/>
        <rFont val="Aptos Narrow"/>
        <family val="2"/>
        <scheme val="minor"/>
      </rPr>
      <t>f</t>
    </r>
  </si>
  <si>
    <t>Fully-reversed</t>
  </si>
  <si>
    <t>Table 4: Key dimensions</t>
  </si>
  <si>
    <t>bxh</t>
  </si>
  <si>
    <r>
      <t>DN</t>
    </r>
    <r>
      <rPr>
        <vertAlign val="subscript"/>
        <sz val="11"/>
        <color theme="1"/>
        <rFont val="Aptos Narrow"/>
        <family val="2"/>
        <scheme val="minor"/>
      </rPr>
      <t>min</t>
    </r>
    <r>
      <rPr>
        <sz val="11"/>
        <color theme="1"/>
        <rFont val="Aptos Narrow"/>
        <family val="2"/>
        <scheme val="minor"/>
      </rPr>
      <t xml:space="preserve"> [mm]</t>
    </r>
  </si>
  <si>
    <r>
      <t>DN</t>
    </r>
    <r>
      <rPr>
        <vertAlign val="subscript"/>
        <sz val="11"/>
        <color theme="1"/>
        <rFont val="Aptos Narrow"/>
        <family val="2"/>
        <scheme val="minor"/>
      </rPr>
      <t>max</t>
    </r>
    <r>
      <rPr>
        <sz val="11"/>
        <color theme="1"/>
        <rFont val="Aptos Narrow"/>
        <family val="2"/>
        <scheme val="minor"/>
      </rPr>
      <t xml:space="preserve"> [mm]</t>
    </r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</si>
  <si>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t</t>
    </r>
  </si>
  <si>
    <t>polinomial</t>
  </si>
  <si>
    <t>e</t>
  </si>
  <si>
    <t>d</t>
  </si>
  <si>
    <t>c</t>
  </si>
  <si>
    <t>b</t>
  </si>
  <si>
    <t>a</t>
  </si>
  <si>
    <t>Mechanical Calculation
KEYS and KEYWAYS</t>
  </si>
  <si>
    <t>WG Job:</t>
  </si>
  <si>
    <t>Order:</t>
  </si>
  <si>
    <t xml:space="preserve">Item: </t>
  </si>
  <si>
    <t>Pump Type:</t>
  </si>
  <si>
    <t>PUMP DATA</t>
  </si>
  <si>
    <t>UNITS</t>
  </si>
  <si>
    <t>VALUE</t>
  </si>
  <si>
    <t>Torque applied</t>
  </si>
  <si>
    <t>Nm</t>
  </si>
  <si>
    <t>KEY DIMENSION</t>
  </si>
  <si>
    <t>Key type</t>
  </si>
  <si>
    <t>mm</t>
  </si>
  <si>
    <t>h</t>
  </si>
  <si>
    <r>
      <t>t</t>
    </r>
    <r>
      <rPr>
        <vertAlign val="subscript"/>
        <sz val="10"/>
        <rFont val="Arial"/>
        <family val="2"/>
      </rPr>
      <t>1</t>
    </r>
  </si>
  <si>
    <r>
      <t>t</t>
    </r>
    <r>
      <rPr>
        <vertAlign val="subscript"/>
        <sz val="10"/>
        <rFont val="Arial"/>
        <family val="2"/>
      </rPr>
      <t>2</t>
    </r>
  </si>
  <si>
    <t>f</t>
  </si>
  <si>
    <t>Key lenght</t>
  </si>
  <si>
    <t>HUB DIMENSION</t>
  </si>
  <si>
    <t>Hub diameter</t>
  </si>
  <si>
    <t>Hub limit (geometrical) diameter</t>
  </si>
  <si>
    <t>MATERIALS</t>
  </si>
  <si>
    <t>Shaft material</t>
  </si>
  <si>
    <t xml:space="preserve">Hub material </t>
  </si>
  <si>
    <t>Key material</t>
  </si>
  <si>
    <t>MATERIAL DATA</t>
  </si>
  <si>
    <t>Shaft allowable shear stress</t>
  </si>
  <si>
    <t>MPa</t>
  </si>
  <si>
    <t>Shaft allowable contact pressure</t>
  </si>
  <si>
    <t>Key allowable contact pressure</t>
  </si>
  <si>
    <t>Key allowable shear stress</t>
  </si>
  <si>
    <t>Hub allowable contact pressure</t>
  </si>
  <si>
    <t>RESULTS (OPERATING CONDITIONS)</t>
  </si>
  <si>
    <t>Shaft shear stress</t>
  </si>
  <si>
    <t>Key (shear stress)</t>
  </si>
  <si>
    <t>Shaft/key contact pressure</t>
  </si>
  <si>
    <t>Hub/key contact pressure</t>
  </si>
  <si>
    <t>RESULTS (SHORT CIRCUIT)</t>
  </si>
  <si>
    <t>KEY and KEYWAY VERIFICATION</t>
  </si>
  <si>
    <t>Design</t>
  </si>
  <si>
    <t>Third issue</t>
  </si>
  <si>
    <t>Date (Y/M/D)</t>
  </si>
  <si>
    <t>Signature</t>
  </si>
  <si>
    <t>Check</t>
  </si>
  <si>
    <t>Approval</t>
  </si>
  <si>
    <t>user</t>
  </si>
  <si>
    <r>
      <t>DN</t>
    </r>
    <r>
      <rPr>
        <b/>
        <vertAlign val="subscript"/>
        <sz val="11"/>
        <color theme="0"/>
        <rFont val="Calibri"/>
        <family val="2"/>
      </rPr>
      <t>min</t>
    </r>
    <r>
      <rPr>
        <b/>
        <sz val="11"/>
        <color theme="0"/>
        <rFont val="Calibri"/>
        <family val="2"/>
      </rPr>
      <t xml:space="preserve"> [mm]</t>
    </r>
  </si>
  <si>
    <t>(user dimension)</t>
  </si>
  <si>
    <r>
      <t>K</t>
    </r>
    <r>
      <rPr>
        <b/>
        <vertAlign val="subscript"/>
        <sz val="11"/>
        <color theme="0"/>
        <rFont val="Calibri"/>
        <family val="2"/>
      </rPr>
      <t>sc</t>
    </r>
    <r>
      <rPr>
        <b/>
        <sz val="11"/>
        <color theme="0"/>
        <rFont val="Calibri"/>
        <family val="2"/>
      </rPr>
      <t xml:space="preserve"> [-]</t>
    </r>
  </si>
  <si>
    <t>(max allowable DN for standard)</t>
  </si>
  <si>
    <t>(min allowable DN for standard)</t>
  </si>
  <si>
    <t>25x14</t>
  </si>
  <si>
    <t>short circ. factor (default = 10)</t>
  </si>
  <si>
    <r>
      <t>short circuit
(K</t>
    </r>
    <r>
      <rPr>
        <b/>
        <vertAlign val="subscript"/>
        <sz val="11"/>
        <color theme="1"/>
        <rFont val="Calibri"/>
        <family val="2"/>
      </rPr>
      <t>sc</t>
    </r>
    <r>
      <rPr>
        <b/>
        <sz val="11"/>
        <color theme="1"/>
        <rFont val="Calibri"/>
        <family val="2"/>
      </rPr>
      <t xml:space="preserve"> x T</t>
    </r>
    <r>
      <rPr>
        <b/>
        <vertAlign val="subscript"/>
        <sz val="11"/>
        <color theme="1"/>
        <rFont val="Calibri"/>
        <family val="2"/>
      </rPr>
      <t>nom</t>
    </r>
    <r>
      <rPr>
        <b/>
        <sz val="11"/>
        <color theme="1"/>
        <rFont val="Calibri"/>
        <family val="2"/>
      </rPr>
      <t>)</t>
    </r>
  </si>
  <si>
    <t>Mod.1140-2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</si>
</sst>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General_)"/>
    <numFmt numFmtId="168" formatCode="&quot;$&quot;#,##0.00;[Red]\-&quot;$&quot;#,##0.00"/>
  </numFmts>
  <fonts count="4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b/>
      <u/>
      <sz val="11"/>
      <color rgb="FF00000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i/>
      <sz val="11"/>
      <name val="Calibri"/>
      <family val="2"/>
    </font>
    <font>
      <sz val="11"/>
      <color rgb="FF808080"/>
      <name val="Calibri"/>
      <family val="2"/>
    </font>
    <font>
      <i/>
      <sz val="11"/>
      <color theme="1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b/>
      <vertAlign val="subscript"/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vertAlign val="subscript"/>
      <sz val="11"/>
      <color theme="0"/>
      <name val="Aptos Narrow"/>
      <family val="2"/>
      <scheme val="minor"/>
    </font>
    <font>
      <b/>
      <vertAlign val="superscript"/>
      <sz val="11"/>
      <color theme="0"/>
      <name val="Aptos Narrow"/>
      <family val="2"/>
      <scheme val="minor"/>
    </font>
    <font>
      <b/>
      <vertAlign val="subscript"/>
      <sz val="11"/>
      <color theme="0"/>
      <name val="Calibri"/>
      <family val="2"/>
    </font>
    <font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6"/>
      <name val="Aptos Narrow"/>
      <family val="2"/>
      <scheme val="minor"/>
    </font>
    <font>
      <b/>
      <sz val="10"/>
      <name val="Arial"/>
      <family val="2"/>
    </font>
    <font>
      <u/>
      <sz val="10"/>
      <color theme="10"/>
      <name val="Arial"/>
      <family val="2"/>
    </font>
    <font>
      <sz val="1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vertAlign val="subscript"/>
      <sz val="10"/>
      <name val="Arial"/>
      <family val="2"/>
    </font>
    <font>
      <sz val="10"/>
      <name val="Aptos Narrow"/>
      <family val="2"/>
    </font>
    <font>
      <sz val="16"/>
      <name val="Aptos Narrow"/>
      <family val="2"/>
      <scheme val="minor"/>
    </font>
    <font>
      <i/>
      <sz val="1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9.9978637043366805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9" fontId="5" fillId="0" borderId="0" applyFont="0" applyFill="0" applyBorder="0" applyAlignment="0" applyProtection="0"/>
    <xf numFmtId="0" fontId="26" fillId="0" borderId="0"/>
    <xf numFmtId="167" fontId="27" fillId="0" borderId="0"/>
    <xf numFmtId="168" fontId="33" fillId="0" borderId="0" applyFont="0" applyFill="0" applyBorder="0" applyAlignment="0" applyProtection="0"/>
    <xf numFmtId="0" fontId="35" fillId="0" borderId="0"/>
    <xf numFmtId="0" fontId="38" fillId="0" borderId="0" applyNumberFormat="0" applyFill="0" applyBorder="0" applyAlignment="0" applyProtection="0"/>
  </cellStyleXfs>
  <cellXfs count="22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164" fontId="0" fillId="0" borderId="13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11" fontId="0" fillId="0" borderId="6" xfId="0" applyNumberFormat="1" applyBorder="1" applyAlignment="1">
      <alignment horizontal="center" vertical="center" wrapText="1"/>
    </xf>
    <xf numFmtId="11" fontId="0" fillId="0" borderId="9" xfId="0" applyNumberFormat="1" applyBorder="1" applyAlignment="1">
      <alignment horizontal="center" vertical="center" wrapText="1"/>
    </xf>
    <xf numFmtId="11" fontId="0" fillId="0" borderId="12" xfId="0" applyNumberForma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1" fontId="0" fillId="5" borderId="1" xfId="0" applyNumberFormat="1" applyFill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0" fontId="19" fillId="0" borderId="1" xfId="1" applyNumberFormat="1" applyFont="1" applyBorder="1" applyAlignment="1">
      <alignment vertical="center"/>
    </xf>
    <xf numFmtId="0" fontId="16" fillId="6" borderId="1" xfId="0" applyFont="1" applyFill="1" applyBorder="1" applyAlignment="1">
      <alignment horizontal="center" vertical="center" wrapText="1"/>
    </xf>
    <xf numFmtId="0" fontId="20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0" fillId="7" borderId="1" xfId="0" applyFill="1" applyBorder="1"/>
    <xf numFmtId="0" fontId="0" fillId="8" borderId="18" xfId="0" applyFill="1" applyBorder="1"/>
    <xf numFmtId="0" fontId="26" fillId="0" borderId="19" xfId="2" applyBorder="1" applyAlignment="1">
      <alignment horizontal="center" vertical="center"/>
    </xf>
    <xf numFmtId="0" fontId="26" fillId="0" borderId="20" xfId="2" applyBorder="1" applyAlignment="1">
      <alignment horizontal="center" vertical="center"/>
    </xf>
    <xf numFmtId="0" fontId="26" fillId="0" borderId="21" xfId="2" applyBorder="1" applyAlignment="1">
      <alignment horizontal="center" vertical="center"/>
    </xf>
    <xf numFmtId="167" fontId="27" fillId="0" borderId="0" xfId="3"/>
    <xf numFmtId="0" fontId="26" fillId="0" borderId="22" xfId="2" applyBorder="1" applyAlignment="1">
      <alignment horizontal="center" vertical="center"/>
    </xf>
    <xf numFmtId="0" fontId="26" fillId="0" borderId="0" xfId="2" applyAlignment="1">
      <alignment horizontal="center" vertical="center"/>
    </xf>
    <xf numFmtId="0" fontId="26" fillId="0" borderId="23" xfId="2" applyBorder="1" applyAlignment="1">
      <alignment horizontal="center" vertical="center"/>
    </xf>
    <xf numFmtId="0" fontId="28" fillId="0" borderId="0" xfId="2" applyFont="1" applyAlignment="1">
      <alignment horizontal="center" vertical="top"/>
    </xf>
    <xf numFmtId="0" fontId="26" fillId="0" borderId="0" xfId="2" applyAlignment="1">
      <alignment horizontal="center"/>
    </xf>
    <xf numFmtId="0" fontId="29" fillId="0" borderId="0" xfId="2" applyFont="1" applyAlignment="1">
      <alignment horizontal="center" vertical="top"/>
    </xf>
    <xf numFmtId="0" fontId="30" fillId="0" borderId="23" xfId="2" applyFont="1" applyBorder="1" applyAlignment="1">
      <alignment horizontal="center" vertical="top"/>
    </xf>
    <xf numFmtId="0" fontId="31" fillId="0" borderId="22" xfId="2" applyFont="1" applyBorder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/>
    </xf>
    <xf numFmtId="0" fontId="31" fillId="0" borderId="23" xfId="2" applyFont="1" applyBorder="1" applyAlignment="1">
      <alignment horizontal="center" vertical="center"/>
    </xf>
    <xf numFmtId="0" fontId="35" fillId="0" borderId="0" xfId="5"/>
    <xf numFmtId="0" fontId="35" fillId="0" borderId="0" xfId="5" applyAlignment="1">
      <alignment horizontal="center"/>
    </xf>
    <xf numFmtId="0" fontId="37" fillId="0" borderId="1" xfId="5" applyFont="1" applyBorder="1" applyAlignment="1">
      <alignment horizontal="center"/>
    </xf>
    <xf numFmtId="0" fontId="37" fillId="0" borderId="5" xfId="5" applyFont="1" applyBorder="1" applyAlignment="1">
      <alignment horizontal="center"/>
    </xf>
    <xf numFmtId="0" fontId="39" fillId="0" borderId="1" xfId="5" applyFont="1" applyBorder="1" applyAlignment="1">
      <alignment horizontal="center"/>
    </xf>
    <xf numFmtId="49" fontId="39" fillId="0" borderId="1" xfId="5" applyNumberFormat="1" applyFont="1" applyBorder="1" applyAlignment="1">
      <alignment horizontal="center"/>
    </xf>
    <xf numFmtId="0" fontId="26" fillId="0" borderId="5" xfId="5" applyFont="1" applyBorder="1" applyAlignment="1">
      <alignment horizontal="center"/>
    </xf>
    <xf numFmtId="0" fontId="26" fillId="0" borderId="37" xfId="5" applyFont="1" applyBorder="1" applyAlignment="1">
      <alignment horizontal="center"/>
    </xf>
    <xf numFmtId="0" fontId="39" fillId="0" borderId="5" xfId="5" applyFont="1" applyBorder="1" applyAlignment="1">
      <alignment horizontal="center"/>
    </xf>
    <xf numFmtId="0" fontId="26" fillId="0" borderId="37" xfId="5" applyFont="1" applyBorder="1"/>
    <xf numFmtId="0" fontId="26" fillId="0" borderId="5" xfId="5" applyFont="1" applyBorder="1"/>
    <xf numFmtId="0" fontId="26" fillId="0" borderId="38" xfId="5" applyFont="1" applyBorder="1" applyAlignment="1">
      <alignment horizontal="center"/>
    </xf>
    <xf numFmtId="0" fontId="26" fillId="0" borderId="1" xfId="5" applyFont="1" applyBorder="1" applyAlignment="1">
      <alignment horizontal="center"/>
    </xf>
    <xf numFmtId="0" fontId="26" fillId="0" borderId="38" xfId="5" applyFont="1" applyBorder="1"/>
    <xf numFmtId="0" fontId="26" fillId="0" borderId="38" xfId="5" applyFont="1" applyBorder="1" applyAlignment="1">
      <alignment horizontal="center" vertical="center"/>
    </xf>
    <xf numFmtId="0" fontId="26" fillId="0" borderId="1" xfId="5" applyFont="1" applyBorder="1" applyAlignment="1">
      <alignment horizontal="center" vertical="center"/>
    </xf>
    <xf numFmtId="0" fontId="37" fillId="0" borderId="1" xfId="5" applyFont="1" applyBorder="1" applyAlignment="1">
      <alignment horizontal="left"/>
    </xf>
    <xf numFmtId="0" fontId="26" fillId="0" borderId="38" xfId="5" applyFont="1" applyBorder="1" applyAlignment="1">
      <alignment horizontal="left"/>
    </xf>
    <xf numFmtId="0" fontId="37" fillId="0" borderId="1" xfId="5" applyFont="1" applyBorder="1"/>
    <xf numFmtId="0" fontId="0" fillId="9" borderId="6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 wrapText="1"/>
    </xf>
    <xf numFmtId="11" fontId="41" fillId="9" borderId="9" xfId="0" applyNumberFormat="1" applyFont="1" applyFill="1" applyBorder="1" applyAlignment="1">
      <alignment horizontal="center" vertical="center" wrapText="1"/>
    </xf>
    <xf numFmtId="164" fontId="0" fillId="9" borderId="10" xfId="0" applyNumberFormat="1" applyFill="1" applyBorder="1" applyAlignment="1">
      <alignment horizontal="center" vertical="center" wrapText="1"/>
    </xf>
    <xf numFmtId="164" fontId="0" fillId="9" borderId="9" xfId="0" applyNumberFormat="1" applyFill="1" applyBorder="1" applyAlignment="1">
      <alignment horizontal="center" vertical="center" wrapText="1"/>
    </xf>
    <xf numFmtId="0" fontId="43" fillId="0" borderId="0" xfId="5" applyFont="1"/>
    <xf numFmtId="0" fontId="39" fillId="0" borderId="1" xfId="5" applyFont="1" applyBorder="1" applyAlignment="1">
      <alignment horizontal="center" vertical="center"/>
    </xf>
    <xf numFmtId="49" fontId="39" fillId="0" borderId="1" xfId="5" applyNumberFormat="1" applyFont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0" borderId="1" xfId="0" applyFont="1" applyBorder="1" applyAlignment="1">
      <alignment horizontal="center" vertical="center"/>
    </xf>
    <xf numFmtId="168" fontId="26" fillId="0" borderId="24" xfId="4" applyFont="1" applyFill="1" applyBorder="1" applyAlignment="1">
      <alignment horizontal="right" vertical="center"/>
    </xf>
    <xf numFmtId="168" fontId="27" fillId="0" borderId="25" xfId="4" applyFont="1" applyFill="1" applyBorder="1" applyAlignment="1">
      <alignment horizontal="right" vertical="center"/>
    </xf>
    <xf numFmtId="168" fontId="27" fillId="0" borderId="26" xfId="4" applyFont="1" applyFill="1" applyBorder="1" applyAlignment="1">
      <alignment horizontal="right" vertical="center"/>
    </xf>
    <xf numFmtId="168" fontId="26" fillId="0" borderId="29" xfId="4" applyFont="1" applyBorder="1" applyAlignment="1">
      <alignment horizontal="center" vertical="center"/>
    </xf>
    <xf numFmtId="168" fontId="26" fillId="0" borderId="30" xfId="4" applyFont="1" applyBorder="1" applyAlignment="1">
      <alignment horizontal="center" vertical="center"/>
    </xf>
    <xf numFmtId="0" fontId="34" fillId="0" borderId="31" xfId="2" applyFont="1" applyBorder="1" applyAlignment="1">
      <alignment horizontal="center" vertical="center"/>
    </xf>
    <xf numFmtId="0" fontId="34" fillId="0" borderId="32" xfId="2" applyFont="1" applyBorder="1" applyAlignment="1">
      <alignment horizontal="center" vertical="center"/>
    </xf>
    <xf numFmtId="0" fontId="34" fillId="0" borderId="30" xfId="2" applyFont="1" applyBorder="1" applyAlignment="1">
      <alignment horizontal="center" vertical="center"/>
    </xf>
    <xf numFmtId="0" fontId="34" fillId="0" borderId="33" xfId="2" applyFont="1" applyBorder="1" applyAlignment="1">
      <alignment horizontal="center" vertical="center"/>
    </xf>
    <xf numFmtId="0" fontId="33" fillId="0" borderId="3" xfId="2" applyFont="1" applyBorder="1" applyAlignment="1">
      <alignment horizontal="center" vertical="center" wrapText="1"/>
    </xf>
    <xf numFmtId="0" fontId="33" fillId="0" borderId="4" xfId="2" applyFont="1" applyBorder="1" applyAlignment="1">
      <alignment horizontal="center" vertical="center" wrapText="1"/>
    </xf>
    <xf numFmtId="0" fontId="33" fillId="0" borderId="28" xfId="2" applyFont="1" applyBorder="1" applyAlignment="1">
      <alignment horizontal="center" vertical="center" wrapText="1"/>
    </xf>
    <xf numFmtId="0" fontId="33" fillId="0" borderId="27" xfId="2" applyFont="1" applyBorder="1" applyAlignment="1">
      <alignment horizontal="center" vertical="center"/>
    </xf>
    <xf numFmtId="0" fontId="33" fillId="0" borderId="5" xfId="2" applyFont="1" applyBorder="1" applyAlignment="1">
      <alignment horizontal="center" vertical="center"/>
    </xf>
    <xf numFmtId="14" fontId="33" fillId="0" borderId="3" xfId="2" applyNumberFormat="1" applyFont="1" applyBorder="1" applyAlignment="1">
      <alignment horizontal="center" vertical="center"/>
    </xf>
    <xf numFmtId="14" fontId="33" fillId="0" borderId="4" xfId="2" applyNumberFormat="1" applyFont="1" applyBorder="1" applyAlignment="1">
      <alignment horizontal="center" vertical="center"/>
    </xf>
    <xf numFmtId="14" fontId="33" fillId="0" borderId="5" xfId="2" applyNumberFormat="1" applyFont="1" applyBorder="1" applyAlignment="1">
      <alignment horizontal="center" vertical="center"/>
    </xf>
    <xf numFmtId="0" fontId="33" fillId="0" borderId="3" xfId="2" applyFont="1" applyBorder="1" applyAlignment="1">
      <alignment horizontal="center" vertical="center"/>
    </xf>
    <xf numFmtId="0" fontId="33" fillId="0" borderId="4" xfId="2" applyFont="1" applyBorder="1" applyAlignment="1">
      <alignment horizontal="center" vertical="center"/>
    </xf>
    <xf numFmtId="0" fontId="33" fillId="0" borderId="5" xfId="2" applyFont="1" applyBorder="1" applyAlignment="1">
      <alignment horizontal="center" vertical="center" wrapText="1"/>
    </xf>
    <xf numFmtId="0" fontId="31" fillId="0" borderId="19" xfId="2" applyFont="1" applyBorder="1" applyAlignment="1">
      <alignment horizontal="center" vertical="center" wrapText="1"/>
    </xf>
    <xf numFmtId="0" fontId="31" fillId="0" borderId="20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2" xfId="2" applyFont="1" applyBorder="1" applyAlignment="1">
      <alignment horizontal="center" vertical="center" wrapText="1"/>
    </xf>
    <xf numFmtId="0" fontId="31" fillId="0" borderId="0" xfId="2" applyFont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31" fillId="0" borderId="24" xfId="2" applyFont="1" applyBorder="1" applyAlignment="1">
      <alignment horizontal="center" vertical="center" wrapText="1"/>
    </xf>
    <xf numFmtId="0" fontId="31" fillId="0" borderId="25" xfId="2" applyFont="1" applyBorder="1" applyAlignment="1">
      <alignment horizontal="center" vertical="center" wrapText="1"/>
    </xf>
    <xf numFmtId="0" fontId="31" fillId="0" borderId="26" xfId="2" applyFont="1" applyBorder="1" applyAlignment="1">
      <alignment horizontal="center" vertical="center" wrapText="1"/>
    </xf>
    <xf numFmtId="0" fontId="12" fillId="0" borderId="1" xfId="0" quotePrefix="1" applyFont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top" wrapText="1"/>
    </xf>
    <xf numFmtId="0" fontId="12" fillId="0" borderId="40" xfId="0" applyFont="1" applyBorder="1" applyAlignment="1">
      <alignment horizontal="center" vertical="top" wrapText="1"/>
    </xf>
    <xf numFmtId="0" fontId="12" fillId="0" borderId="2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41" xfId="0" applyFont="1" applyBorder="1" applyAlignment="1">
      <alignment horizontal="center" vertical="top" wrapText="1"/>
    </xf>
    <xf numFmtId="0" fontId="12" fillId="0" borderId="42" xfId="0" applyFont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center" wrapText="1"/>
    </xf>
    <xf numFmtId="0" fontId="20" fillId="4" borderId="45" xfId="0" applyFont="1" applyFill="1" applyBorder="1" applyAlignment="1">
      <alignment horizontal="center" vertical="center" wrapText="1"/>
    </xf>
    <xf numFmtId="0" fontId="20" fillId="4" borderId="18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9" borderId="15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5" fillId="0" borderId="39" xfId="5" applyBorder="1" applyAlignment="1">
      <alignment horizontal="center"/>
    </xf>
    <xf numFmtId="0" fontId="35" fillId="0" borderId="43" xfId="5" applyBorder="1" applyAlignment="1">
      <alignment horizontal="center"/>
    </xf>
    <xf numFmtId="0" fontId="35" fillId="0" borderId="40" xfId="5" applyBorder="1" applyAlignment="1">
      <alignment horizontal="center"/>
    </xf>
    <xf numFmtId="0" fontId="35" fillId="0" borderId="2" xfId="5" applyBorder="1" applyAlignment="1">
      <alignment horizontal="center"/>
    </xf>
    <xf numFmtId="0" fontId="35" fillId="0" borderId="0" xfId="5" applyAlignment="1">
      <alignment horizontal="center"/>
    </xf>
    <xf numFmtId="0" fontId="35" fillId="0" borderId="37" xfId="5" applyBorder="1" applyAlignment="1">
      <alignment horizontal="center"/>
    </xf>
    <xf numFmtId="0" fontId="35" fillId="0" borderId="41" xfId="5" applyBorder="1" applyAlignment="1">
      <alignment horizontal="center"/>
    </xf>
    <xf numFmtId="0" fontId="35" fillId="0" borderId="44" xfId="5" applyBorder="1" applyAlignment="1">
      <alignment horizontal="center"/>
    </xf>
    <xf numFmtId="0" fontId="35" fillId="0" borderId="42" xfId="5" applyBorder="1" applyAlignment="1">
      <alignment horizontal="center"/>
    </xf>
    <xf numFmtId="0" fontId="26" fillId="0" borderId="2" xfId="5" applyFont="1" applyBorder="1" applyAlignment="1">
      <alignment horizontal="center"/>
    </xf>
    <xf numFmtId="0" fontId="26" fillId="0" borderId="37" xfId="5" applyFont="1" applyBorder="1" applyAlignment="1">
      <alignment horizontal="center"/>
    </xf>
    <xf numFmtId="0" fontId="26" fillId="0" borderId="0" xfId="5" applyFont="1" applyAlignment="1">
      <alignment horizontal="center"/>
    </xf>
    <xf numFmtId="0" fontId="38" fillId="0" borderId="3" xfId="6" applyFill="1" applyBorder="1" applyAlignment="1" applyProtection="1">
      <alignment horizontal="center"/>
    </xf>
    <xf numFmtId="0" fontId="38" fillId="0" borderId="5" xfId="6" applyFill="1" applyBorder="1" applyAlignment="1" applyProtection="1">
      <alignment horizontal="center"/>
    </xf>
    <xf numFmtId="0" fontId="33" fillId="0" borderId="3" xfId="5" applyFont="1" applyBorder="1" applyAlignment="1">
      <alignment horizontal="center" vertical="center" wrapText="1"/>
    </xf>
    <xf numFmtId="0" fontId="33" fillId="0" borderId="5" xfId="5" applyFont="1" applyBorder="1" applyAlignment="1">
      <alignment horizontal="center" vertical="center" wrapText="1"/>
    </xf>
    <xf numFmtId="1" fontId="26" fillId="0" borderId="0" xfId="5" applyNumberFormat="1" applyFont="1" applyAlignment="1">
      <alignment horizontal="center" vertical="center" wrapText="1"/>
    </xf>
    <xf numFmtId="0" fontId="26" fillId="0" borderId="37" xfId="5" applyFont="1" applyBorder="1" applyAlignment="1">
      <alignment horizontal="center" vertical="center" wrapText="1"/>
    </xf>
    <xf numFmtId="2" fontId="26" fillId="0" borderId="2" xfId="5" applyNumberFormat="1" applyFont="1" applyBorder="1" applyAlignment="1">
      <alignment horizontal="center" vertical="center" wrapText="1"/>
    </xf>
    <xf numFmtId="2" fontId="26" fillId="0" borderId="37" xfId="5" applyNumberFormat="1" applyFont="1" applyBorder="1" applyAlignment="1">
      <alignment horizontal="center" vertical="center" wrapText="1"/>
    </xf>
    <xf numFmtId="0" fontId="40" fillId="0" borderId="1" xfId="5" applyFont="1" applyBorder="1" applyAlignment="1">
      <alignment horizontal="center" vertical="center"/>
    </xf>
    <xf numFmtId="0" fontId="40" fillId="0" borderId="5" xfId="5" applyFont="1" applyBorder="1" applyAlignment="1">
      <alignment horizontal="center" vertical="center"/>
    </xf>
    <xf numFmtId="164" fontId="26" fillId="0" borderId="0" xfId="5" applyNumberFormat="1" applyFont="1" applyAlignment="1">
      <alignment horizontal="center" vertical="center" wrapText="1"/>
    </xf>
    <xf numFmtId="164" fontId="26" fillId="0" borderId="37" xfId="5" applyNumberFormat="1" applyFont="1" applyBorder="1" applyAlignment="1">
      <alignment horizontal="center" vertical="center" wrapText="1"/>
    </xf>
    <xf numFmtId="164" fontId="26" fillId="0" borderId="2" xfId="5" applyNumberFormat="1" applyFont="1" applyBorder="1" applyAlignment="1">
      <alignment horizontal="center" vertical="center" wrapText="1"/>
    </xf>
    <xf numFmtId="0" fontId="17" fillId="0" borderId="3" xfId="5" applyFont="1" applyBorder="1" applyAlignment="1">
      <alignment horizontal="center" vertical="center" wrapText="1"/>
    </xf>
    <xf numFmtId="0" fontId="17" fillId="0" borderId="5" xfId="5" applyFont="1" applyBorder="1" applyAlignment="1">
      <alignment horizontal="center" vertical="center" wrapText="1"/>
    </xf>
    <xf numFmtId="0" fontId="44" fillId="0" borderId="3" xfId="5" applyFont="1" applyBorder="1" applyAlignment="1">
      <alignment horizontal="center" vertical="center" wrapText="1"/>
    </xf>
    <xf numFmtId="0" fontId="44" fillId="0" borderId="5" xfId="5" applyFont="1" applyBorder="1" applyAlignment="1">
      <alignment horizontal="center" vertical="center" wrapText="1"/>
    </xf>
    <xf numFmtId="0" fontId="26" fillId="0" borderId="0" xfId="5" applyFont="1" applyAlignment="1">
      <alignment horizontal="center" vertical="center" wrapText="1"/>
    </xf>
    <xf numFmtId="0" fontId="37" fillId="0" borderId="4" xfId="5" applyFont="1" applyBorder="1" applyAlignment="1">
      <alignment horizontal="center"/>
    </xf>
    <xf numFmtId="0" fontId="37" fillId="0" borderId="5" xfId="5" applyFont="1" applyBorder="1" applyAlignment="1">
      <alignment horizontal="center"/>
    </xf>
    <xf numFmtId="1" fontId="26" fillId="0" borderId="0" xfId="5" applyNumberFormat="1" applyFont="1" applyAlignment="1">
      <alignment horizontal="center"/>
    </xf>
    <xf numFmtId="1" fontId="26" fillId="0" borderId="37" xfId="5" applyNumberFormat="1" applyFont="1" applyBorder="1" applyAlignment="1">
      <alignment horizontal="center"/>
    </xf>
    <xf numFmtId="0" fontId="37" fillId="0" borderId="1" xfId="5" applyFont="1" applyBorder="1" applyAlignment="1">
      <alignment horizontal="center"/>
    </xf>
    <xf numFmtId="0" fontId="35" fillId="0" borderId="5" xfId="5" applyBorder="1" applyAlignment="1">
      <alignment horizontal="center"/>
    </xf>
    <xf numFmtId="0" fontId="35" fillId="0" borderId="1" xfId="5" applyBorder="1" applyAlignment="1">
      <alignment horizontal="center"/>
    </xf>
    <xf numFmtId="0" fontId="34" fillId="0" borderId="34" xfId="5" applyFont="1" applyBorder="1" applyAlignment="1">
      <alignment horizontal="center"/>
    </xf>
    <xf numFmtId="0" fontId="34" fillId="0" borderId="35" xfId="5" applyFont="1" applyBorder="1" applyAlignment="1">
      <alignment horizontal="center"/>
    </xf>
    <xf numFmtId="0" fontId="34" fillId="0" borderId="36" xfId="5" applyFont="1" applyBorder="1" applyAlignment="1">
      <alignment horizontal="center"/>
    </xf>
    <xf numFmtId="0" fontId="36" fillId="0" borderId="19" xfId="5" applyFont="1" applyBorder="1" applyAlignment="1">
      <alignment horizontal="center" vertical="center" wrapText="1"/>
    </xf>
    <xf numFmtId="0" fontId="36" fillId="0" borderId="21" xfId="5" applyFont="1" applyBorder="1" applyAlignment="1">
      <alignment horizontal="center" vertical="center"/>
    </xf>
    <xf numFmtId="0" fontId="36" fillId="0" borderId="22" xfId="5" applyFont="1" applyBorder="1" applyAlignment="1">
      <alignment horizontal="center" vertical="center"/>
    </xf>
    <xf numFmtId="0" fontId="36" fillId="0" borderId="23" xfId="5" applyFont="1" applyBorder="1" applyAlignment="1">
      <alignment horizontal="center" vertical="center"/>
    </xf>
    <xf numFmtId="0" fontId="36" fillId="0" borderId="24" xfId="5" applyFont="1" applyBorder="1" applyAlignment="1">
      <alignment horizontal="center" vertical="center"/>
    </xf>
    <xf numFmtId="0" fontId="36" fillId="0" borderId="26" xfId="5" applyFont="1" applyBorder="1" applyAlignment="1">
      <alignment horizontal="center" vertical="center"/>
    </xf>
    <xf numFmtId="0" fontId="37" fillId="0" borderId="19" xfId="5" applyFont="1" applyBorder="1" applyAlignment="1">
      <alignment horizontal="center" vertical="center"/>
    </xf>
    <xf numFmtId="0" fontId="37" fillId="0" borderId="24" xfId="5" applyFont="1" applyBorder="1" applyAlignment="1">
      <alignment horizontal="center" vertical="center"/>
    </xf>
    <xf numFmtId="0" fontId="37" fillId="0" borderId="21" xfId="5" applyFont="1" applyBorder="1" applyAlignment="1">
      <alignment horizontal="center" vertical="center"/>
    </xf>
    <xf numFmtId="0" fontId="37" fillId="0" borderId="26" xfId="5" applyFont="1" applyBorder="1" applyAlignment="1">
      <alignment horizontal="center" vertical="center"/>
    </xf>
  </cellXfs>
  <cellStyles count="7">
    <cellStyle name="Collegamento ipertestuale" xfId="6" builtinId="8"/>
    <cellStyle name="Normale" xfId="0" builtinId="0"/>
    <cellStyle name="Normale 2" xfId="5" xr:uid="{A05CC4E7-25EB-4AD5-91DC-BA3A426A6A10}"/>
    <cellStyle name="Normale 3" xfId="3" xr:uid="{CDCC59AA-49EE-4202-B6AE-82DD1A076715}"/>
    <cellStyle name="Normale 4" xfId="2" xr:uid="{CEFE5CEF-5109-49EA-96A4-EB4A77EE38D5}"/>
    <cellStyle name="Percentuale" xfId="1" builtinId="5"/>
    <cellStyle name="Valuta 2" xfId="4" xr:uid="{7477E9D4-9786-4400-A666-E05ED1102BEB}"/>
  </cellStyles>
  <dxfs count="3">
    <dxf>
      <font>
        <b val="0"/>
        <i/>
        <strike val="0"/>
      </font>
      <fill>
        <patternFill patternType="none">
          <bgColor auto="1"/>
        </patternFill>
      </fill>
    </dxf>
    <dxf>
      <font>
        <b val="0"/>
        <i val="0"/>
        <strike val="0"/>
      </font>
      <fill>
        <patternFill>
          <bgColor rgb="FFFFFF00"/>
        </patternFill>
      </fill>
    </dxf>
    <dxf>
      <font>
        <color auto="1"/>
      </font>
      <fill>
        <patternFill>
          <bgColor rgb="FFFF6600"/>
        </patternFill>
      </fill>
    </dxf>
  </dxfs>
  <tableStyles count="0" defaultTableStyle="TableStyleMedium2" defaultPivotStyle="PivotStyleLight16"/>
  <colors>
    <mruColors>
      <color rgb="FFFF66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'key calculator'!$R$2</c:f>
              <c:strCache>
                <c:ptCount val="1"/>
                <c:pt idx="0">
                  <c:v>KtA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'key calculator'!$Q$3:$Q$29</c:f>
              <c:numCache>
                <c:formatCode>General</c:formatCode>
                <c:ptCount val="27"/>
                <c:pt idx="0">
                  <c:v>5.0000000000000001E-3</c:v>
                </c:pt>
                <c:pt idx="1">
                  <c:v>7.4999999999999997E-3</c:v>
                </c:pt>
                <c:pt idx="2">
                  <c:v>0.01</c:v>
                </c:pt>
                <c:pt idx="3">
                  <c:v>1.2500000000000001E-2</c:v>
                </c:pt>
                <c:pt idx="4">
                  <c:v>1.4999999999999999E-2</c:v>
                </c:pt>
                <c:pt idx="5">
                  <c:v>1.7500000000000002E-2</c:v>
                </c:pt>
                <c:pt idx="6">
                  <c:v>0.02</c:v>
                </c:pt>
                <c:pt idx="7">
                  <c:v>2.2499999999999999E-2</c:v>
                </c:pt>
                <c:pt idx="8">
                  <c:v>2.5000000000000001E-2</c:v>
                </c:pt>
                <c:pt idx="9">
                  <c:v>2.75E-2</c:v>
                </c:pt>
                <c:pt idx="10">
                  <c:v>0.03</c:v>
                </c:pt>
                <c:pt idx="11">
                  <c:v>3.2500000000000001E-2</c:v>
                </c:pt>
                <c:pt idx="12">
                  <c:v>3.5000000000000003E-2</c:v>
                </c:pt>
                <c:pt idx="13">
                  <c:v>3.7499999999999999E-2</c:v>
                </c:pt>
                <c:pt idx="14">
                  <c:v>0.04</c:v>
                </c:pt>
                <c:pt idx="15">
                  <c:v>4.2500000000000003E-2</c:v>
                </c:pt>
                <c:pt idx="16">
                  <c:v>4.4999999999999998E-2</c:v>
                </c:pt>
                <c:pt idx="17">
                  <c:v>4.7500000000000001E-2</c:v>
                </c:pt>
                <c:pt idx="18">
                  <c:v>0.05</c:v>
                </c:pt>
                <c:pt idx="19">
                  <c:v>5.2499999999999998E-2</c:v>
                </c:pt>
                <c:pt idx="20">
                  <c:v>5.5E-2</c:v>
                </c:pt>
                <c:pt idx="21">
                  <c:v>5.7500000000000002E-2</c:v>
                </c:pt>
                <c:pt idx="22">
                  <c:v>0.06</c:v>
                </c:pt>
                <c:pt idx="23">
                  <c:v>6.25E-2</c:v>
                </c:pt>
                <c:pt idx="24">
                  <c:v>6.5000000000000002E-2</c:v>
                </c:pt>
                <c:pt idx="25">
                  <c:v>6.7500000000000004E-2</c:v>
                </c:pt>
                <c:pt idx="26">
                  <c:v>7.0000000000000007E-2</c:v>
                </c:pt>
              </c:numCache>
            </c:numRef>
          </c:xVal>
          <c:yVal>
            <c:numRef>
              <c:f>'key calculator'!$R$3:$R$29</c:f>
              <c:numCache>
                <c:formatCode>General</c:formatCode>
                <c:ptCount val="27"/>
                <c:pt idx="0">
                  <c:v>3.4</c:v>
                </c:pt>
                <c:pt idx="1">
                  <c:v>3.4</c:v>
                </c:pt>
                <c:pt idx="2">
                  <c:v>3.4</c:v>
                </c:pt>
                <c:pt idx="3">
                  <c:v>3.4</c:v>
                </c:pt>
                <c:pt idx="4">
                  <c:v>3.4</c:v>
                </c:pt>
                <c:pt idx="5">
                  <c:v>3.4</c:v>
                </c:pt>
                <c:pt idx="6">
                  <c:v>3.4</c:v>
                </c:pt>
                <c:pt idx="7">
                  <c:v>3.4</c:v>
                </c:pt>
                <c:pt idx="8">
                  <c:v>3.4</c:v>
                </c:pt>
                <c:pt idx="9">
                  <c:v>3.4</c:v>
                </c:pt>
                <c:pt idx="10">
                  <c:v>3.4</c:v>
                </c:pt>
                <c:pt idx="11">
                  <c:v>3.4</c:v>
                </c:pt>
                <c:pt idx="12">
                  <c:v>3.4</c:v>
                </c:pt>
                <c:pt idx="13">
                  <c:v>3.4</c:v>
                </c:pt>
                <c:pt idx="14">
                  <c:v>3.4</c:v>
                </c:pt>
                <c:pt idx="15">
                  <c:v>3.4</c:v>
                </c:pt>
                <c:pt idx="16">
                  <c:v>3.4</c:v>
                </c:pt>
                <c:pt idx="17">
                  <c:v>3.4</c:v>
                </c:pt>
                <c:pt idx="18">
                  <c:v>3.4</c:v>
                </c:pt>
                <c:pt idx="19">
                  <c:v>3.4</c:v>
                </c:pt>
                <c:pt idx="20">
                  <c:v>3.4</c:v>
                </c:pt>
                <c:pt idx="21">
                  <c:v>3.4</c:v>
                </c:pt>
                <c:pt idx="22">
                  <c:v>3.4</c:v>
                </c:pt>
                <c:pt idx="23">
                  <c:v>3.4</c:v>
                </c:pt>
                <c:pt idx="24">
                  <c:v>3.4</c:v>
                </c:pt>
                <c:pt idx="25">
                  <c:v>3.4</c:v>
                </c:pt>
                <c:pt idx="26">
                  <c:v>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5-4E06-8638-89A4963C2E85}"/>
            </c:ext>
          </c:extLst>
        </c:ser>
        <c:ser>
          <c:idx val="1"/>
          <c:order val="1"/>
          <c:tx>
            <c:strRef>
              <c:f>'key calculator'!$S$2</c:f>
              <c:strCache>
                <c:ptCount val="1"/>
                <c:pt idx="0">
                  <c:v>KtB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'key calculator'!$Q$3:$Q$29</c:f>
              <c:numCache>
                <c:formatCode>General</c:formatCode>
                <c:ptCount val="27"/>
                <c:pt idx="0">
                  <c:v>5.0000000000000001E-3</c:v>
                </c:pt>
                <c:pt idx="1">
                  <c:v>7.4999999999999997E-3</c:v>
                </c:pt>
                <c:pt idx="2">
                  <c:v>0.01</c:v>
                </c:pt>
                <c:pt idx="3">
                  <c:v>1.2500000000000001E-2</c:v>
                </c:pt>
                <c:pt idx="4">
                  <c:v>1.4999999999999999E-2</c:v>
                </c:pt>
                <c:pt idx="5">
                  <c:v>1.7500000000000002E-2</c:v>
                </c:pt>
                <c:pt idx="6">
                  <c:v>0.02</c:v>
                </c:pt>
                <c:pt idx="7">
                  <c:v>2.2499999999999999E-2</c:v>
                </c:pt>
                <c:pt idx="8">
                  <c:v>2.5000000000000001E-2</c:v>
                </c:pt>
                <c:pt idx="9">
                  <c:v>2.75E-2</c:v>
                </c:pt>
                <c:pt idx="10">
                  <c:v>0.03</c:v>
                </c:pt>
                <c:pt idx="11">
                  <c:v>3.2500000000000001E-2</c:v>
                </c:pt>
                <c:pt idx="12">
                  <c:v>3.5000000000000003E-2</c:v>
                </c:pt>
                <c:pt idx="13">
                  <c:v>3.7499999999999999E-2</c:v>
                </c:pt>
                <c:pt idx="14">
                  <c:v>0.04</c:v>
                </c:pt>
                <c:pt idx="15">
                  <c:v>4.2500000000000003E-2</c:v>
                </c:pt>
                <c:pt idx="16">
                  <c:v>4.4999999999999998E-2</c:v>
                </c:pt>
                <c:pt idx="17">
                  <c:v>4.7500000000000001E-2</c:v>
                </c:pt>
                <c:pt idx="18">
                  <c:v>0.05</c:v>
                </c:pt>
                <c:pt idx="19">
                  <c:v>5.2499999999999998E-2</c:v>
                </c:pt>
                <c:pt idx="20">
                  <c:v>5.5E-2</c:v>
                </c:pt>
                <c:pt idx="21">
                  <c:v>5.7500000000000002E-2</c:v>
                </c:pt>
                <c:pt idx="22">
                  <c:v>0.06</c:v>
                </c:pt>
                <c:pt idx="23">
                  <c:v>6.25E-2</c:v>
                </c:pt>
                <c:pt idx="24">
                  <c:v>6.5000000000000002E-2</c:v>
                </c:pt>
                <c:pt idx="25">
                  <c:v>6.7500000000000004E-2</c:v>
                </c:pt>
                <c:pt idx="26">
                  <c:v>7.0000000000000007E-2</c:v>
                </c:pt>
              </c:numCache>
            </c:numRef>
          </c:xVal>
          <c:yVal>
            <c:numRef>
              <c:f>'key calculator'!$S$3:$S$29</c:f>
              <c:numCache>
                <c:formatCode>General</c:formatCode>
                <c:ptCount val="27"/>
                <c:pt idx="0">
                  <c:v>3.9809999999999999</c:v>
                </c:pt>
                <c:pt idx="1">
                  <c:v>3.4916666666666667</c:v>
                </c:pt>
                <c:pt idx="2">
                  <c:v>3.177</c:v>
                </c:pt>
                <c:pt idx="3">
                  <c:v>2.9658000000000002</c:v>
                </c:pt>
                <c:pt idx="4">
                  <c:v>2.815666666666667</c:v>
                </c:pt>
                <c:pt idx="5">
                  <c:v>2.7038571428571432</c:v>
                </c:pt>
                <c:pt idx="6">
                  <c:v>2.6174999999999997</c:v>
                </c:pt>
                <c:pt idx="7">
                  <c:v>2.5488518518518521</c:v>
                </c:pt>
                <c:pt idx="8">
                  <c:v>2.4930000000000003</c:v>
                </c:pt>
                <c:pt idx="9">
                  <c:v>2.4466859504132232</c:v>
                </c:pt>
                <c:pt idx="10">
                  <c:v>2.4076666666666666</c:v>
                </c:pt>
                <c:pt idx="11">
                  <c:v>2.3743491124260356</c:v>
                </c:pt>
                <c:pt idx="12">
                  <c:v>2.3455714285714282</c:v>
                </c:pt>
                <c:pt idx="13">
                  <c:v>2.3204666666666665</c:v>
                </c:pt>
                <c:pt idx="14">
                  <c:v>2.2983750000000001</c:v>
                </c:pt>
                <c:pt idx="15">
                  <c:v>2.2787854671280279</c:v>
                </c:pt>
                <c:pt idx="16">
                  <c:v>2.2612962962962961</c:v>
                </c:pt>
                <c:pt idx="17">
                  <c:v>2.2455872576177285</c:v>
                </c:pt>
                <c:pt idx="18">
                  <c:v>2.2314000000000003</c:v>
                </c:pt>
                <c:pt idx="19">
                  <c:v>2.21852380952381</c:v>
                </c:pt>
                <c:pt idx="20">
                  <c:v>2.206785123966942</c:v>
                </c:pt>
                <c:pt idx="21">
                  <c:v>2.1960396975425329</c:v>
                </c:pt>
                <c:pt idx="22">
                  <c:v>2.1861666666666668</c:v>
                </c:pt>
                <c:pt idx="23">
                  <c:v>2.1770640000000001</c:v>
                </c:pt>
                <c:pt idx="24">
                  <c:v>2.1686449704142015</c:v>
                </c:pt>
                <c:pt idx="25">
                  <c:v>2.1608353909465023</c:v>
                </c:pt>
                <c:pt idx="26">
                  <c:v>2.1535714285714285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5-4E06-8638-89A4963C2E85}"/>
            </c:ext>
          </c:extLst>
        </c:ser>
        <c:ser>
          <c:idx val="2"/>
          <c:order val="2"/>
          <c:tx>
            <c:strRef>
              <c:f>'key calculator'!$T$2</c:f>
              <c:strCache>
                <c:ptCount val="1"/>
                <c:pt idx="0">
                  <c:v>KtsA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'key calculator'!$Q$3:$Q$29</c:f>
              <c:numCache>
                <c:formatCode>General</c:formatCode>
                <c:ptCount val="27"/>
                <c:pt idx="0">
                  <c:v>5.0000000000000001E-3</c:v>
                </c:pt>
                <c:pt idx="1">
                  <c:v>7.4999999999999997E-3</c:v>
                </c:pt>
                <c:pt idx="2">
                  <c:v>0.01</c:v>
                </c:pt>
                <c:pt idx="3">
                  <c:v>1.2500000000000001E-2</c:v>
                </c:pt>
                <c:pt idx="4">
                  <c:v>1.4999999999999999E-2</c:v>
                </c:pt>
                <c:pt idx="5">
                  <c:v>1.7500000000000002E-2</c:v>
                </c:pt>
                <c:pt idx="6">
                  <c:v>0.02</c:v>
                </c:pt>
                <c:pt idx="7">
                  <c:v>2.2499999999999999E-2</c:v>
                </c:pt>
                <c:pt idx="8">
                  <c:v>2.5000000000000001E-2</c:v>
                </c:pt>
                <c:pt idx="9">
                  <c:v>2.75E-2</c:v>
                </c:pt>
                <c:pt idx="10">
                  <c:v>0.03</c:v>
                </c:pt>
                <c:pt idx="11">
                  <c:v>3.2500000000000001E-2</c:v>
                </c:pt>
                <c:pt idx="12">
                  <c:v>3.5000000000000003E-2</c:v>
                </c:pt>
                <c:pt idx="13">
                  <c:v>3.7499999999999999E-2</c:v>
                </c:pt>
                <c:pt idx="14">
                  <c:v>0.04</c:v>
                </c:pt>
                <c:pt idx="15">
                  <c:v>4.2500000000000003E-2</c:v>
                </c:pt>
                <c:pt idx="16">
                  <c:v>4.4999999999999998E-2</c:v>
                </c:pt>
                <c:pt idx="17">
                  <c:v>4.7500000000000001E-2</c:v>
                </c:pt>
                <c:pt idx="18">
                  <c:v>0.05</c:v>
                </c:pt>
                <c:pt idx="19">
                  <c:v>5.2499999999999998E-2</c:v>
                </c:pt>
                <c:pt idx="20">
                  <c:v>5.5E-2</c:v>
                </c:pt>
                <c:pt idx="21">
                  <c:v>5.7500000000000002E-2</c:v>
                </c:pt>
                <c:pt idx="22">
                  <c:v>0.06</c:v>
                </c:pt>
                <c:pt idx="23">
                  <c:v>6.25E-2</c:v>
                </c:pt>
                <c:pt idx="24">
                  <c:v>6.5000000000000002E-2</c:v>
                </c:pt>
                <c:pt idx="25">
                  <c:v>6.7500000000000004E-2</c:v>
                </c:pt>
                <c:pt idx="26">
                  <c:v>7.0000000000000007E-2</c:v>
                </c:pt>
              </c:numCache>
            </c:numRef>
          </c:xVal>
          <c:yVal>
            <c:numRef>
              <c:f>'key calculator'!$T$3:$T$29</c:f>
              <c:numCache>
                <c:formatCode>General</c:formatCode>
                <c:ptCount val="27"/>
                <c:pt idx="0">
                  <c:v>1.7</c:v>
                </c:pt>
                <c:pt idx="1">
                  <c:v>1.7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1.7</c:v>
                </c:pt>
                <c:pt idx="17">
                  <c:v>1.7</c:v>
                </c:pt>
                <c:pt idx="18">
                  <c:v>1.7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1.7</c:v>
                </c:pt>
                <c:pt idx="24">
                  <c:v>1.7</c:v>
                </c:pt>
                <c:pt idx="25">
                  <c:v>1.7</c:v>
                </c:pt>
                <c:pt idx="26">
                  <c:v>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5-4E06-8638-89A4963C2E85}"/>
            </c:ext>
          </c:extLst>
        </c:ser>
        <c:ser>
          <c:idx val="3"/>
          <c:order val="3"/>
          <c:tx>
            <c:strRef>
              <c:f>'key calculator'!$U$2</c:f>
              <c:strCache>
                <c:ptCount val="1"/>
                <c:pt idx="0">
                  <c:v>KtsB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'key calculator'!$Q$4:$Q$21</c:f>
              <c:numCache>
                <c:formatCode>General</c:formatCode>
                <c:ptCount val="18"/>
                <c:pt idx="0">
                  <c:v>7.4999999999999997E-3</c:v>
                </c:pt>
                <c:pt idx="1">
                  <c:v>0.01</c:v>
                </c:pt>
                <c:pt idx="2">
                  <c:v>1.2500000000000001E-2</c:v>
                </c:pt>
                <c:pt idx="3">
                  <c:v>1.4999999999999999E-2</c:v>
                </c:pt>
                <c:pt idx="4">
                  <c:v>1.7500000000000002E-2</c:v>
                </c:pt>
                <c:pt idx="5">
                  <c:v>0.02</c:v>
                </c:pt>
                <c:pt idx="6">
                  <c:v>2.2499999999999999E-2</c:v>
                </c:pt>
                <c:pt idx="7">
                  <c:v>2.5000000000000001E-2</c:v>
                </c:pt>
                <c:pt idx="8">
                  <c:v>2.75E-2</c:v>
                </c:pt>
                <c:pt idx="9">
                  <c:v>0.03</c:v>
                </c:pt>
                <c:pt idx="10">
                  <c:v>3.2500000000000001E-2</c:v>
                </c:pt>
                <c:pt idx="11">
                  <c:v>3.5000000000000003E-2</c:v>
                </c:pt>
                <c:pt idx="12">
                  <c:v>3.7499999999999999E-2</c:v>
                </c:pt>
                <c:pt idx="13">
                  <c:v>0.04</c:v>
                </c:pt>
                <c:pt idx="14">
                  <c:v>4.2500000000000003E-2</c:v>
                </c:pt>
                <c:pt idx="15">
                  <c:v>4.4999999999999998E-2</c:v>
                </c:pt>
                <c:pt idx="16">
                  <c:v>4.7500000000000001E-2</c:v>
                </c:pt>
                <c:pt idx="17">
                  <c:v>0.05</c:v>
                </c:pt>
              </c:numCache>
            </c:numRef>
          </c:xVal>
          <c:yVal>
            <c:numRef>
              <c:f>'key calculator'!$U$4:$U$21</c:f>
              <c:numCache>
                <c:formatCode>General</c:formatCode>
                <c:ptCount val="18"/>
                <c:pt idx="0">
                  <c:v>3.9251194204206517</c:v>
                </c:pt>
                <c:pt idx="1">
                  <c:v>3.6516930054531764</c:v>
                </c:pt>
                <c:pt idx="2">
                  <c:v>3.4360848001724769</c:v>
                </c:pt>
                <c:pt idx="3">
                  <c:v>3.2679913441540283</c:v>
                </c:pt>
                <c:pt idx="4">
                  <c:v>3.1381416890298359</c:v>
                </c:pt>
                <c:pt idx="5">
                  <c:v>3.0382973984884387</c:v>
                </c:pt>
                <c:pt idx="6">
                  <c:v>2.9612525482749037</c:v>
                </c:pt>
                <c:pt idx="7">
                  <c:v>2.9008337261908341</c:v>
                </c:pt>
                <c:pt idx="8">
                  <c:v>2.8519000320943584</c:v>
                </c:pt>
                <c:pt idx="9">
                  <c:v>2.8103430779001428</c:v>
                </c:pt>
                <c:pt idx="10">
                  <c:v>2.7730869875793802</c:v>
                </c:pt>
                <c:pt idx="11">
                  <c:v>2.7380883971597978</c:v>
                </c:pt>
                <c:pt idx="12">
                  <c:v>2.7043364547256541</c:v>
                </c:pt>
                <c:pt idx="13">
                  <c:v>2.671852820417735</c:v>
                </c:pt>
                <c:pt idx="14">
                  <c:v>2.6416916664333634</c:v>
                </c:pt>
                <c:pt idx="15">
                  <c:v>2.6159396770263896</c:v>
                </c:pt>
                <c:pt idx="16">
                  <c:v>2.5977160485072002</c:v>
                </c:pt>
                <c:pt idx="17">
                  <c:v>2.5911724892427141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5-4E06-8638-89A4963C2E85}"/>
            </c:ext>
          </c:extLst>
        </c:ser>
        <c:ser>
          <c:idx val="4"/>
          <c:order val="4"/>
          <c:tx>
            <c:v>op</c:v>
          </c:tx>
          <c:spPr>
            <a:ln w="1905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'key calculator'!$V$3:$V$4</c:f>
              <c:numCache>
                <c:formatCode>0.0000</c:formatCode>
                <c:ptCount val="2"/>
                <c:pt idx="0">
                  <c:v>0.01</c:v>
                </c:pt>
                <c:pt idx="1">
                  <c:v>0.01</c:v>
                </c:pt>
              </c:numCache>
              <c:extLst xmlns:c15="http://schemas.microsoft.com/office/drawing/2012/chart"/>
            </c:numRef>
          </c:xVal>
          <c:yVal>
            <c:numRef>
              <c:f>'key calculator'!$W$3:$W$4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3.6516930054531764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3A5-4E06-8638-89A4963C2E85}"/>
            </c:ext>
          </c:extLst>
        </c:ser>
        <c:ser>
          <c:idx val="5"/>
          <c:order val="5"/>
          <c:tx>
            <c:v>US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'key calculator'!$V$5:$V$6</c:f>
              <c:numCache>
                <c:formatCode>0.0000</c:formatCode>
                <c:ptCount val="2"/>
                <c:pt idx="0">
                  <c:v>2.0799999999999999E-2</c:v>
                </c:pt>
                <c:pt idx="1">
                  <c:v>2.0799999999999999E-2</c:v>
                </c:pt>
              </c:numCache>
            </c:numRef>
          </c:xVal>
          <c:yVal>
            <c:numRef>
              <c:f>'key calculator'!$W$5:$W$6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A5-4E06-8638-89A4963C2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247471"/>
        <c:axId val="1331246511"/>
        <c:extLst/>
      </c:scatterChart>
      <c:valAx>
        <c:axId val="1331247471"/>
        <c:scaling>
          <c:orientation val="minMax"/>
          <c:max val="8.0000000000000016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r/D</a:t>
                </a:r>
                <a:r>
                  <a:rPr lang="it-IT" baseline="-25000"/>
                  <a:t>j</a:t>
                </a:r>
                <a:r>
                  <a:rPr lang="it-IT" baseline="0"/>
                  <a:t> [-]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31246511"/>
        <c:crosses val="autoZero"/>
        <c:crossBetween val="midCat"/>
      </c:valAx>
      <c:valAx>
        <c:axId val="1331246511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  <a:r>
                  <a:rPr lang="it-IT" baseline="-25000"/>
                  <a:t>t</a:t>
                </a:r>
                <a:r>
                  <a:rPr lang="it-IT" baseline="0"/>
                  <a:t> or K</a:t>
                </a:r>
                <a:r>
                  <a:rPr lang="it-IT" baseline="-25000"/>
                  <a:t>ts</a:t>
                </a:r>
                <a:r>
                  <a:rPr lang="it-IT" baseline="0"/>
                  <a:t>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3124747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 cmpd="dbl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SCF!$B$3:$B$34</c:f>
              <c:numCache>
                <c:formatCode>General</c:formatCode>
                <c:ptCount val="32"/>
                <c:pt idx="0">
                  <c:v>7.3081324382056698E-3</c:v>
                </c:pt>
                <c:pt idx="1">
                  <c:v>7.8443371550634307E-3</c:v>
                </c:pt>
                <c:pt idx="2">
                  <c:v>8.3805418719211794E-3</c:v>
                </c:pt>
                <c:pt idx="3">
                  <c:v>8.9167465887789298E-3</c:v>
                </c:pt>
                <c:pt idx="4">
                  <c:v>9.6540280744583495E-3</c:v>
                </c:pt>
                <c:pt idx="5">
                  <c:v>1.03242839705305E-2</c:v>
                </c:pt>
                <c:pt idx="6">
                  <c:v>1.11956166354243E-2</c:v>
                </c:pt>
                <c:pt idx="7">
                  <c:v>1.1865872531496501E-2</c:v>
                </c:pt>
                <c:pt idx="8">
                  <c:v>1.2971685775317101E-2</c:v>
                </c:pt>
                <c:pt idx="9">
                  <c:v>1.4010691398927499E-2</c:v>
                </c:pt>
                <c:pt idx="10">
                  <c:v>1.5150126422250301E-2</c:v>
                </c:pt>
                <c:pt idx="11">
                  <c:v>1.6222535855965801E-2</c:v>
                </c:pt>
                <c:pt idx="12">
                  <c:v>1.74960220585029E-2</c:v>
                </c:pt>
                <c:pt idx="13">
                  <c:v>1.8836533850647302E-2</c:v>
                </c:pt>
                <c:pt idx="14">
                  <c:v>2.0284487788683699E-2</c:v>
                </c:pt>
                <c:pt idx="15">
                  <c:v>2.1417019050525302E-2</c:v>
                </c:pt>
                <c:pt idx="16">
                  <c:v>2.2891582021884099E-2</c:v>
                </c:pt>
                <c:pt idx="17">
                  <c:v>2.43326321984393E-2</c:v>
                </c:pt>
                <c:pt idx="18">
                  <c:v>2.5701869243272502E-2</c:v>
                </c:pt>
                <c:pt idx="19">
                  <c:v>2.69466301931208E-2</c:v>
                </c:pt>
                <c:pt idx="20">
                  <c:v>2.8555244343694101E-2</c:v>
                </c:pt>
                <c:pt idx="21">
                  <c:v>3.0364935263089001E-2</c:v>
                </c:pt>
                <c:pt idx="22">
                  <c:v>3.2174626182483901E-2</c:v>
                </c:pt>
                <c:pt idx="23">
                  <c:v>3.3984317101878901E-2</c:v>
                </c:pt>
                <c:pt idx="24">
                  <c:v>3.5861033610880999E-2</c:v>
                </c:pt>
                <c:pt idx="25">
                  <c:v>3.7670724530275902E-2</c:v>
                </c:pt>
                <c:pt idx="26">
                  <c:v>3.9547441039278E-2</c:v>
                </c:pt>
                <c:pt idx="27">
                  <c:v>4.1424157548280202E-2</c:v>
                </c:pt>
                <c:pt idx="28">
                  <c:v>4.33008740572823E-2</c:v>
                </c:pt>
                <c:pt idx="29">
                  <c:v>4.5244616155891697E-2</c:v>
                </c:pt>
                <c:pt idx="30">
                  <c:v>4.7121332664893802E-2</c:v>
                </c:pt>
                <c:pt idx="31">
                  <c:v>4.89980491738959E-2</c:v>
                </c:pt>
              </c:numCache>
            </c:numRef>
          </c:xVal>
          <c:yVal>
            <c:numRef>
              <c:f>SCF!$D$3:$D$34</c:f>
              <c:numCache>
                <c:formatCode>General</c:formatCode>
                <c:ptCount val="32"/>
                <c:pt idx="0">
                  <c:v>3.948810473013733</c:v>
                </c:pt>
                <c:pt idx="1">
                  <c:v>3.883618673566124</c:v>
                </c:pt>
                <c:pt idx="2">
                  <c:v>3.8215297149923964</c:v>
                </c:pt>
                <c:pt idx="3">
                  <c:v>3.7624291506129408</c:v>
                </c:pt>
                <c:pt idx="4">
                  <c:v>3.6858395232713583</c:v>
                </c:pt>
                <c:pt idx="5">
                  <c:v>3.6206914645790067</c:v>
                </c:pt>
                <c:pt idx="6">
                  <c:v>3.5420230811784839</c:v>
                </c:pt>
                <c:pt idx="7">
                  <c:v>3.4858867493525132</c:v>
                </c:pt>
                <c:pt idx="8">
                  <c:v>3.4010285248389271</c:v>
                </c:pt>
                <c:pt idx="9">
                  <c:v>3.3294446456019982</c:v>
                </c:pt>
                <c:pt idx="10">
                  <c:v>3.2592016225835887</c:v>
                </c:pt>
                <c:pt idx="11">
                  <c:v>3.2002499040747638</c:v>
                </c:pt>
                <c:pt idx="12">
                  <c:v>3.1383224208340597</c:v>
                </c:pt>
                <c:pt idx="13">
                  <c:v>3.081513508908305</c:v>
                </c:pt>
                <c:pt idx="14">
                  <c:v>3.0285051395369393</c:v>
                </c:pt>
                <c:pt idx="15">
                  <c:v>2.9922482881678532</c:v>
                </c:pt>
                <c:pt idx="16">
                  <c:v>2.9508338677614052</c:v>
                </c:pt>
                <c:pt idx="17">
                  <c:v>2.9156446745104354</c:v>
                </c:pt>
                <c:pt idx="18">
                  <c:v>2.8861323307829609</c:v>
                </c:pt>
                <c:pt idx="19">
                  <c:v>2.8619676716183107</c:v>
                </c:pt>
                <c:pt idx="20">
                  <c:v>2.8336606093305567</c:v>
                </c:pt>
                <c:pt idx="21">
                  <c:v>2.804696617336651</c:v>
                </c:pt>
                <c:pt idx="22">
                  <c:v>2.7777747829439265</c:v>
                </c:pt>
                <c:pt idx="23">
                  <c:v>2.7521231384996074</c:v>
                </c:pt>
                <c:pt idx="24">
                  <c:v>2.7263435576219335</c:v>
                </c:pt>
                <c:pt idx="25">
                  <c:v>2.7020715110484304</c:v>
                </c:pt>
                <c:pt idx="26">
                  <c:v>2.6776054302992787</c:v>
                </c:pt>
                <c:pt idx="27">
                  <c:v>2.6542763049034086</c:v>
                </c:pt>
                <c:pt idx="28">
                  <c:v>2.6328333571062199</c:v>
                </c:pt>
                <c:pt idx="29">
                  <c:v>2.6137651593404669</c:v>
                </c:pt>
                <c:pt idx="30">
                  <c:v>2.5998399094296119</c:v>
                </c:pt>
                <c:pt idx="31">
                  <c:v>2.5920838046592269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7-4E5F-86B3-101CF2165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727951"/>
        <c:axId val="1585728431"/>
      </c:scatterChart>
      <c:valAx>
        <c:axId val="1585727951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r/d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85728431"/>
        <c:crosses val="autoZero"/>
        <c:crossBetween val="midCat"/>
      </c:valAx>
      <c:valAx>
        <c:axId val="1585728431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 baseline="0"/>
                  <a:t>K</a:t>
                </a:r>
                <a:r>
                  <a:rPr lang="it-IT" b="1" baseline="-25000"/>
                  <a:t>t</a:t>
                </a:r>
                <a:r>
                  <a:rPr lang="it-IT" b="1" baseline="0"/>
                  <a:t> or K</a:t>
                </a:r>
                <a:r>
                  <a:rPr lang="it-IT" b="1" baseline="-25000"/>
                  <a:t>ts</a:t>
                </a:r>
                <a:endParaRPr lang="it-IT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85727951"/>
        <c:crosses val="autoZero"/>
        <c:crossBetween val="midCat"/>
      </c:valAx>
      <c:spPr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C8C05D0E-A916-4799-8D46-6DAF2E445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27</xdr:row>
      <xdr:rowOff>104775</xdr:rowOff>
    </xdr:from>
    <xdr:to>
      <xdr:col>29</xdr:col>
      <xdr:colOff>19050</xdr:colOff>
      <xdr:row>38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78C700F-0CAE-41A6-8D60-CFE2F2905019}"/>
            </a:ext>
          </a:extLst>
        </xdr:cNvPr>
        <xdr:cNvSpPr txBox="1"/>
      </xdr:nvSpPr>
      <xdr:spPr>
        <a:xfrm>
          <a:off x="95250" y="5248275"/>
          <a:ext cx="6276975" cy="2095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worksheet</a:t>
          </a:r>
          <a:r>
            <a:rPr lang="en-US" sz="1100" b="0" u="none" baseline="0"/>
            <a:t> shows the procedure for key dimensioning.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"key calculator"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Dimensioning procedure.</a:t>
          </a: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"application factor"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Load factor tables.</a:t>
          </a: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"application factor"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Key dimensions table.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"SCF"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Stress concentration factor.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"Report"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Report.</a:t>
          </a:r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33</xdr:col>
      <xdr:colOff>0</xdr:colOff>
      <xdr:row>24</xdr:row>
      <xdr:rowOff>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154FBBCC-13F2-EA62-263A-CA1A6EE59E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228601</xdr:colOff>
      <xdr:row>2</xdr:row>
      <xdr:rowOff>19050</xdr:rowOff>
    </xdr:from>
    <xdr:to>
      <xdr:col>31</xdr:col>
      <xdr:colOff>595843</xdr:colOff>
      <xdr:row>6</xdr:row>
      <xdr:rowOff>57785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id="{B46DE7DF-F2FF-6599-4367-AC1E3612C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97001" y="590550"/>
          <a:ext cx="3402542" cy="1571625"/>
        </a:xfrm>
        <a:prstGeom prst="rect">
          <a:avLst/>
        </a:prstGeom>
      </xdr:spPr>
    </xdr:pic>
    <xdr:clientData/>
  </xdr:twoCellAnchor>
  <xdr:twoCellAnchor>
    <xdr:from>
      <xdr:col>29</xdr:col>
      <xdr:colOff>142875</xdr:colOff>
      <xdr:row>14</xdr:row>
      <xdr:rowOff>76200</xdr:rowOff>
    </xdr:from>
    <xdr:to>
      <xdr:col>29</xdr:col>
      <xdr:colOff>542925</xdr:colOff>
      <xdr:row>15</xdr:row>
      <xdr:rowOff>47625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8E3D0282-B544-D82A-D83B-4797CBB63AD6}"/>
            </a:ext>
          </a:extLst>
        </xdr:cNvPr>
        <xdr:cNvCxnSpPr/>
      </xdr:nvCxnSpPr>
      <xdr:spPr>
        <a:xfrm flipH="1" flipV="1">
          <a:off x="20107275" y="5219700"/>
          <a:ext cx="400050" cy="352425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15</xdr:row>
      <xdr:rowOff>47625</xdr:rowOff>
    </xdr:from>
    <xdr:to>
      <xdr:col>29</xdr:col>
      <xdr:colOff>533400</xdr:colOff>
      <xdr:row>15</xdr:row>
      <xdr:rowOff>333375</xdr:rowOff>
    </xdr:to>
    <xdr:cxnSp macro="">
      <xdr:nvCxnSpPr>
        <xdr:cNvPr id="27" name="Connettore 2 26">
          <a:extLst>
            <a:ext uri="{FF2B5EF4-FFF2-40B4-BE49-F238E27FC236}">
              <a16:creationId xmlns:a16="http://schemas.microsoft.com/office/drawing/2014/main" id="{4796CBC5-1773-446D-A8FB-CFF6CA7115B3}"/>
            </a:ext>
          </a:extLst>
        </xdr:cNvPr>
        <xdr:cNvCxnSpPr/>
      </xdr:nvCxnSpPr>
      <xdr:spPr>
        <a:xfrm flipH="1">
          <a:off x="20097750" y="5572125"/>
          <a:ext cx="400050" cy="28575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171450</xdr:colOff>
      <xdr:row>17</xdr:row>
      <xdr:rowOff>142875</xdr:rowOff>
    </xdr:from>
    <xdr:to>
      <xdr:col>26</xdr:col>
      <xdr:colOff>409575</xdr:colOff>
      <xdr:row>17</xdr:row>
      <xdr:rowOff>257175</xdr:rowOff>
    </xdr:to>
    <xdr:cxnSp macro="">
      <xdr:nvCxnSpPr>
        <xdr:cNvPr id="32" name="Connettore 2 31">
          <a:extLst>
            <a:ext uri="{FF2B5EF4-FFF2-40B4-BE49-F238E27FC236}">
              <a16:creationId xmlns:a16="http://schemas.microsoft.com/office/drawing/2014/main" id="{D2A2E21E-0A44-40AE-8C47-BF65C7B0238C}"/>
            </a:ext>
          </a:extLst>
        </xdr:cNvPr>
        <xdr:cNvCxnSpPr/>
      </xdr:nvCxnSpPr>
      <xdr:spPr>
        <a:xfrm flipH="1">
          <a:off x="18307050" y="6429375"/>
          <a:ext cx="238125" cy="11430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304800</xdr:colOff>
      <xdr:row>11</xdr:row>
      <xdr:rowOff>47625</xdr:rowOff>
    </xdr:from>
    <xdr:to>
      <xdr:col>26</xdr:col>
      <xdr:colOff>447675</xdr:colOff>
      <xdr:row>12</xdr:row>
      <xdr:rowOff>76200</xdr:rowOff>
    </xdr:to>
    <xdr:cxnSp macro="">
      <xdr:nvCxnSpPr>
        <xdr:cNvPr id="34" name="Connettore 2 33">
          <a:extLst>
            <a:ext uri="{FF2B5EF4-FFF2-40B4-BE49-F238E27FC236}">
              <a16:creationId xmlns:a16="http://schemas.microsoft.com/office/drawing/2014/main" id="{CE301B2E-9370-4FA6-9155-687CC1A3EB52}"/>
            </a:ext>
          </a:extLst>
        </xdr:cNvPr>
        <xdr:cNvCxnSpPr/>
      </xdr:nvCxnSpPr>
      <xdr:spPr>
        <a:xfrm flipH="1">
          <a:off x="18440400" y="4048125"/>
          <a:ext cx="142875" cy="409575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419100</xdr:colOff>
      <xdr:row>14</xdr:row>
      <xdr:rowOff>114300</xdr:rowOff>
    </xdr:from>
    <xdr:to>
      <xdr:col>27</xdr:col>
      <xdr:colOff>123825</xdr:colOff>
      <xdr:row>14</xdr:row>
      <xdr:rowOff>247650</xdr:rowOff>
    </xdr:to>
    <xdr:cxnSp macro="">
      <xdr:nvCxnSpPr>
        <xdr:cNvPr id="37" name="Connettore 2 36">
          <a:extLst>
            <a:ext uri="{FF2B5EF4-FFF2-40B4-BE49-F238E27FC236}">
              <a16:creationId xmlns:a16="http://schemas.microsoft.com/office/drawing/2014/main" id="{7FFB7D43-E2AA-E946-B593-5C9B7805E980}"/>
            </a:ext>
          </a:extLst>
        </xdr:cNvPr>
        <xdr:cNvCxnSpPr/>
      </xdr:nvCxnSpPr>
      <xdr:spPr>
        <a:xfrm flipH="1">
          <a:off x="18554700" y="5257800"/>
          <a:ext cx="314325" cy="13335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0</xdr:colOff>
      <xdr:row>14</xdr:row>
      <xdr:rowOff>0</xdr:rowOff>
    </xdr:from>
    <xdr:to>
      <xdr:col>41</xdr:col>
      <xdr:colOff>0</xdr:colOff>
      <xdr:row>24</xdr:row>
      <xdr:rowOff>0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106A571D-D46A-42C1-B71B-70BFC903BBBC}"/>
            </a:ext>
            <a:ext uri="{147F2762-F138-4A5C-976F-8EAC2B608ADB}">
              <a16:predDERef xmlns:a16="http://schemas.microsoft.com/office/drawing/2014/main" pred="{00000000-0008-0000-0100-000002040000}"/>
            </a:ext>
          </a:extLst>
        </xdr:cNvPr>
        <xdr:cNvSpPr txBox="1"/>
      </xdr:nvSpPr>
      <xdr:spPr>
        <a:xfrm>
          <a:off x="17745075" y="5143500"/>
          <a:ext cx="4371975" cy="3810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1) </a:t>
          </a:r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power source, type of load, coupling design, number of cycles, torque direction (see application factor sheet) and SF;</a:t>
          </a: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materials and their mechanical properties;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calculate nominal torque that key must transmit;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define shaft and key dimensions;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if the key is not standard, select "user" in the cell key and define b, h, t</a:t>
          </a:r>
          <a:r>
            <a:rPr lang="en-US" sz="1100" b="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t</a:t>
          </a:r>
          <a:r>
            <a:rPr lang="en-US" sz="1100" b="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f;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verify the four mandatory criteria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define fillet radius and verify that ratio r/D is in the allowable range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verify the four SCF criteria</a:t>
          </a:r>
        </a:p>
        <a:p>
          <a:pPr eaLnBrk="1" fontAlgn="auto" latinLnBrk="0" hangingPunct="1"/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</a:t>
          </a:r>
        </a:p>
        <a:p>
          <a:pPr eaLnBrk="1" fontAlgn="auto" latinLnBrk="0" hangingPunct="1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two keys are used, due to uneven load distribution, only  65% of the total torque should be considered for key dimensioning. However, this configuration is not ideal and should be avoided whenever possible.</a:t>
          </a:r>
          <a:endParaRPr lang="it-IT">
            <a:effectLst/>
          </a:endParaRPr>
        </a:p>
      </xdr:txBody>
    </xdr:sp>
    <xdr:clientData/>
  </xdr:twoCellAnchor>
  <xdr:twoCellAnchor>
    <xdr:from>
      <xdr:col>6</xdr:col>
      <xdr:colOff>190494</xdr:colOff>
      <xdr:row>1</xdr:row>
      <xdr:rowOff>0</xdr:rowOff>
    </xdr:from>
    <xdr:to>
      <xdr:col>14</xdr:col>
      <xdr:colOff>440254</xdr:colOff>
      <xdr:row>15</xdr:row>
      <xdr:rowOff>304731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226C7AE3-FFCF-8034-5FC1-FCD6CEE823C2}"/>
            </a:ext>
          </a:extLst>
        </xdr:cNvPr>
        <xdr:cNvGrpSpPr/>
      </xdr:nvGrpSpPr>
      <xdr:grpSpPr>
        <a:xfrm>
          <a:off x="5791194" y="180975"/>
          <a:ext cx="5151325" cy="5638731"/>
          <a:chOff x="5286375" y="190500"/>
          <a:chExt cx="5137144" cy="5638731"/>
        </a:xfrm>
      </xdr:grpSpPr>
      <xdr:grpSp>
        <xdr:nvGrpSpPr>
          <xdr:cNvPr id="3" name="Gruppo 2">
            <a:extLst>
              <a:ext uri="{FF2B5EF4-FFF2-40B4-BE49-F238E27FC236}">
                <a16:creationId xmlns:a16="http://schemas.microsoft.com/office/drawing/2014/main" id="{1D8CD32B-2BD8-749A-30A9-047B0016BF94}"/>
              </a:ext>
            </a:extLst>
          </xdr:cNvPr>
          <xdr:cNvGrpSpPr/>
        </xdr:nvGrpSpPr>
        <xdr:grpSpPr>
          <a:xfrm>
            <a:off x="5286375" y="190500"/>
            <a:ext cx="5137144" cy="5638731"/>
            <a:chOff x="4619625" y="190500"/>
            <a:chExt cx="5123809" cy="5628571"/>
          </a:xfrm>
        </xdr:grpSpPr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BB126D86-81BC-5FBE-DAEE-B352C20C53F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saturation sat="33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4619625" y="190500"/>
              <a:ext cx="5123809" cy="5628571"/>
            </a:xfrm>
            <a:prstGeom prst="rect">
              <a:avLst/>
            </a:prstGeom>
          </xdr:spPr>
        </xdr:pic>
        <xdr:sp macro="" textlink="$I$2">
          <xdr:nvSpPr>
            <xdr:cNvPr id="5" name="CasellaDiTesto 4">
              <a:extLst>
                <a:ext uri="{FF2B5EF4-FFF2-40B4-BE49-F238E27FC236}">
                  <a16:creationId xmlns:a16="http://schemas.microsoft.com/office/drawing/2014/main" id="{CFEDA7DF-E692-5B09-99A1-5C4BFF653F3C}"/>
                </a:ext>
              </a:extLst>
            </xdr:cNvPr>
            <xdr:cNvSpPr txBox="1"/>
          </xdr:nvSpPr>
          <xdr:spPr>
            <a:xfrm>
              <a:off x="7242054" y="247805"/>
              <a:ext cx="142646" cy="1719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42D88245-BAB7-4803-82E7-3779F1F39AF3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25</a:t>
              </a:fld>
              <a:endParaRPr lang="it-IT" sz="1100"/>
            </a:p>
          </xdr:txBody>
        </xdr:sp>
        <xdr:sp macro="" textlink="$C$19">
          <xdr:nvSpPr>
            <xdr:cNvPr id="6" name="CasellaDiTesto 5">
              <a:extLst>
                <a:ext uri="{FF2B5EF4-FFF2-40B4-BE49-F238E27FC236}">
                  <a16:creationId xmlns:a16="http://schemas.microsoft.com/office/drawing/2014/main" id="{EE2D69ED-2DB0-B854-7447-15B77B7EA93C}"/>
                </a:ext>
              </a:extLst>
            </xdr:cNvPr>
            <xdr:cNvSpPr txBox="1"/>
          </xdr:nvSpPr>
          <xdr:spPr>
            <a:xfrm>
              <a:off x="7207030" y="5105538"/>
              <a:ext cx="212690" cy="1719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04A38F9B-ACD9-4A2D-8C4D-688EF71994C6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100</a:t>
              </a:fld>
              <a:endParaRPr lang="it-IT" sz="1100"/>
            </a:p>
          </xdr:txBody>
        </xdr:sp>
        <xdr:sp macro="" textlink="$I$3">
          <xdr:nvSpPr>
            <xdr:cNvPr id="7" name="CasellaDiTesto 6">
              <a:extLst>
                <a:ext uri="{FF2B5EF4-FFF2-40B4-BE49-F238E27FC236}">
                  <a16:creationId xmlns:a16="http://schemas.microsoft.com/office/drawing/2014/main" id="{5BB84707-E9E1-E7D2-F04A-C2B51C5BFAAC}"/>
                </a:ext>
              </a:extLst>
            </xdr:cNvPr>
            <xdr:cNvSpPr txBox="1"/>
          </xdr:nvSpPr>
          <xdr:spPr>
            <a:xfrm rot="16200000" flipH="1">
              <a:off x="4459391" y="1060151"/>
              <a:ext cx="541945" cy="171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>
              <a:spAutoFit/>
            </a:bodyPr>
            <a:lstStyle/>
            <a:p>
              <a:pPr algn="ctr"/>
              <a:fld id="{B7771585-9111-4166-A909-C19D96226035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14</a:t>
              </a:fld>
              <a:endParaRPr lang="it-IT" sz="1100"/>
            </a:p>
          </xdr:txBody>
        </xdr:sp>
        <xdr:sp macro="" textlink="$I$4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02C5DC94-3C34-446B-B79D-0F61BD9753A5}"/>
                </a:ext>
              </a:extLst>
            </xdr:cNvPr>
            <xdr:cNvSpPr txBox="1"/>
          </xdr:nvSpPr>
          <xdr:spPr>
            <a:xfrm rot="16200000" flipH="1">
              <a:off x="9313167" y="1181306"/>
              <a:ext cx="71364" cy="171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CD1819BB-6689-4279-9E82-BDE20142DB74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9</a:t>
              </a:fld>
              <a:endParaRPr lang="it-IT" sz="1100"/>
            </a:p>
          </xdr:txBody>
        </xdr:sp>
        <xdr:sp macro="" textlink="$I$5">
          <xdr:nvSpPr>
            <xdr:cNvPr id="9" name="CasellaDiTesto 8">
              <a:extLst>
                <a:ext uri="{FF2B5EF4-FFF2-40B4-BE49-F238E27FC236}">
                  <a16:creationId xmlns:a16="http://schemas.microsoft.com/office/drawing/2014/main" id="{7C5413F1-0AEB-D220-6422-A14EC162C1FA}"/>
                </a:ext>
              </a:extLst>
            </xdr:cNvPr>
            <xdr:cNvSpPr txBox="1"/>
          </xdr:nvSpPr>
          <xdr:spPr>
            <a:xfrm rot="16200000" flipH="1">
              <a:off x="9276237" y="501885"/>
              <a:ext cx="179405" cy="171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9EE17F78-6958-4B22-9D01-049F0C664663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5,4</a:t>
              </a:fld>
              <a:endParaRPr lang="it-IT" sz="1100"/>
            </a:p>
          </xdr:txBody>
        </xdr:sp>
        <xdr:cxnSp macro="">
          <xdr:nvCxnSpPr>
            <xdr:cNvPr id="12" name="Connettore diritto 11">
              <a:extLst>
                <a:ext uri="{FF2B5EF4-FFF2-40B4-BE49-F238E27FC236}">
                  <a16:creationId xmlns:a16="http://schemas.microsoft.com/office/drawing/2014/main" id="{4C9BDA64-48FD-FBEF-4417-9ADD3EB43751}"/>
                </a:ext>
              </a:extLst>
            </xdr:cNvPr>
            <xdr:cNvCxnSpPr>
              <a:stCxn id="10" idx="3"/>
            </xdr:cNvCxnSpPr>
          </xdr:nvCxnSpPr>
          <xdr:spPr>
            <a:xfrm flipV="1">
              <a:off x="5168856" y="1304925"/>
              <a:ext cx="355643" cy="429016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$K$3">
          <xdr:nvSpPr>
            <xdr:cNvPr id="13" name="CasellaDiTesto 12">
              <a:extLst>
                <a:ext uri="{FF2B5EF4-FFF2-40B4-BE49-F238E27FC236}">
                  <a16:creationId xmlns:a16="http://schemas.microsoft.com/office/drawing/2014/main" id="{9847A953-7451-61C3-AA6B-6DD916DFCCF4}"/>
                </a:ext>
              </a:extLst>
            </xdr:cNvPr>
            <xdr:cNvSpPr txBox="1"/>
          </xdr:nvSpPr>
          <xdr:spPr>
            <a:xfrm>
              <a:off x="4994435" y="495457"/>
              <a:ext cx="250623" cy="1719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90302A98-6FC7-493E-8EA5-4DA45D134B78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5,79</a:t>
              </a:fld>
              <a:endParaRPr lang="it-IT" sz="1100"/>
            </a:p>
          </xdr:txBody>
        </xdr:sp>
        <xdr:cxnSp macro="">
          <xdr:nvCxnSpPr>
            <xdr:cNvPr id="15" name="Connettore diritto 14">
              <a:extLst>
                <a:ext uri="{FF2B5EF4-FFF2-40B4-BE49-F238E27FC236}">
                  <a16:creationId xmlns:a16="http://schemas.microsoft.com/office/drawing/2014/main" id="{C9C04749-9454-F587-908F-6711EA14DC07}"/>
                </a:ext>
              </a:extLst>
            </xdr:cNvPr>
            <xdr:cNvCxnSpPr>
              <a:stCxn id="13" idx="3"/>
            </xdr:cNvCxnSpPr>
          </xdr:nvCxnSpPr>
          <xdr:spPr>
            <a:xfrm>
              <a:off x="5245058" y="581415"/>
              <a:ext cx="288966" cy="371085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" name="Ovale 1">
              <a:extLst>
                <a:ext uri="{FF2B5EF4-FFF2-40B4-BE49-F238E27FC236}">
                  <a16:creationId xmlns:a16="http://schemas.microsoft.com/office/drawing/2014/main" id="{4D790839-A638-5396-615A-1318AAE65E83}"/>
                </a:ext>
              </a:extLst>
            </xdr:cNvPr>
            <xdr:cNvSpPr/>
          </xdr:nvSpPr>
          <xdr:spPr>
            <a:xfrm rot="18900000">
              <a:off x="5834062" y="1447800"/>
              <a:ext cx="2988000" cy="2988000"/>
            </a:xfrm>
            <a:prstGeom prst="ellipse">
              <a:avLst/>
            </a:prstGeom>
            <a:noFill/>
            <a:ln>
              <a:solidFill>
                <a:srgbClr val="FF0000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l"/>
              <a:endParaRPr lang="it-IT" sz="1100"/>
            </a:p>
          </xdr:txBody>
        </xdr:sp>
        <xdr:cxnSp macro="">
          <xdr:nvCxnSpPr>
            <xdr:cNvPr id="11" name="Connettore 2 10">
              <a:extLst>
                <a:ext uri="{FF2B5EF4-FFF2-40B4-BE49-F238E27FC236}">
                  <a16:creationId xmlns:a16="http://schemas.microsoft.com/office/drawing/2014/main" id="{D6D595E8-FA10-950A-F260-A8F0C3FD7B6D}"/>
                </a:ext>
              </a:extLst>
            </xdr:cNvPr>
            <xdr:cNvCxnSpPr/>
          </xdr:nvCxnSpPr>
          <xdr:spPr>
            <a:xfrm rot="18900000" flipV="1">
              <a:off x="5834062" y="2941800"/>
              <a:ext cx="2988000" cy="0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$C$35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E7A8670F-8DE7-4DBF-47D3-1141E9721CC7}"/>
                </a:ext>
              </a:extLst>
            </xdr:cNvPr>
            <xdr:cNvSpPr txBox="1"/>
          </xdr:nvSpPr>
          <xdr:spPr>
            <a:xfrm rot="18900000">
              <a:off x="6979311" y="2958941"/>
              <a:ext cx="142646" cy="1719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fld id="{E1BF2607-683E-4165-A01D-43E5242602A3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/>
                <a:t>91</a:t>
              </a:fld>
              <a:endParaRPr lang="it-IT" sz="1100"/>
            </a:p>
          </xdr:txBody>
        </xdr:sp>
        <xdr:sp macro="" textlink="$C$20">
          <xdr:nvSpPr>
            <xdr:cNvPr id="16" name="CasellaDiTesto 15">
              <a:extLst>
                <a:ext uri="{FF2B5EF4-FFF2-40B4-BE49-F238E27FC236}">
                  <a16:creationId xmlns:a16="http://schemas.microsoft.com/office/drawing/2014/main" id="{BDC9BEB5-6D05-93BC-C3C7-D0A9782D8D74}"/>
                </a:ext>
              </a:extLst>
            </xdr:cNvPr>
            <xdr:cNvSpPr txBox="1"/>
          </xdr:nvSpPr>
          <xdr:spPr>
            <a:xfrm>
              <a:off x="7206134" y="5524397"/>
              <a:ext cx="214482" cy="1722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41ECE9F6-B386-41D7-B816-98C1B3734CFF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137</a:t>
              </a:fld>
              <a:endParaRPr lang="it-IT" sz="1100"/>
            </a:p>
          </xdr:txBody>
        </xdr:sp>
        <xdr:sp macro="" textlink="$I$6">
          <xdr:nvSpPr>
            <xdr:cNvPr id="18" name="CasellaDiTesto 17">
              <a:extLst>
                <a:ext uri="{FF2B5EF4-FFF2-40B4-BE49-F238E27FC236}">
                  <a16:creationId xmlns:a16="http://schemas.microsoft.com/office/drawing/2014/main" id="{196B6888-C4B7-9BBA-AD71-328CE5A5D947}"/>
                </a:ext>
              </a:extLst>
            </xdr:cNvPr>
            <xdr:cNvSpPr txBox="1"/>
          </xdr:nvSpPr>
          <xdr:spPr>
            <a:xfrm>
              <a:off x="8525772" y="343057"/>
              <a:ext cx="179299" cy="1719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EF1DBF59-A415-4E6A-90B3-104CF80034F2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0,8</a:t>
              </a:fld>
              <a:endParaRPr lang="it-IT" sz="1100"/>
            </a:p>
          </xdr:txBody>
        </xdr:sp>
        <xdr:cxnSp macro="">
          <xdr:nvCxnSpPr>
            <xdr:cNvPr id="19" name="Connettore diritto 18">
              <a:extLst>
                <a:ext uri="{FF2B5EF4-FFF2-40B4-BE49-F238E27FC236}">
                  <a16:creationId xmlns:a16="http://schemas.microsoft.com/office/drawing/2014/main" id="{4D6BC04C-DA73-29DF-59AE-FC61A85A7CE8}"/>
                </a:ext>
              </a:extLst>
            </xdr:cNvPr>
            <xdr:cNvCxnSpPr>
              <a:stCxn id="18" idx="1"/>
            </xdr:cNvCxnSpPr>
          </xdr:nvCxnSpPr>
          <xdr:spPr>
            <a:xfrm flipH="1">
              <a:off x="7800975" y="429015"/>
              <a:ext cx="724797" cy="428235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$K$2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F82FE2D4-F2E8-AE12-7C2D-C4F9CF113DD2}"/>
                </a:ext>
              </a:extLst>
            </xdr:cNvPr>
            <xdr:cNvSpPr txBox="1"/>
          </xdr:nvSpPr>
          <xdr:spPr>
            <a:xfrm>
              <a:off x="4918234" y="1647982"/>
              <a:ext cx="250623" cy="1719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5B4DD097-B437-4D1C-A589-8A11E2C167EF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6,61</a:t>
              </a:fld>
              <a:endParaRPr lang="it-IT" sz="1100"/>
            </a:p>
          </xdr:txBody>
        </xdr:sp>
        <xdr:sp macro="" textlink="$C$21">
          <xdr:nvSpPr>
            <xdr:cNvPr id="36" name="CasellaDiTesto 35">
              <a:extLst>
                <a:ext uri="{FF2B5EF4-FFF2-40B4-BE49-F238E27FC236}">
                  <a16:creationId xmlns:a16="http://schemas.microsoft.com/office/drawing/2014/main" id="{70E7988B-4D40-EFBE-2B21-6BCFABFF810E}"/>
                </a:ext>
              </a:extLst>
            </xdr:cNvPr>
            <xdr:cNvSpPr txBox="1"/>
          </xdr:nvSpPr>
          <xdr:spPr>
            <a:xfrm rot="15363424">
              <a:off x="6928735" y="1826054"/>
              <a:ext cx="142730" cy="171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>
              <a:spAutoFit/>
            </a:bodyPr>
            <a:lstStyle/>
            <a:p>
              <a:pPr algn="ctr"/>
              <a:fld id="{5BDA6942-8B68-47A9-8DE9-E09AC265A8E8}" type="TxLink">
                <a:rPr lang="en-US" sz="1100" b="0" i="0" u="none" strike="noStrike">
                  <a:solidFill>
                    <a:srgbClr val="000000"/>
                  </a:solidFill>
                  <a:latin typeface="Aptos Narrow"/>
                </a:rPr>
                <a:pPr algn="ctr"/>
                <a:t>57</a:t>
              </a:fld>
              <a:endParaRPr lang="it-IT" sz="1100" i="0"/>
            </a:p>
          </xdr:txBody>
        </xdr:sp>
      </xdr:grpSp>
      <xdr:sp macro="" textlink="">
        <xdr:nvSpPr>
          <xdr:cNvPr id="20" name="Ovale 19">
            <a:extLst>
              <a:ext uri="{FF2B5EF4-FFF2-40B4-BE49-F238E27FC236}">
                <a16:creationId xmlns:a16="http://schemas.microsoft.com/office/drawing/2014/main" id="{8A4439B1-175B-4F95-DE85-11A8A00AA122}"/>
              </a:ext>
            </a:extLst>
          </xdr:cNvPr>
          <xdr:cNvSpPr/>
        </xdr:nvSpPr>
        <xdr:spPr>
          <a:xfrm>
            <a:off x="6067424" y="781050"/>
            <a:ext cx="3960000" cy="3960000"/>
          </a:xfrm>
          <a:prstGeom prst="ellipse">
            <a:avLst/>
          </a:prstGeom>
          <a:noFill/>
          <a:ln>
            <a:solidFill>
              <a:srgbClr val="00B050"/>
            </a:solidFill>
            <a:prstDash val="dashDot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cxnSp macro="">
        <xdr:nvCxnSpPr>
          <xdr:cNvPr id="39" name="Connettore 2 38">
            <a:extLst>
              <a:ext uri="{FF2B5EF4-FFF2-40B4-BE49-F238E27FC236}">
                <a16:creationId xmlns:a16="http://schemas.microsoft.com/office/drawing/2014/main" id="{5930A51E-D75B-458C-982E-E3C2FC38C4B1}"/>
              </a:ext>
            </a:extLst>
          </xdr:cNvPr>
          <xdr:cNvCxnSpPr/>
        </xdr:nvCxnSpPr>
        <xdr:spPr>
          <a:xfrm flipH="1" flipV="1">
            <a:off x="7581901" y="895350"/>
            <a:ext cx="466724" cy="1866900"/>
          </a:xfrm>
          <a:prstGeom prst="straightConnector1">
            <a:avLst/>
          </a:prstGeom>
          <a:ln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137258</xdr:colOff>
      <xdr:row>26</xdr:row>
      <xdr:rowOff>369148</xdr:rowOff>
    </xdr:from>
    <xdr:to>
      <xdr:col>4</xdr:col>
      <xdr:colOff>980346</xdr:colOff>
      <xdr:row>30</xdr:row>
      <xdr:rowOff>210986</xdr:rowOff>
    </xdr:to>
    <xdr:grpSp>
      <xdr:nvGrpSpPr>
        <xdr:cNvPr id="33" name="Gruppo 32">
          <a:extLst>
            <a:ext uri="{FF2B5EF4-FFF2-40B4-BE49-F238E27FC236}">
              <a16:creationId xmlns:a16="http://schemas.microsoft.com/office/drawing/2014/main" id="{548E5310-F49C-9BD1-8D1E-9D5EC5DDFC87}"/>
            </a:ext>
          </a:extLst>
        </xdr:cNvPr>
        <xdr:cNvGrpSpPr/>
      </xdr:nvGrpSpPr>
      <xdr:grpSpPr>
        <a:xfrm>
          <a:off x="2838548" y="10071313"/>
          <a:ext cx="1987993" cy="1365838"/>
          <a:chOff x="2772505" y="10190480"/>
          <a:chExt cx="1954338" cy="1365838"/>
        </a:xfrm>
      </xdr:grpSpPr>
      <xdr:cxnSp macro="">
        <xdr:nvCxnSpPr>
          <xdr:cNvPr id="38" name="Connettore diritto 37">
            <a:extLst>
              <a:ext uri="{FF2B5EF4-FFF2-40B4-BE49-F238E27FC236}">
                <a16:creationId xmlns:a16="http://schemas.microsoft.com/office/drawing/2014/main" id="{528625FB-4073-432C-ABB4-96FB19CE557F}"/>
              </a:ext>
            </a:extLst>
          </xdr:cNvPr>
          <xdr:cNvCxnSpPr/>
        </xdr:nvCxnSpPr>
        <xdr:spPr>
          <a:xfrm flipV="1">
            <a:off x="4289572" y="10198008"/>
            <a:ext cx="1" cy="685523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Connettore diritto 27">
            <a:extLst>
              <a:ext uri="{FF2B5EF4-FFF2-40B4-BE49-F238E27FC236}">
                <a16:creationId xmlns:a16="http://schemas.microsoft.com/office/drawing/2014/main" id="{09216CFA-C77E-5EFC-3433-4CC7873CBA16}"/>
              </a:ext>
            </a:extLst>
          </xdr:cNvPr>
          <xdr:cNvCxnSpPr>
            <a:stCxn id="23" idx="1"/>
          </xdr:cNvCxnSpPr>
        </xdr:nvCxnSpPr>
        <xdr:spPr>
          <a:xfrm flipH="1">
            <a:off x="3267042" y="10617108"/>
            <a:ext cx="1244" cy="65251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Connettore diritto 28">
            <a:extLst>
              <a:ext uri="{FF2B5EF4-FFF2-40B4-BE49-F238E27FC236}">
                <a16:creationId xmlns:a16="http://schemas.microsoft.com/office/drawing/2014/main" id="{668D9346-EB12-4B6D-BF49-CB06B774FD95}"/>
              </a:ext>
            </a:extLst>
          </xdr:cNvPr>
          <xdr:cNvCxnSpPr>
            <a:endCxn id="23" idx="3"/>
          </xdr:cNvCxnSpPr>
        </xdr:nvCxnSpPr>
        <xdr:spPr>
          <a:xfrm flipV="1">
            <a:off x="4293382" y="10617108"/>
            <a:ext cx="1" cy="662663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Connettore 2 39">
            <a:extLst>
              <a:ext uri="{FF2B5EF4-FFF2-40B4-BE49-F238E27FC236}">
                <a16:creationId xmlns:a16="http://schemas.microsoft.com/office/drawing/2014/main" id="{15E6DD55-617D-C930-6F5B-DCD17310CCBC}"/>
              </a:ext>
            </a:extLst>
          </xdr:cNvPr>
          <xdr:cNvCxnSpPr/>
        </xdr:nvCxnSpPr>
        <xdr:spPr>
          <a:xfrm>
            <a:off x="3265681" y="11266958"/>
            <a:ext cx="1032760" cy="0"/>
          </a:xfrm>
          <a:prstGeom prst="straightConnector1">
            <a:avLst/>
          </a:prstGeom>
          <a:ln w="9525">
            <a:solidFill>
              <a:sysClr val="windowText" lastClr="000000"/>
            </a:solidFill>
            <a:headEnd type="triangle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6" name="CasellaDiTesto 45">
            <a:extLst>
              <a:ext uri="{FF2B5EF4-FFF2-40B4-BE49-F238E27FC236}">
                <a16:creationId xmlns:a16="http://schemas.microsoft.com/office/drawing/2014/main" id="{C1B77043-6702-BCC5-D76F-0FAC2BB31D5E}"/>
              </a:ext>
            </a:extLst>
          </xdr:cNvPr>
          <xdr:cNvSpPr txBox="1"/>
        </xdr:nvSpPr>
        <xdr:spPr>
          <a:xfrm>
            <a:off x="3707184" y="11093035"/>
            <a:ext cx="74775" cy="1773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100"/>
              <a:t>b</a:t>
            </a:r>
          </a:p>
        </xdr:txBody>
      </xdr:sp>
      <xdr:cxnSp macro="">
        <xdr:nvCxnSpPr>
          <xdr:cNvPr id="47" name="Connettore diritto 46">
            <a:extLst>
              <a:ext uri="{FF2B5EF4-FFF2-40B4-BE49-F238E27FC236}">
                <a16:creationId xmlns:a16="http://schemas.microsoft.com/office/drawing/2014/main" id="{24CD1724-0076-4E54-8D1C-317141B65856}"/>
              </a:ext>
            </a:extLst>
          </xdr:cNvPr>
          <xdr:cNvCxnSpPr/>
        </xdr:nvCxnSpPr>
        <xdr:spPr>
          <a:xfrm>
            <a:off x="2926419" y="10266506"/>
            <a:ext cx="854267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nettore diritto 59">
            <a:extLst>
              <a:ext uri="{FF2B5EF4-FFF2-40B4-BE49-F238E27FC236}">
                <a16:creationId xmlns:a16="http://schemas.microsoft.com/office/drawing/2014/main" id="{4B8AEB51-9B87-44D5-ADA9-35494AE87878}"/>
              </a:ext>
            </a:extLst>
          </xdr:cNvPr>
          <xdr:cNvCxnSpPr/>
        </xdr:nvCxnSpPr>
        <xdr:spPr>
          <a:xfrm>
            <a:off x="2932756" y="10971113"/>
            <a:ext cx="783426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Connettore 2 60">
            <a:extLst>
              <a:ext uri="{FF2B5EF4-FFF2-40B4-BE49-F238E27FC236}">
                <a16:creationId xmlns:a16="http://schemas.microsoft.com/office/drawing/2014/main" id="{FB4EB867-430D-41A9-87E9-5B19D89FA3C7}"/>
              </a:ext>
            </a:extLst>
          </xdr:cNvPr>
          <xdr:cNvCxnSpPr/>
        </xdr:nvCxnSpPr>
        <xdr:spPr>
          <a:xfrm flipV="1">
            <a:off x="2923882" y="10267128"/>
            <a:ext cx="0" cy="704531"/>
          </a:xfrm>
          <a:prstGeom prst="straightConnector1">
            <a:avLst/>
          </a:prstGeom>
          <a:ln w="9525">
            <a:solidFill>
              <a:sysClr val="windowText" lastClr="000000"/>
            </a:solidFill>
            <a:headEnd type="triangle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ttore diritto 63">
            <a:extLst>
              <a:ext uri="{FF2B5EF4-FFF2-40B4-BE49-F238E27FC236}">
                <a16:creationId xmlns:a16="http://schemas.microsoft.com/office/drawing/2014/main" id="{5A1763D3-39A3-4E83-847B-96FC2214DD67}"/>
              </a:ext>
            </a:extLst>
          </xdr:cNvPr>
          <xdr:cNvCxnSpPr/>
        </xdr:nvCxnSpPr>
        <xdr:spPr>
          <a:xfrm>
            <a:off x="3655695" y="10970801"/>
            <a:ext cx="847672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ttore diritto 64">
            <a:extLst>
              <a:ext uri="{FF2B5EF4-FFF2-40B4-BE49-F238E27FC236}">
                <a16:creationId xmlns:a16="http://schemas.microsoft.com/office/drawing/2014/main" id="{4D5B950A-0CC4-9574-1853-7E15DA3DCCA1}"/>
              </a:ext>
            </a:extLst>
          </xdr:cNvPr>
          <xdr:cNvCxnSpPr/>
        </xdr:nvCxnSpPr>
        <xdr:spPr>
          <a:xfrm>
            <a:off x="3033369" y="10895737"/>
            <a:ext cx="818447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ttore 2 65">
            <a:extLst>
              <a:ext uri="{FF2B5EF4-FFF2-40B4-BE49-F238E27FC236}">
                <a16:creationId xmlns:a16="http://schemas.microsoft.com/office/drawing/2014/main" id="{B2C785A9-8C49-2C5A-ECD0-D6D0B8B1B0EC}"/>
              </a:ext>
            </a:extLst>
          </xdr:cNvPr>
          <xdr:cNvCxnSpPr/>
        </xdr:nvCxnSpPr>
        <xdr:spPr>
          <a:xfrm flipV="1">
            <a:off x="3077157" y="10958603"/>
            <a:ext cx="0" cy="192343"/>
          </a:xfrm>
          <a:prstGeom prst="straightConnector1">
            <a:avLst/>
          </a:prstGeom>
          <a:ln w="9525">
            <a:solidFill>
              <a:sysClr val="windowText" lastClr="000000"/>
            </a:solidFill>
            <a:headEnd type="none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ttore 2 66">
            <a:extLst>
              <a:ext uri="{FF2B5EF4-FFF2-40B4-BE49-F238E27FC236}">
                <a16:creationId xmlns:a16="http://schemas.microsoft.com/office/drawing/2014/main" id="{2E57A232-8F7E-F768-7FAA-9DF584B03157}"/>
              </a:ext>
            </a:extLst>
          </xdr:cNvPr>
          <xdr:cNvCxnSpPr/>
        </xdr:nvCxnSpPr>
        <xdr:spPr>
          <a:xfrm flipV="1">
            <a:off x="3079697" y="10706204"/>
            <a:ext cx="0" cy="187344"/>
          </a:xfrm>
          <a:prstGeom prst="straightConnector1">
            <a:avLst/>
          </a:prstGeom>
          <a:ln w="9525">
            <a:solidFill>
              <a:sysClr val="windowText" lastClr="000000"/>
            </a:solidFill>
            <a:headEnd type="triangle"/>
            <a:tailEnd type="non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Connettore 2 67">
            <a:extLst>
              <a:ext uri="{FF2B5EF4-FFF2-40B4-BE49-F238E27FC236}">
                <a16:creationId xmlns:a16="http://schemas.microsoft.com/office/drawing/2014/main" id="{A7D3F442-98A4-0DBB-A7A2-445C96AF4AE6}"/>
              </a:ext>
            </a:extLst>
          </xdr:cNvPr>
          <xdr:cNvCxnSpPr/>
        </xdr:nvCxnSpPr>
        <xdr:spPr>
          <a:xfrm flipV="1">
            <a:off x="3077157" y="10819925"/>
            <a:ext cx="0" cy="191149"/>
          </a:xfrm>
          <a:prstGeom prst="straightConnector1">
            <a:avLst/>
          </a:prstGeom>
          <a:ln w="9525">
            <a:solidFill>
              <a:sysClr val="windowText" lastClr="000000"/>
            </a:solidFill>
            <a:headEnd type="none"/>
            <a:tailEnd type="non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ttore 2 71">
            <a:extLst>
              <a:ext uri="{FF2B5EF4-FFF2-40B4-BE49-F238E27FC236}">
                <a16:creationId xmlns:a16="http://schemas.microsoft.com/office/drawing/2014/main" id="{31DDA3D5-EA85-461D-B918-0017F42CEABF}"/>
              </a:ext>
            </a:extLst>
          </xdr:cNvPr>
          <xdr:cNvCxnSpPr/>
        </xdr:nvCxnSpPr>
        <xdr:spPr>
          <a:xfrm flipV="1">
            <a:off x="4480157" y="10198577"/>
            <a:ext cx="0" cy="372334"/>
          </a:xfrm>
          <a:prstGeom prst="straightConnector1">
            <a:avLst/>
          </a:prstGeom>
          <a:ln w="9525">
            <a:solidFill>
              <a:sysClr val="windowText" lastClr="000000"/>
            </a:solidFill>
            <a:headEnd type="triangle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ttore 2 74">
            <a:extLst>
              <a:ext uri="{FF2B5EF4-FFF2-40B4-BE49-F238E27FC236}">
                <a16:creationId xmlns:a16="http://schemas.microsoft.com/office/drawing/2014/main" id="{93122026-D0C8-420C-B608-63F4882989E8}"/>
              </a:ext>
            </a:extLst>
          </xdr:cNvPr>
          <xdr:cNvCxnSpPr/>
        </xdr:nvCxnSpPr>
        <xdr:spPr>
          <a:xfrm flipV="1">
            <a:off x="4480157" y="10574069"/>
            <a:ext cx="0" cy="392190"/>
          </a:xfrm>
          <a:prstGeom prst="straightConnector1">
            <a:avLst/>
          </a:prstGeom>
          <a:ln w="9525">
            <a:solidFill>
              <a:sysClr val="windowText" lastClr="000000"/>
            </a:solidFill>
            <a:headEnd type="triangle"/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" name="CasellaDiTesto 76">
            <a:extLst>
              <a:ext uri="{FF2B5EF4-FFF2-40B4-BE49-F238E27FC236}">
                <a16:creationId xmlns:a16="http://schemas.microsoft.com/office/drawing/2014/main" id="{4717C03B-3E93-000B-1C9A-82EC60AF07EC}"/>
              </a:ext>
            </a:extLst>
          </xdr:cNvPr>
          <xdr:cNvSpPr txBox="1"/>
        </xdr:nvSpPr>
        <xdr:spPr>
          <a:xfrm rot="16200000">
            <a:off x="2823297" y="10527397"/>
            <a:ext cx="61125" cy="1627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100"/>
              <a:t>h</a:t>
            </a:r>
          </a:p>
        </xdr:txBody>
      </xdr:sp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B38D7995-35D3-3F21-F3CC-EBDB52AFF57E}"/>
              </a:ext>
            </a:extLst>
          </xdr:cNvPr>
          <xdr:cNvSpPr txBox="1"/>
        </xdr:nvSpPr>
        <xdr:spPr>
          <a:xfrm rot="16200000">
            <a:off x="2965051" y="10997361"/>
            <a:ext cx="38404" cy="1905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100"/>
              <a:t>f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57F6F4DE-69DE-4D70-478F-96870AA9978E}"/>
              </a:ext>
            </a:extLst>
          </xdr:cNvPr>
          <xdr:cNvSpPr txBox="1"/>
        </xdr:nvSpPr>
        <xdr:spPr>
          <a:xfrm rot="16200000">
            <a:off x="4350302" y="10687129"/>
            <a:ext cx="93833" cy="175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100"/>
              <a:t>t</a:t>
            </a:r>
            <a:r>
              <a:rPr lang="it-IT" sz="1100" baseline="-25000"/>
              <a:t>1</a:t>
            </a:r>
            <a:endParaRPr lang="it-IT" sz="1100"/>
          </a:p>
        </xdr:txBody>
      </xdr:sp>
      <xdr:sp macro="" textlink="">
        <xdr:nvSpPr>
          <xdr:cNvPr id="80" name="CasellaDiTesto 79">
            <a:extLst>
              <a:ext uri="{FF2B5EF4-FFF2-40B4-BE49-F238E27FC236}">
                <a16:creationId xmlns:a16="http://schemas.microsoft.com/office/drawing/2014/main" id="{02E8B904-6B0E-EB15-F65B-9154DE4722A5}"/>
              </a:ext>
            </a:extLst>
          </xdr:cNvPr>
          <xdr:cNvSpPr txBox="1"/>
        </xdr:nvSpPr>
        <xdr:spPr>
          <a:xfrm rot="16200000">
            <a:off x="4330301" y="10320293"/>
            <a:ext cx="101540" cy="162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100"/>
              <a:t>t</a:t>
            </a:r>
            <a:r>
              <a:rPr lang="it-IT" sz="1100" baseline="-25000"/>
              <a:t>2</a:t>
            </a:r>
            <a:endParaRPr lang="it-IT" sz="1100"/>
          </a:p>
        </xdr:txBody>
      </xdr:sp>
      <xdr:sp macro="" textlink="">
        <xdr:nvSpPr>
          <xdr:cNvPr id="23" name="Rettangolo con angoli arrotondati 22">
            <a:extLst>
              <a:ext uri="{FF2B5EF4-FFF2-40B4-BE49-F238E27FC236}">
                <a16:creationId xmlns:a16="http://schemas.microsoft.com/office/drawing/2014/main" id="{1579D8D8-C2FE-99C4-FD63-D8D20DDE6810}"/>
              </a:ext>
            </a:extLst>
          </xdr:cNvPr>
          <xdr:cNvSpPr/>
        </xdr:nvSpPr>
        <xdr:spPr>
          <a:xfrm>
            <a:off x="3270826" y="10273740"/>
            <a:ext cx="1022557" cy="698165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27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cxnSp macro="">
        <xdr:nvCxnSpPr>
          <xdr:cNvPr id="21" name="Connettore diritto 20">
            <a:extLst>
              <a:ext uri="{FF2B5EF4-FFF2-40B4-BE49-F238E27FC236}">
                <a16:creationId xmlns:a16="http://schemas.microsoft.com/office/drawing/2014/main" id="{B52FEA1F-19C6-4853-8F2D-C08D9163D9C2}"/>
              </a:ext>
            </a:extLst>
          </xdr:cNvPr>
          <xdr:cNvCxnSpPr/>
        </xdr:nvCxnSpPr>
        <xdr:spPr>
          <a:xfrm>
            <a:off x="4244340" y="10190480"/>
            <a:ext cx="247968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Connettore diritto 29">
            <a:extLst>
              <a:ext uri="{FF2B5EF4-FFF2-40B4-BE49-F238E27FC236}">
                <a16:creationId xmlns:a16="http://schemas.microsoft.com/office/drawing/2014/main" id="{9F0DAF00-5DAA-4B41-9726-A7F078C7BF38}"/>
              </a:ext>
            </a:extLst>
          </xdr:cNvPr>
          <xdr:cNvCxnSpPr/>
        </xdr:nvCxnSpPr>
        <xdr:spPr>
          <a:xfrm flipV="1">
            <a:off x="3291840" y="10205720"/>
            <a:ext cx="1001543" cy="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Connettore diritto 34">
            <a:extLst>
              <a:ext uri="{FF2B5EF4-FFF2-40B4-BE49-F238E27FC236}">
                <a16:creationId xmlns:a16="http://schemas.microsoft.com/office/drawing/2014/main" id="{EC0B2C29-763B-482A-835C-6AF3588CCE8B}"/>
              </a:ext>
            </a:extLst>
          </xdr:cNvPr>
          <xdr:cNvCxnSpPr/>
        </xdr:nvCxnSpPr>
        <xdr:spPr>
          <a:xfrm flipH="1">
            <a:off x="3269582" y="10198008"/>
            <a:ext cx="0" cy="66521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" name="Arco 41">
            <a:extLst>
              <a:ext uri="{FF2B5EF4-FFF2-40B4-BE49-F238E27FC236}">
                <a16:creationId xmlns:a16="http://schemas.microsoft.com/office/drawing/2014/main" id="{7FCC3B94-45E8-4608-1DBC-CA833CB90E41}"/>
              </a:ext>
            </a:extLst>
          </xdr:cNvPr>
          <xdr:cNvSpPr/>
        </xdr:nvSpPr>
        <xdr:spPr>
          <a:xfrm>
            <a:off x="2808068" y="10583007"/>
            <a:ext cx="1918775" cy="973311"/>
          </a:xfrm>
          <a:prstGeom prst="arc">
            <a:avLst>
              <a:gd name="adj1" fmla="val 13054116"/>
              <a:gd name="adj2" fmla="val 19436815"/>
            </a:avLst>
          </a:prstGeom>
          <a:ln w="12700">
            <a:solidFill>
              <a:schemeClr val="tx1"/>
            </a:solidFill>
            <a:prstDash val="dash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lang="it-IT" sz="1100"/>
          </a:p>
        </xdr:txBody>
      </xdr:sp>
      <xdr:cxnSp macro="">
        <xdr:nvCxnSpPr>
          <xdr:cNvPr id="76" name="Connettore diritto 75">
            <a:extLst>
              <a:ext uri="{FF2B5EF4-FFF2-40B4-BE49-F238E27FC236}">
                <a16:creationId xmlns:a16="http://schemas.microsoft.com/office/drawing/2014/main" id="{5C3A7EFB-FA87-C48C-0B44-7DBD686E5004}"/>
              </a:ext>
            </a:extLst>
          </xdr:cNvPr>
          <xdr:cNvCxnSpPr/>
        </xdr:nvCxnSpPr>
        <xdr:spPr>
          <a:xfrm flipV="1">
            <a:off x="3759200" y="10570911"/>
            <a:ext cx="745437" cy="623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0.78646</cdr:x>
      <cdr:y>0.36014</cdr:y>
    </cdr:from>
    <cdr:to>
      <cdr:x>0.82483</cdr:x>
      <cdr:y>0.37997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7CD2097F-3A3A-0C64-156C-86A4BADB8405}"/>
                </a:ext>
              </a:extLst>
            </cdr:cNvPr>
            <cdr:cNvSpPr txBox="1"/>
          </cdr:nvSpPr>
          <cdr:spPr>
            <a:xfrm xmlns:a="http://schemas.openxmlformats.org/drawingml/2006/main">
              <a:off x="4794250" y="3155950"/>
              <a:ext cx="233910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𝑡𝐴</m:t>
                        </m:r>
                      </m:sub>
                    </m:sSub>
                  </m:oMath>
                </m:oMathPara>
              </a14:m>
              <a:endParaRPr lang="it-IT" sz="1100"/>
            </a:p>
          </cdr:txBody>
        </cdr:sp>
      </mc:Choice>
      <mc:Fallback xmlns="">
        <cdr:sp macro="" textlink="">
          <cdr:nvSpPr>
            <cdr:cNvPr id="3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7CD2097F-3A3A-0C64-156C-86A4BADB8405}"/>
                </a:ext>
              </a:extLst>
            </cdr:cNvPr>
            <cdr:cNvSpPr txBox="1"/>
          </cdr:nvSpPr>
          <cdr:spPr>
            <a:xfrm xmlns:a="http://schemas.openxmlformats.org/drawingml/2006/main">
              <a:off x="4794250" y="3155950"/>
              <a:ext cx="233910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it-IT" sz="1100" b="0" i="0">
                  <a:latin typeface="Cambria Math" panose="02040503050406030204" pitchFamily="18" charset="0"/>
                </a:rPr>
                <a:t>𝐾_𝑡𝐴</a:t>
              </a:r>
              <a:endParaRPr lang="it-IT" sz="1100"/>
            </a:p>
          </cdr:txBody>
        </cdr:sp>
      </mc:Fallback>
    </mc:AlternateContent>
  </cdr:relSizeAnchor>
  <cdr:relSizeAnchor xmlns:cdr="http://schemas.openxmlformats.org/drawingml/2006/chartDrawing">
    <cdr:from>
      <cdr:x>0.69271</cdr:x>
      <cdr:y>0.60362</cdr:y>
    </cdr:from>
    <cdr:to>
      <cdr:x>0.78302</cdr:x>
      <cdr:y>0.62345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CasellaDiTesto 3">
              <a:extLst xmlns:a="http://schemas.openxmlformats.org/drawingml/2006/main">
                <a:ext uri="{FF2B5EF4-FFF2-40B4-BE49-F238E27FC236}">
                  <a16:creationId xmlns:a16="http://schemas.microsoft.com/office/drawing/2014/main" id="{BA75C8A5-9216-8DB3-356A-3739DDCD93A5}"/>
                </a:ext>
              </a:extLst>
            </cdr:cNvPr>
            <cdr:cNvSpPr txBox="1"/>
          </cdr:nvSpPr>
          <cdr:spPr>
            <a:xfrm xmlns:a="http://schemas.openxmlformats.org/drawingml/2006/main">
              <a:off x="4222750" y="5289550"/>
              <a:ext cx="550535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𝑡𝐵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, 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𝑡𝑠𝐵</m:t>
                        </m:r>
                      </m:sub>
                    </m:sSub>
                  </m:oMath>
                </m:oMathPara>
              </a14:m>
              <a:endParaRPr lang="it-IT" sz="1100"/>
            </a:p>
          </cdr:txBody>
        </cdr:sp>
      </mc:Choice>
      <mc:Fallback xmlns="">
        <cdr:sp macro="" textlink="">
          <cdr:nvSpPr>
            <cdr:cNvPr id="4" name="CasellaDiTesto 3">
              <a:extLst xmlns:a="http://schemas.openxmlformats.org/drawingml/2006/main">
                <a:ext uri="{FF2B5EF4-FFF2-40B4-BE49-F238E27FC236}">
                  <a16:creationId xmlns:a16="http://schemas.microsoft.com/office/drawing/2014/main" id="{BA75C8A5-9216-8DB3-356A-3739DDCD93A5}"/>
                </a:ext>
              </a:extLst>
            </cdr:cNvPr>
            <cdr:cNvSpPr txBox="1"/>
          </cdr:nvSpPr>
          <cdr:spPr>
            <a:xfrm xmlns:a="http://schemas.openxmlformats.org/drawingml/2006/main">
              <a:off x="4222750" y="5289550"/>
              <a:ext cx="550535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it-IT" sz="1100" b="0" i="0">
                  <a:latin typeface="Cambria Math" panose="02040503050406030204" pitchFamily="18" charset="0"/>
                </a:rPr>
                <a:t>𝐾_𝑡𝐵, 𝐾_𝑡𝑠𝐵</a:t>
              </a:r>
              <a:endParaRPr lang="it-IT" sz="1100"/>
            </a:p>
          </cdr:txBody>
        </cdr:sp>
      </mc:Fallback>
    </mc:AlternateContent>
  </cdr:relSizeAnchor>
  <cdr:relSizeAnchor xmlns:cdr="http://schemas.openxmlformats.org/drawingml/2006/chartDrawing">
    <cdr:from>
      <cdr:x>0.7849</cdr:x>
      <cdr:y>0.74928</cdr:y>
    </cdr:from>
    <cdr:to>
      <cdr:x>0.83144</cdr:x>
      <cdr:y>0.7691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CasellaDiTesto 4">
              <a:extLst xmlns:a="http://schemas.openxmlformats.org/drawingml/2006/main">
                <a:ext uri="{FF2B5EF4-FFF2-40B4-BE49-F238E27FC236}">
                  <a16:creationId xmlns:a16="http://schemas.microsoft.com/office/drawing/2014/main" id="{50E5FA7C-E079-7F5B-B07E-E85BEF415195}"/>
                </a:ext>
              </a:extLst>
            </cdr:cNvPr>
            <cdr:cNvSpPr txBox="1"/>
          </cdr:nvSpPr>
          <cdr:spPr>
            <a:xfrm xmlns:a="http://schemas.openxmlformats.org/drawingml/2006/main">
              <a:off x="4784725" y="6565900"/>
              <a:ext cx="283732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𝑡𝑠𝐴</m:t>
                        </m:r>
                      </m:sub>
                    </m:sSub>
                  </m:oMath>
                </m:oMathPara>
              </a14:m>
              <a:endParaRPr lang="it-IT" sz="1100"/>
            </a:p>
          </cdr:txBody>
        </cdr:sp>
      </mc:Choice>
      <mc:Fallback xmlns="">
        <cdr:sp macro="" textlink="">
          <cdr:nvSpPr>
            <cdr:cNvPr id="5" name="CasellaDiTesto 4">
              <a:extLst xmlns:a="http://schemas.openxmlformats.org/drawingml/2006/main">
                <a:ext uri="{FF2B5EF4-FFF2-40B4-BE49-F238E27FC236}">
                  <a16:creationId xmlns:a16="http://schemas.microsoft.com/office/drawing/2014/main" id="{50E5FA7C-E079-7F5B-B07E-E85BEF415195}"/>
                </a:ext>
              </a:extLst>
            </cdr:cNvPr>
            <cdr:cNvSpPr txBox="1"/>
          </cdr:nvSpPr>
          <cdr:spPr>
            <a:xfrm xmlns:a="http://schemas.openxmlformats.org/drawingml/2006/main">
              <a:off x="4784725" y="6565900"/>
              <a:ext cx="283732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it-IT" sz="1100" b="0" i="0">
                  <a:latin typeface="Cambria Math" panose="02040503050406030204" pitchFamily="18" charset="0"/>
                </a:rPr>
                <a:t>𝐾_𝑡𝑠𝐴</a:t>
              </a:r>
              <a:endParaRPr lang="it-IT" sz="1100"/>
            </a:p>
          </cdr:txBody>
        </cdr:sp>
      </mc:Fallback>
    </mc:AlternateContent>
  </cdr:relSizeAnchor>
  <cdr:relSizeAnchor xmlns:cdr="http://schemas.openxmlformats.org/drawingml/2006/chartDrawing">
    <cdr:from>
      <cdr:x>0.41991</cdr:x>
      <cdr:y>0.56872</cdr:y>
    </cdr:from>
    <cdr:to>
      <cdr:x>0.54861</cdr:x>
      <cdr:y>0.58855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387CB98E-E4CA-DABF-0383-00A1977822E5}"/>
                </a:ext>
              </a:extLst>
            </cdr:cNvPr>
            <cdr:cNvSpPr txBox="1"/>
          </cdr:nvSpPr>
          <cdr:spPr>
            <a:xfrm xmlns:a="http://schemas.openxmlformats.org/drawingml/2006/main">
              <a:off x="2559795" y="4983692"/>
              <a:ext cx="784510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𝑤𝑖𝑡h𝑜𝑢𝑡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𝑘𝑒𝑦</m:t>
                    </m:r>
                  </m:oMath>
                </m:oMathPara>
              </a14:m>
              <a:endParaRPr lang="it-IT" sz="1100"/>
            </a:p>
          </cdr:txBody>
        </cdr:sp>
      </mc:Choice>
      <mc:Fallback xmlns="">
        <cdr:sp macro="" textlink="">
          <cdr:nvSpPr>
            <cdr:cNvPr id="6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387CB98E-E4CA-DABF-0383-00A1977822E5}"/>
                </a:ext>
              </a:extLst>
            </cdr:cNvPr>
            <cdr:cNvSpPr txBox="1"/>
          </cdr:nvSpPr>
          <cdr:spPr>
            <a:xfrm xmlns:a="http://schemas.openxmlformats.org/drawingml/2006/main">
              <a:off x="2559795" y="4983692"/>
              <a:ext cx="784510" cy="173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it-IT" sz="1100" b="0" i="0">
                  <a:latin typeface="Cambria Math" panose="02040503050406030204" pitchFamily="18" charset="0"/>
                </a:rPr>
                <a:t>𝑤𝑖𝑡ℎ𝑜𝑢𝑡 𝑘𝑒𝑦</a:t>
              </a:r>
              <a:endParaRPr lang="it-IT" sz="1100"/>
            </a:p>
          </cdr:txBody>
        </cdr:sp>
      </mc:Fallback>
    </mc:AlternateContent>
  </cdr:relSizeAnchor>
  <cdr:relSizeAnchor xmlns:cdr="http://schemas.openxmlformats.org/drawingml/2006/chartDrawing">
    <cdr:from>
      <cdr:x>0.38062</cdr:x>
      <cdr:y>0.41872</cdr:y>
    </cdr:from>
    <cdr:to>
      <cdr:x>0.90036</cdr:x>
      <cdr:y>0.45742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95721B0F-CD41-3860-4200-C78408C32ACC}"/>
                </a:ext>
              </a:extLst>
            </cdr:cNvPr>
            <cdr:cNvSpPr txBox="1"/>
          </cdr:nvSpPr>
          <cdr:spPr>
            <a:xfrm xmlns:a="http://schemas.openxmlformats.org/drawingml/2006/main">
              <a:off x="2320286" y="3669242"/>
              <a:ext cx="3168303" cy="3391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𝑎𝑝𝑝𝑟𝑜𝑥𝑖𝑚𝑎𝑡𝑒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𝑣𝑎𝑙𝑢𝑒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𝑎𝑡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𝑒𝑛𝑑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𝑜𝑓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𝑡h𝑒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𝑘𝑒𝑦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𝑤𝑖𝑡h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𝑡𝑜𝑟𝑞𝑢𝑒</m:t>
                    </m:r>
                  </m:oMath>
                </m:oMathPara>
              </a14:m>
              <a:br>
                <a:rPr lang="it-IT" sz="1100" b="0" i="1">
                  <a:latin typeface="Cambria Math" panose="02040503050406030204" pitchFamily="18" charset="0"/>
                </a:rPr>
              </a:br>
              <a14:m>
                <m:oMath xmlns:m="http://schemas.openxmlformats.org/officeDocument/2006/math">
                  <m:r>
                    <a:rPr lang="it-IT" sz="1100" b="0" i="1">
                      <a:latin typeface="Cambria Math" panose="02040503050406030204" pitchFamily="18" charset="0"/>
                    </a:rPr>
                    <m:t>𝑡𝑟𝑎𝑛𝑠𝑚𝑖𝑡𝑡𝑒𝑑</m:t>
                  </m:r>
                </m:oMath>
              </a14:m>
              <a:r>
                <a:rPr lang="it-IT" sz="1100" i="1"/>
                <a:t> by</a:t>
              </a:r>
              <a:r>
                <a:rPr lang="it-IT" sz="1100" i="1" baseline="0"/>
                <a:t> a key of lenght = 2.5d</a:t>
              </a:r>
              <a:endParaRPr lang="it-IT" sz="1100" i="1"/>
            </a:p>
          </cdr:txBody>
        </cdr:sp>
      </mc:Choice>
      <mc:Fallback xmlns="">
        <cdr:sp macro="" textlink="">
          <cdr:nvSpPr>
            <cdr:cNvPr id="7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95721B0F-CD41-3860-4200-C78408C32ACC}"/>
                </a:ext>
              </a:extLst>
            </cdr:cNvPr>
            <cdr:cNvSpPr txBox="1"/>
          </cdr:nvSpPr>
          <cdr:spPr>
            <a:xfrm xmlns:a="http://schemas.openxmlformats.org/drawingml/2006/main">
              <a:off x="2320286" y="3669242"/>
              <a:ext cx="3168303" cy="3391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it-IT" sz="1100" b="0" i="0">
                  <a:latin typeface="Cambria Math" panose="02040503050406030204" pitchFamily="18" charset="0"/>
                </a:rPr>
                <a:t>𝑎𝑝𝑝𝑟𝑜𝑥𝑖𝑚𝑎𝑡𝑒 𝑣𝑎𝑙𝑢𝑒 𝑎𝑡 𝑒𝑛𝑑 𝑜𝑓 𝑡ℎ𝑒 𝑘𝑒𝑦 𝑤𝑖𝑡ℎ 𝑡𝑜𝑟𝑞𝑢𝑒</a:t>
              </a:r>
              <a:br>
                <a:rPr lang="it-IT" sz="1100" b="0" i="1">
                  <a:latin typeface="Cambria Math" panose="02040503050406030204" pitchFamily="18" charset="0"/>
                </a:rPr>
              </a:br>
              <a:r>
                <a:rPr lang="it-IT" sz="1100" b="0" i="0">
                  <a:latin typeface="Cambria Math" panose="02040503050406030204" pitchFamily="18" charset="0"/>
                </a:rPr>
                <a:t>𝑡𝑟𝑎𝑛𝑠𝑚𝑖𝑡𝑡𝑒𝑑</a:t>
              </a:r>
              <a:r>
                <a:rPr lang="it-IT" sz="1100" i="1"/>
                <a:t> by</a:t>
              </a:r>
              <a:r>
                <a:rPr lang="it-IT" sz="1100" i="1" baseline="0"/>
                <a:t> a key of lenght = 2.5d</a:t>
              </a:r>
              <a:endParaRPr lang="it-IT" sz="1100" i="1"/>
            </a:p>
          </cdr:txBody>
        </cdr:sp>
      </mc:Fallback>
    </mc:AlternateContent>
  </cdr:relSizeAnchor>
  <cdr:relSizeAnchor xmlns:cdr="http://schemas.openxmlformats.org/drawingml/2006/chartDrawing">
    <cdr:from>
      <cdr:x>0.37437</cdr:x>
      <cdr:y>0.69698</cdr:y>
    </cdr:from>
    <cdr:to>
      <cdr:x>0.94543</cdr:x>
      <cdr:y>0.72451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8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17E1E42D-0430-5231-B5B5-0F947BDA69CD}"/>
                </a:ext>
              </a:extLst>
            </cdr:cNvPr>
            <cdr:cNvSpPr txBox="1"/>
          </cdr:nvSpPr>
          <cdr:spPr>
            <a:xfrm xmlns:a="http://schemas.openxmlformats.org/drawingml/2006/main">
              <a:off x="2282186" y="6107642"/>
              <a:ext cx="3481145" cy="241220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𝑎𝑝𝑝𝑟𝑜𝑥𝑖𝑚𝑎𝑡𝑒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𝑎𝑣𝑒𝑟𝑎𝑔𝑒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f>
                      <m:fPr>
                        <m:type m:val="skw"/>
                        <m:ctrlPr>
                          <a:rPr lang="it-IT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it-IT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num>
                      <m:den>
                        <m:sSub>
                          <m:sSubPr>
                            <m:ctrlP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</m:sub>
                        </m:sSub>
                      </m:den>
                    </m:f>
                    <m:r>
                      <a:rPr lang="it-IT" sz="1100" b="0" i="1">
                        <a:latin typeface="Cambria Math" panose="02040503050406030204" pitchFamily="18" charset="0"/>
                      </a:rPr>
                      <m:t>𝑠𝑢𝑔𝑔𝑒𝑠𝑡𝑒𝑑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.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𝑆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𝑠𝑡𝑎𝑛𝑑𝑎𝑟𝑑</m:t>
                    </m:r>
                  </m:oMath>
                </m:oMathPara>
              </a14:m>
              <a:endParaRPr lang="it-IT" sz="1100" i="1"/>
            </a:p>
          </cdr:txBody>
        </cdr:sp>
      </mc:Choice>
      <mc:Fallback xmlns="">
        <cdr:sp macro="" textlink="">
          <cdr:nvSpPr>
            <cdr:cNvPr id="8" name="CasellaDiTesto 2">
              <a:extLst xmlns:a="http://schemas.openxmlformats.org/drawingml/2006/main">
                <a:ext uri="{FF2B5EF4-FFF2-40B4-BE49-F238E27FC236}">
                  <a16:creationId xmlns:a16="http://schemas.microsoft.com/office/drawing/2014/main" id="{17E1E42D-0430-5231-B5B5-0F947BDA69CD}"/>
                </a:ext>
              </a:extLst>
            </cdr:cNvPr>
            <cdr:cNvSpPr txBox="1"/>
          </cdr:nvSpPr>
          <cdr:spPr>
            <a:xfrm xmlns:a="http://schemas.openxmlformats.org/drawingml/2006/main">
              <a:off x="2282186" y="6107642"/>
              <a:ext cx="3481145" cy="241220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it-IT" sz="1100" b="0" i="0">
                  <a:latin typeface="Cambria Math" panose="02040503050406030204" pitchFamily="18" charset="0"/>
                </a:rPr>
                <a:t>𝑎𝑝𝑝𝑟𝑜𝑥𝑖𝑚𝑎𝑡𝑒 𝑎𝑣𝑒𝑟𝑎𝑔𝑒 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𝑟⁄𝐷_𝑗  </a:t>
              </a:r>
              <a:r>
                <a:rPr lang="it-IT" sz="1100" b="0" i="0">
                  <a:latin typeface="Cambria Math" panose="02040503050406030204" pitchFamily="18" charset="0"/>
                </a:rPr>
                <a:t>𝑠𝑢𝑔𝑔𝑒𝑠𝑡𝑒𝑑 𝑖𝑛 𝑈.𝑆. 𝑠𝑡𝑎𝑛𝑑𝑎𝑟𝑑</a:t>
              </a:r>
              <a:endParaRPr lang="it-IT" sz="1100" i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</xdr:colOff>
      <xdr:row>1</xdr:row>
      <xdr:rowOff>0</xdr:rowOff>
    </xdr:from>
    <xdr:to>
      <xdr:col>14</xdr:col>
      <xdr:colOff>1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121344-93D1-4A9B-9CF7-60872B359804}"/>
            </a:ext>
            <a:ext uri="{147F2762-F138-4A5C-976F-8EAC2B608ADB}">
              <a16:predDERef xmlns:a16="http://schemas.microsoft.com/office/drawing/2014/main" pred="{00000000-0008-0000-0100-000002040000}"/>
            </a:ext>
          </a:extLst>
        </xdr:cNvPr>
        <xdr:cNvSpPr txBox="1"/>
      </xdr:nvSpPr>
      <xdr:spPr>
        <a:xfrm>
          <a:off x="8924926" y="190500"/>
          <a:ext cx="4267200" cy="8763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INSTRUCTIONS:</a:t>
          </a:r>
        </a:p>
        <a:p>
          <a:pPr eaLnBrk="1" fontAlgn="auto" latinLnBrk="0" hangingPunct="1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Most common values are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highlighted in grey.</a:t>
          </a:r>
          <a:endParaRPr lang="it-IT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104775</xdr:colOff>
      <xdr:row>4</xdr:row>
      <xdr:rowOff>4762</xdr:rowOff>
    </xdr:from>
    <xdr:ext cx="2830903" cy="3233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sellaDiTesto 2">
              <a:extLst>
                <a:ext uri="{FF2B5EF4-FFF2-40B4-BE49-F238E27FC236}">
                  <a16:creationId xmlns:a16="http://schemas.microsoft.com/office/drawing/2014/main" id="{441921B6-A795-CC6C-56F4-135494BC7370}"/>
                </a:ext>
              </a:extLst>
            </xdr:cNvPr>
            <xdr:cNvSpPr txBox="1"/>
          </xdr:nvSpPr>
          <xdr:spPr>
            <a:xfrm>
              <a:off x="2543175" y="995362"/>
              <a:ext cx="2830903" cy="3233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𝑙𝐵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it-I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it-I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it-I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𝑐</m:t>
                    </m:r>
                    <m:r>
                      <a:rPr lang="it-IT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it-I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it-IT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num>
                              <m:den>
                                <m: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it-I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it-IT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it-IT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</m:t>
                    </m:r>
                    <m:r>
                      <a:rPr lang="it-IT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it-IT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num>
                              <m:den>
                                <m: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it-IT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sup>
                    </m:sSup>
                    <m:r>
                      <a:rPr lang="it-IT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it-IT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𝑒</m:t>
                    </m:r>
                    <m:r>
                      <a:rPr lang="it-IT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it-IT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num>
                              <m:den>
                                <m:r>
                                  <a:rPr lang="it-IT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it-IT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3" name="CasellaDiTesto 2">
              <a:extLst>
                <a:ext uri="{FF2B5EF4-FFF2-40B4-BE49-F238E27FC236}">
                  <a16:creationId xmlns:a16="http://schemas.microsoft.com/office/drawing/2014/main" id="{441921B6-A795-CC6C-56F4-135494BC7370}"/>
                </a:ext>
              </a:extLst>
            </xdr:cNvPr>
            <xdr:cNvSpPr txBox="1"/>
          </xdr:nvSpPr>
          <xdr:spPr>
            <a:xfrm>
              <a:off x="2543175" y="995362"/>
              <a:ext cx="2830903" cy="3233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𝐾_𝑙𝐵=𝑎+𝑏</a:t>
              </a:r>
              <a:r>
                <a:rPr lang="it-I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∙𝑟/𝑑+𝑐∙(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𝑟/𝑑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)^</a:t>
              </a:r>
              <a:r>
                <a:rPr lang="it-I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∙(𝑟/𝑑)^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∙(𝑟/𝑑)^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endParaRPr lang="it-IT" sz="1100"/>
            </a:p>
          </xdr:txBody>
        </xdr:sp>
      </mc:Fallback>
    </mc:AlternateContent>
    <xdr:clientData/>
  </xdr:oneCellAnchor>
  <xdr:twoCellAnchor>
    <xdr:from>
      <xdr:col>5</xdr:col>
      <xdr:colOff>0</xdr:colOff>
      <xdr:row>1</xdr:row>
      <xdr:rowOff>0</xdr:rowOff>
    </xdr:from>
    <xdr:to>
      <xdr:col>13</xdr:col>
      <xdr:colOff>367031</xdr:colOff>
      <xdr:row>37</xdr:row>
      <xdr:rowOff>10159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A5AECDB-F173-B1AB-0EBC-A0450DDC5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</xdr:row>
      <xdr:rowOff>0</xdr:rowOff>
    </xdr:from>
    <xdr:to>
      <xdr:col>0</xdr:col>
      <xdr:colOff>2333625</xdr:colOff>
      <xdr:row>5</xdr:row>
      <xdr:rowOff>57150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DC2F2710-A75E-4B30-8FCF-C4392172D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333375"/>
          <a:ext cx="22764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190500</xdr:colOff>
      <xdr:row>12</xdr:row>
      <xdr:rowOff>28575</xdr:rowOff>
    </xdr:from>
    <xdr:to>
      <xdr:col>13</xdr:col>
      <xdr:colOff>454654</xdr:colOff>
      <xdr:row>45</xdr:row>
      <xdr:rowOff>123756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203F55A-EA5C-48D3-BF3B-43BFBD1D33B7}"/>
            </a:ext>
          </a:extLst>
        </xdr:cNvPr>
        <xdr:cNvGrpSpPr/>
      </xdr:nvGrpSpPr>
      <xdr:grpSpPr>
        <a:xfrm>
          <a:off x="7219950" y="2084070"/>
          <a:ext cx="5293354" cy="5909241"/>
          <a:chOff x="4619625" y="190500"/>
          <a:chExt cx="5123809" cy="5628571"/>
        </a:xfrm>
      </xdr:grpSpPr>
      <xdr:pic>
        <xdr:nvPicPr>
          <xdr:cNvPr id="6" name="Immagine 5">
            <a:extLst>
              <a:ext uri="{FF2B5EF4-FFF2-40B4-BE49-F238E27FC236}">
                <a16:creationId xmlns:a16="http://schemas.microsoft.com/office/drawing/2014/main" id="{45E22296-FA27-9754-79A7-968296C817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19625" y="190500"/>
            <a:ext cx="5123809" cy="5628571"/>
          </a:xfrm>
          <a:prstGeom prst="rect">
            <a:avLst/>
          </a:prstGeom>
        </xdr:spPr>
      </xdr:pic>
      <xdr:sp macro="" textlink="'key calculator'!$I$2">
        <xdr:nvSpPr>
          <xdr:cNvPr id="7" name="CasellaDiTesto 6">
            <a:extLst>
              <a:ext uri="{FF2B5EF4-FFF2-40B4-BE49-F238E27FC236}">
                <a16:creationId xmlns:a16="http://schemas.microsoft.com/office/drawing/2014/main" id="{5EE94F5F-525D-0DC1-615F-D8561CC94254}"/>
              </a:ext>
            </a:extLst>
          </xdr:cNvPr>
          <xdr:cNvSpPr txBox="1"/>
        </xdr:nvSpPr>
        <xdr:spPr>
          <a:xfrm>
            <a:off x="7242251" y="247805"/>
            <a:ext cx="142248" cy="171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84EA3D9D-D324-4948-A9A4-596A64EFCDAC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25</a:t>
            </a:fld>
            <a:endParaRPr lang="it-IT" sz="1100"/>
          </a:p>
        </xdr:txBody>
      </xdr:sp>
      <xdr:sp macro="" textlink="'key calculator'!$C$19">
        <xdr:nvSpPr>
          <xdr:cNvPr id="8" name="CasellaDiTesto 7">
            <a:extLst>
              <a:ext uri="{FF2B5EF4-FFF2-40B4-BE49-F238E27FC236}">
                <a16:creationId xmlns:a16="http://schemas.microsoft.com/office/drawing/2014/main" id="{33263E29-D3EC-90F0-6820-184945B7959A}"/>
              </a:ext>
            </a:extLst>
          </xdr:cNvPr>
          <xdr:cNvSpPr txBox="1"/>
        </xdr:nvSpPr>
        <xdr:spPr>
          <a:xfrm>
            <a:off x="7207030" y="5096030"/>
            <a:ext cx="212690" cy="171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0BD8D8E1-CFE4-4431-99ED-E2665A9139A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100</a:t>
            </a:fld>
            <a:endParaRPr lang="it-IT" sz="1100"/>
          </a:p>
        </xdr:txBody>
      </xdr:sp>
      <xdr:sp macro="" textlink="'key calculator'!$I$3">
        <xdr:nvSpPr>
          <xdr:cNvPr id="9" name="CasellaDiTesto 8">
            <a:extLst>
              <a:ext uri="{FF2B5EF4-FFF2-40B4-BE49-F238E27FC236}">
                <a16:creationId xmlns:a16="http://schemas.microsoft.com/office/drawing/2014/main" id="{207C132C-2147-AF68-CD3C-0F0950411BCC}"/>
              </a:ext>
            </a:extLst>
          </xdr:cNvPr>
          <xdr:cNvSpPr txBox="1"/>
        </xdr:nvSpPr>
        <xdr:spPr>
          <a:xfrm rot="16200000" flipH="1">
            <a:off x="4648330" y="1067250"/>
            <a:ext cx="142730" cy="171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spAutoFit/>
          </a:bodyPr>
          <a:lstStyle/>
          <a:p>
            <a:pPr algn="ctr"/>
            <a:fld id="{EAB50577-C254-4E6A-A391-AB279E824C54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14</a:t>
            </a:fld>
            <a:endParaRPr lang="it-IT" sz="1100"/>
          </a:p>
        </xdr:txBody>
      </xdr:sp>
      <xdr:sp macro="" textlink="'key calculator'!$I$4">
        <xdr:nvSpPr>
          <xdr:cNvPr id="10" name="CasellaDiTesto 9">
            <a:extLst>
              <a:ext uri="{FF2B5EF4-FFF2-40B4-BE49-F238E27FC236}">
                <a16:creationId xmlns:a16="http://schemas.microsoft.com/office/drawing/2014/main" id="{8829811A-21C3-AB21-42AF-BA3C80B78225}"/>
              </a:ext>
            </a:extLst>
          </xdr:cNvPr>
          <xdr:cNvSpPr txBox="1"/>
        </xdr:nvSpPr>
        <xdr:spPr>
          <a:xfrm rot="16200000" flipH="1">
            <a:off x="9277482" y="1181547"/>
            <a:ext cx="142730" cy="171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944FE0CB-46B7-4CFB-B40E-815AE6B93965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9</a:t>
            </a:fld>
            <a:endParaRPr lang="it-IT" sz="1100"/>
          </a:p>
        </xdr:txBody>
      </xdr:sp>
      <xdr:sp macro="" textlink="'key calculator'!$I$5">
        <xdr:nvSpPr>
          <xdr:cNvPr id="11" name="CasellaDiTesto 10">
            <a:extLst>
              <a:ext uri="{FF2B5EF4-FFF2-40B4-BE49-F238E27FC236}">
                <a16:creationId xmlns:a16="http://schemas.microsoft.com/office/drawing/2014/main" id="{E39B62AA-D83F-94B3-F2DE-C36D43AAF98F}"/>
              </a:ext>
            </a:extLst>
          </xdr:cNvPr>
          <xdr:cNvSpPr txBox="1"/>
        </xdr:nvSpPr>
        <xdr:spPr>
          <a:xfrm rot="16200000" flipH="1">
            <a:off x="9240554" y="502398"/>
            <a:ext cx="250770" cy="170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1925C8EB-085D-46D8-9335-9C1203C750A2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5,4</a:t>
            </a:fld>
            <a:endParaRPr lang="it-IT" sz="1100"/>
          </a:p>
        </xdr:txBody>
      </xdr:sp>
      <xdr:cxnSp macro="">
        <xdr:nvCxnSpPr>
          <xdr:cNvPr id="12" name="Connettore diritto 11">
            <a:extLst>
              <a:ext uri="{FF2B5EF4-FFF2-40B4-BE49-F238E27FC236}">
                <a16:creationId xmlns:a16="http://schemas.microsoft.com/office/drawing/2014/main" id="{1B62389D-A565-6819-380F-9385A76A9F7C}"/>
              </a:ext>
            </a:extLst>
          </xdr:cNvPr>
          <xdr:cNvCxnSpPr>
            <a:stCxn id="21" idx="3"/>
          </xdr:cNvCxnSpPr>
        </xdr:nvCxnSpPr>
        <xdr:spPr>
          <a:xfrm flipV="1">
            <a:off x="5168138" y="1304925"/>
            <a:ext cx="356362" cy="429016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'key calculator'!$K$3">
        <xdr:nvSpPr>
          <xdr:cNvPr id="13" name="CasellaDiTesto 12">
            <a:extLst>
              <a:ext uri="{FF2B5EF4-FFF2-40B4-BE49-F238E27FC236}">
                <a16:creationId xmlns:a16="http://schemas.microsoft.com/office/drawing/2014/main" id="{F872C6B9-5203-B6DD-B378-56677ABECB36}"/>
              </a:ext>
            </a:extLst>
          </xdr:cNvPr>
          <xdr:cNvSpPr txBox="1"/>
        </xdr:nvSpPr>
        <xdr:spPr>
          <a:xfrm>
            <a:off x="4959816" y="495457"/>
            <a:ext cx="319863" cy="171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AE776264-9976-49D1-80C0-34663498F9D0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5,79</a:t>
            </a:fld>
            <a:endParaRPr lang="it-IT" sz="1100"/>
          </a:p>
        </xdr:txBody>
      </xdr:sp>
      <xdr:cxnSp macro="">
        <xdr:nvCxnSpPr>
          <xdr:cNvPr id="14" name="Connettore diritto 13">
            <a:extLst>
              <a:ext uri="{FF2B5EF4-FFF2-40B4-BE49-F238E27FC236}">
                <a16:creationId xmlns:a16="http://schemas.microsoft.com/office/drawing/2014/main" id="{2C2B4C81-BA09-29F4-BC17-ACFD6BA5FD40}"/>
              </a:ext>
            </a:extLst>
          </xdr:cNvPr>
          <xdr:cNvCxnSpPr>
            <a:stCxn id="13" idx="3"/>
          </xdr:cNvCxnSpPr>
        </xdr:nvCxnSpPr>
        <xdr:spPr>
          <a:xfrm>
            <a:off x="5279679" y="581415"/>
            <a:ext cx="254346" cy="371085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'key calculator'!$C$20">
        <xdr:nvSpPr>
          <xdr:cNvPr id="18" name="CasellaDiTesto 17">
            <a:extLst>
              <a:ext uri="{FF2B5EF4-FFF2-40B4-BE49-F238E27FC236}">
                <a16:creationId xmlns:a16="http://schemas.microsoft.com/office/drawing/2014/main" id="{13BF51B9-E172-3168-6037-1F65CD9BCC9A}"/>
              </a:ext>
            </a:extLst>
          </xdr:cNvPr>
          <xdr:cNvSpPr txBox="1"/>
        </xdr:nvSpPr>
        <xdr:spPr>
          <a:xfrm>
            <a:off x="7206134" y="5514889"/>
            <a:ext cx="214482" cy="1722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A0B6A911-E0FE-4548-815D-E56DD4E2C69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137</a:t>
            </a:fld>
            <a:endParaRPr lang="it-IT" sz="1100"/>
          </a:p>
        </xdr:txBody>
      </xdr:sp>
      <xdr:sp macro="" textlink="'key calculator'!$I$6">
        <xdr:nvSpPr>
          <xdr:cNvPr id="19" name="CasellaDiTesto 18">
            <a:extLst>
              <a:ext uri="{FF2B5EF4-FFF2-40B4-BE49-F238E27FC236}">
                <a16:creationId xmlns:a16="http://schemas.microsoft.com/office/drawing/2014/main" id="{A98F3060-B2E8-85E1-3579-368036D0F92C}"/>
              </a:ext>
            </a:extLst>
          </xdr:cNvPr>
          <xdr:cNvSpPr txBox="1"/>
        </xdr:nvSpPr>
        <xdr:spPr>
          <a:xfrm>
            <a:off x="8526022" y="343057"/>
            <a:ext cx="178798" cy="171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D3115441-04E9-4CEF-9BF3-70A5BCB1F40A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0,8</a:t>
            </a:fld>
            <a:endParaRPr lang="it-IT" sz="1100"/>
          </a:p>
        </xdr:txBody>
      </xdr:sp>
      <xdr:cxnSp macro="">
        <xdr:nvCxnSpPr>
          <xdr:cNvPr id="20" name="Connettore diritto 19">
            <a:extLst>
              <a:ext uri="{FF2B5EF4-FFF2-40B4-BE49-F238E27FC236}">
                <a16:creationId xmlns:a16="http://schemas.microsoft.com/office/drawing/2014/main" id="{0D147540-22A1-827A-2C5C-BC1A2098B109}"/>
              </a:ext>
            </a:extLst>
          </xdr:cNvPr>
          <xdr:cNvCxnSpPr>
            <a:stCxn id="19" idx="1"/>
          </xdr:cNvCxnSpPr>
        </xdr:nvCxnSpPr>
        <xdr:spPr>
          <a:xfrm flipH="1">
            <a:off x="7800975" y="429015"/>
            <a:ext cx="725047" cy="428235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'key calculator'!$K$2">
        <xdr:nvSpPr>
          <xdr:cNvPr id="21" name="CasellaDiTesto 20">
            <a:extLst>
              <a:ext uri="{FF2B5EF4-FFF2-40B4-BE49-F238E27FC236}">
                <a16:creationId xmlns:a16="http://schemas.microsoft.com/office/drawing/2014/main" id="{0BFE0631-CF7E-CA05-35BF-38F265719446}"/>
              </a:ext>
            </a:extLst>
          </xdr:cNvPr>
          <xdr:cNvSpPr txBox="1"/>
        </xdr:nvSpPr>
        <xdr:spPr>
          <a:xfrm>
            <a:off x="4918954" y="1647982"/>
            <a:ext cx="249185" cy="171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0" tIns="0" rIns="0" bIns="0" rtlCol="0" anchor="ctr">
            <a:spAutoFit/>
          </a:bodyPr>
          <a:lstStyle/>
          <a:p>
            <a:pPr algn="ctr"/>
            <a:fld id="{82522CC8-210C-4036-8288-46F00A7B0EF5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6,61</a:t>
            </a:fld>
            <a:endParaRPr lang="it-IT" sz="1100"/>
          </a:p>
        </xdr:txBody>
      </xdr:sp>
    </xdr:grpSp>
    <xdr:clientData/>
  </xdr:twoCellAnchor>
  <xdr:twoCellAnchor>
    <xdr:from>
      <xdr:col>6</xdr:col>
      <xdr:colOff>314324</xdr:colOff>
      <xdr:row>15</xdr:row>
      <xdr:rowOff>133350</xdr:rowOff>
    </xdr:from>
    <xdr:to>
      <xdr:col>13</xdr:col>
      <xdr:colOff>7124</xdr:colOff>
      <xdr:row>39</xdr:row>
      <xdr:rowOff>121425</xdr:rowOff>
    </xdr:to>
    <xdr:sp macro="" textlink="">
      <xdr:nvSpPr>
        <xdr:cNvPr id="46" name="Ovale 45">
          <a:extLst>
            <a:ext uri="{FF2B5EF4-FFF2-40B4-BE49-F238E27FC236}">
              <a16:creationId xmlns:a16="http://schemas.microsoft.com/office/drawing/2014/main" id="{08AE00C2-FB75-49BC-A858-AAA01599B081}"/>
            </a:ext>
          </a:extLst>
        </xdr:cNvPr>
        <xdr:cNvSpPr/>
      </xdr:nvSpPr>
      <xdr:spPr>
        <a:xfrm>
          <a:off x="7762874" y="2600325"/>
          <a:ext cx="3960000" cy="3960000"/>
        </a:xfrm>
        <a:prstGeom prst="ellipse">
          <a:avLst/>
        </a:prstGeom>
        <a:noFill/>
        <a:ln>
          <a:prstDash val="dash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8</xdr:col>
      <xdr:colOff>590550</xdr:colOff>
      <xdr:row>16</xdr:row>
      <xdr:rowOff>19050</xdr:rowOff>
    </xdr:from>
    <xdr:to>
      <xdr:col>9</xdr:col>
      <xdr:colOff>447675</xdr:colOff>
      <xdr:row>27</xdr:row>
      <xdr:rowOff>85725</xdr:rowOff>
    </xdr:to>
    <xdr:cxnSp macro="">
      <xdr:nvCxnSpPr>
        <xdr:cNvPr id="49" name="Connettore diritto 48">
          <a:extLst>
            <a:ext uri="{FF2B5EF4-FFF2-40B4-BE49-F238E27FC236}">
              <a16:creationId xmlns:a16="http://schemas.microsoft.com/office/drawing/2014/main" id="{A7236538-310F-4B58-A00F-E909DC813ABA}"/>
            </a:ext>
          </a:extLst>
        </xdr:cNvPr>
        <xdr:cNvCxnSpPr/>
      </xdr:nvCxnSpPr>
      <xdr:spPr>
        <a:xfrm flipH="1" flipV="1">
          <a:off x="9258300" y="2686050"/>
          <a:ext cx="466725" cy="1895475"/>
        </a:xfrm>
        <a:prstGeom prst="line">
          <a:avLst/>
        </a:prstGeom>
        <a:ln w="12700">
          <a:solidFill>
            <a:schemeClr val="tx1"/>
          </a:solidFill>
          <a:headEnd type="none" w="med" len="med"/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97531</xdr:colOff>
      <xdr:row>22</xdr:row>
      <xdr:rowOff>64393</xdr:rowOff>
    </xdr:from>
    <xdr:to>
      <xdr:col>9</xdr:col>
      <xdr:colOff>270069</xdr:colOff>
      <xdr:row>23</xdr:row>
      <xdr:rowOff>108143</xdr:rowOff>
    </xdr:to>
    <xdr:sp macro="" textlink="'key calculator'!$C$21">
      <xdr:nvSpPr>
        <xdr:cNvPr id="50" name="CasellaDiTesto 49">
          <a:extLst>
            <a:ext uri="{FF2B5EF4-FFF2-40B4-BE49-F238E27FC236}">
              <a16:creationId xmlns:a16="http://schemas.microsoft.com/office/drawing/2014/main" id="{67E9BA59-D2D0-405F-AFD0-C4E3C050792C}"/>
            </a:ext>
          </a:extLst>
        </xdr:cNvPr>
        <xdr:cNvSpPr txBox="1"/>
      </xdr:nvSpPr>
      <xdr:spPr>
        <a:xfrm rot="15406505">
          <a:off x="9353550" y="3762374"/>
          <a:ext cx="215200" cy="172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fld id="{76041A53-CA14-42AB-89DB-BC2F75FADF0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57</a:t>
          </a:fld>
          <a:endParaRPr lang="it-IT" sz="1100" i="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FA576-3AC9-42C5-997F-406F0FABCA9D}">
  <sheetPr codeName="Foglio2"/>
  <dimension ref="A1:AD48"/>
  <sheetViews>
    <sheetView tabSelected="1" zoomScaleNormal="100" zoomScaleSheetLayoutView="100" workbookViewId="0">
      <selection activeCell="AI44" sqref="AI44"/>
    </sheetView>
  </sheetViews>
  <sheetFormatPr defaultRowHeight="11.4" x14ac:dyDescent="0.2"/>
  <cols>
    <col min="1" max="30" width="3.33203125" style="62" customWidth="1"/>
    <col min="31" max="256" width="9.109375" style="62"/>
    <col min="257" max="286" width="3.33203125" style="62" customWidth="1"/>
    <col min="287" max="512" width="9.109375" style="62"/>
    <col min="513" max="542" width="3.33203125" style="62" customWidth="1"/>
    <col min="543" max="768" width="9.109375" style="62"/>
    <col min="769" max="798" width="3.33203125" style="62" customWidth="1"/>
    <col min="799" max="1024" width="9.109375" style="62"/>
    <col min="1025" max="1054" width="3.33203125" style="62" customWidth="1"/>
    <col min="1055" max="1280" width="9.109375" style="62"/>
    <col min="1281" max="1310" width="3.33203125" style="62" customWidth="1"/>
    <col min="1311" max="1536" width="9.109375" style="62"/>
    <col min="1537" max="1566" width="3.33203125" style="62" customWidth="1"/>
    <col min="1567" max="1792" width="9.109375" style="62"/>
    <col min="1793" max="1822" width="3.33203125" style="62" customWidth="1"/>
    <col min="1823" max="2048" width="9.109375" style="62"/>
    <col min="2049" max="2078" width="3.33203125" style="62" customWidth="1"/>
    <col min="2079" max="2304" width="9.109375" style="62"/>
    <col min="2305" max="2334" width="3.33203125" style="62" customWidth="1"/>
    <col min="2335" max="2560" width="9.109375" style="62"/>
    <col min="2561" max="2590" width="3.33203125" style="62" customWidth="1"/>
    <col min="2591" max="2816" width="9.109375" style="62"/>
    <col min="2817" max="2846" width="3.33203125" style="62" customWidth="1"/>
    <col min="2847" max="3072" width="9.109375" style="62"/>
    <col min="3073" max="3102" width="3.33203125" style="62" customWidth="1"/>
    <col min="3103" max="3328" width="9.109375" style="62"/>
    <col min="3329" max="3358" width="3.33203125" style="62" customWidth="1"/>
    <col min="3359" max="3584" width="9.109375" style="62"/>
    <col min="3585" max="3614" width="3.33203125" style="62" customWidth="1"/>
    <col min="3615" max="3840" width="9.109375" style="62"/>
    <col min="3841" max="3870" width="3.33203125" style="62" customWidth="1"/>
    <col min="3871" max="4096" width="9.109375" style="62"/>
    <col min="4097" max="4126" width="3.33203125" style="62" customWidth="1"/>
    <col min="4127" max="4352" width="9.109375" style="62"/>
    <col min="4353" max="4382" width="3.33203125" style="62" customWidth="1"/>
    <col min="4383" max="4608" width="9.109375" style="62"/>
    <col min="4609" max="4638" width="3.33203125" style="62" customWidth="1"/>
    <col min="4639" max="4864" width="9.109375" style="62"/>
    <col min="4865" max="4894" width="3.33203125" style="62" customWidth="1"/>
    <col min="4895" max="5120" width="9.109375" style="62"/>
    <col min="5121" max="5150" width="3.33203125" style="62" customWidth="1"/>
    <col min="5151" max="5376" width="9.109375" style="62"/>
    <col min="5377" max="5406" width="3.33203125" style="62" customWidth="1"/>
    <col min="5407" max="5632" width="9.109375" style="62"/>
    <col min="5633" max="5662" width="3.33203125" style="62" customWidth="1"/>
    <col min="5663" max="5888" width="9.109375" style="62"/>
    <col min="5889" max="5918" width="3.33203125" style="62" customWidth="1"/>
    <col min="5919" max="6144" width="9.109375" style="62"/>
    <col min="6145" max="6174" width="3.33203125" style="62" customWidth="1"/>
    <col min="6175" max="6400" width="9.109375" style="62"/>
    <col min="6401" max="6430" width="3.33203125" style="62" customWidth="1"/>
    <col min="6431" max="6656" width="9.109375" style="62"/>
    <col min="6657" max="6686" width="3.33203125" style="62" customWidth="1"/>
    <col min="6687" max="6912" width="9.109375" style="62"/>
    <col min="6913" max="6942" width="3.33203125" style="62" customWidth="1"/>
    <col min="6943" max="7168" width="9.109375" style="62"/>
    <col min="7169" max="7198" width="3.33203125" style="62" customWidth="1"/>
    <col min="7199" max="7424" width="9.109375" style="62"/>
    <col min="7425" max="7454" width="3.33203125" style="62" customWidth="1"/>
    <col min="7455" max="7680" width="9.109375" style="62"/>
    <col min="7681" max="7710" width="3.33203125" style="62" customWidth="1"/>
    <col min="7711" max="7936" width="9.109375" style="62"/>
    <col min="7937" max="7966" width="3.33203125" style="62" customWidth="1"/>
    <col min="7967" max="8192" width="9.109375" style="62"/>
    <col min="8193" max="8222" width="3.33203125" style="62" customWidth="1"/>
    <col min="8223" max="8448" width="9.109375" style="62"/>
    <col min="8449" max="8478" width="3.33203125" style="62" customWidth="1"/>
    <col min="8479" max="8704" width="9.109375" style="62"/>
    <col min="8705" max="8734" width="3.33203125" style="62" customWidth="1"/>
    <col min="8735" max="8960" width="9.109375" style="62"/>
    <col min="8961" max="8990" width="3.33203125" style="62" customWidth="1"/>
    <col min="8991" max="9216" width="9.109375" style="62"/>
    <col min="9217" max="9246" width="3.33203125" style="62" customWidth="1"/>
    <col min="9247" max="9472" width="9.109375" style="62"/>
    <col min="9473" max="9502" width="3.33203125" style="62" customWidth="1"/>
    <col min="9503" max="9728" width="9.109375" style="62"/>
    <col min="9729" max="9758" width="3.33203125" style="62" customWidth="1"/>
    <col min="9759" max="9984" width="9.109375" style="62"/>
    <col min="9985" max="10014" width="3.33203125" style="62" customWidth="1"/>
    <col min="10015" max="10240" width="9.109375" style="62"/>
    <col min="10241" max="10270" width="3.33203125" style="62" customWidth="1"/>
    <col min="10271" max="10496" width="9.109375" style="62"/>
    <col min="10497" max="10526" width="3.33203125" style="62" customWidth="1"/>
    <col min="10527" max="10752" width="9.109375" style="62"/>
    <col min="10753" max="10782" width="3.33203125" style="62" customWidth="1"/>
    <col min="10783" max="11008" width="9.109375" style="62"/>
    <col min="11009" max="11038" width="3.33203125" style="62" customWidth="1"/>
    <col min="11039" max="11264" width="9.109375" style="62"/>
    <col min="11265" max="11294" width="3.33203125" style="62" customWidth="1"/>
    <col min="11295" max="11520" width="9.109375" style="62"/>
    <col min="11521" max="11550" width="3.33203125" style="62" customWidth="1"/>
    <col min="11551" max="11776" width="9.109375" style="62"/>
    <col min="11777" max="11806" width="3.33203125" style="62" customWidth="1"/>
    <col min="11807" max="12032" width="9.109375" style="62"/>
    <col min="12033" max="12062" width="3.33203125" style="62" customWidth="1"/>
    <col min="12063" max="12288" width="9.109375" style="62"/>
    <col min="12289" max="12318" width="3.33203125" style="62" customWidth="1"/>
    <col min="12319" max="12544" width="9.109375" style="62"/>
    <col min="12545" max="12574" width="3.33203125" style="62" customWidth="1"/>
    <col min="12575" max="12800" width="9.109375" style="62"/>
    <col min="12801" max="12830" width="3.33203125" style="62" customWidth="1"/>
    <col min="12831" max="13056" width="9.109375" style="62"/>
    <col min="13057" max="13086" width="3.33203125" style="62" customWidth="1"/>
    <col min="13087" max="13312" width="9.109375" style="62"/>
    <col min="13313" max="13342" width="3.33203125" style="62" customWidth="1"/>
    <col min="13343" max="13568" width="9.109375" style="62"/>
    <col min="13569" max="13598" width="3.33203125" style="62" customWidth="1"/>
    <col min="13599" max="13824" width="9.109375" style="62"/>
    <col min="13825" max="13854" width="3.33203125" style="62" customWidth="1"/>
    <col min="13855" max="14080" width="9.109375" style="62"/>
    <col min="14081" max="14110" width="3.33203125" style="62" customWidth="1"/>
    <col min="14111" max="14336" width="9.109375" style="62"/>
    <col min="14337" max="14366" width="3.33203125" style="62" customWidth="1"/>
    <col min="14367" max="14592" width="9.109375" style="62"/>
    <col min="14593" max="14622" width="3.33203125" style="62" customWidth="1"/>
    <col min="14623" max="14848" width="9.109375" style="62"/>
    <col min="14849" max="14878" width="3.33203125" style="62" customWidth="1"/>
    <col min="14879" max="15104" width="9.109375" style="62"/>
    <col min="15105" max="15134" width="3.33203125" style="62" customWidth="1"/>
    <col min="15135" max="15360" width="9.109375" style="62"/>
    <col min="15361" max="15390" width="3.33203125" style="62" customWidth="1"/>
    <col min="15391" max="15616" width="9.109375" style="62"/>
    <col min="15617" max="15646" width="3.33203125" style="62" customWidth="1"/>
    <col min="15647" max="15872" width="9.109375" style="62"/>
    <col min="15873" max="15902" width="3.33203125" style="62" customWidth="1"/>
    <col min="15903" max="16128" width="9.109375" style="62"/>
    <col min="16129" max="16158" width="3.33203125" style="62" customWidth="1"/>
    <col min="16159" max="16384" width="9.109375" style="62"/>
  </cols>
  <sheetData>
    <row r="1" spans="1:30" ht="15" customHeight="1" x14ac:dyDescent="0.2">
      <c r="A1" s="59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1"/>
    </row>
    <row r="2" spans="1:30" ht="15" customHeight="1" x14ac:dyDescent="0.2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5"/>
    </row>
    <row r="3" spans="1:30" ht="15" customHeight="1" x14ac:dyDescent="0.25">
      <c r="A3" s="63"/>
      <c r="B3" s="64"/>
      <c r="C3" s="64"/>
      <c r="D3" s="64"/>
      <c r="E3" s="64"/>
      <c r="F3" s="64"/>
      <c r="G3" s="64"/>
      <c r="H3" s="66"/>
      <c r="I3" s="66"/>
      <c r="J3" s="66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8"/>
      <c r="X3" s="68"/>
      <c r="Y3" s="68"/>
      <c r="Z3" s="68"/>
      <c r="AA3" s="68"/>
      <c r="AB3" s="68"/>
      <c r="AC3" s="68"/>
      <c r="AD3" s="69"/>
    </row>
    <row r="4" spans="1:30" ht="15" customHeight="1" x14ac:dyDescent="0.2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5"/>
    </row>
    <row r="5" spans="1:30" ht="15" customHeight="1" x14ac:dyDescent="0.2">
      <c r="A5" s="63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5"/>
    </row>
    <row r="6" spans="1:30" ht="15" customHeight="1" x14ac:dyDescent="0.2">
      <c r="A6" s="63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5"/>
    </row>
    <row r="7" spans="1:30" ht="15" customHeight="1" thickBot="1" x14ac:dyDescent="0.25">
      <c r="A7" s="70"/>
      <c r="B7" s="71"/>
      <c r="C7" s="71"/>
      <c r="D7" s="71"/>
      <c r="E7" s="71"/>
      <c r="F7" s="72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71"/>
      <c r="AB7" s="71"/>
      <c r="AC7" s="71"/>
      <c r="AD7" s="73"/>
    </row>
    <row r="8" spans="1:30" ht="15" customHeight="1" x14ac:dyDescent="0.2">
      <c r="A8" s="127" t="s">
        <v>0</v>
      </c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9"/>
    </row>
    <row r="9" spans="1:30" ht="15" customHeight="1" x14ac:dyDescent="0.2">
      <c r="A9" s="130"/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2"/>
    </row>
    <row r="10" spans="1:30" ht="15" customHeight="1" x14ac:dyDescent="0.2">
      <c r="A10" s="130"/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2"/>
    </row>
    <row r="11" spans="1:30" ht="15" customHeight="1" x14ac:dyDescent="0.2">
      <c r="A11" s="130"/>
      <c r="B11" s="131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2"/>
    </row>
    <row r="12" spans="1:30" ht="15" customHeight="1" x14ac:dyDescent="0.2">
      <c r="A12" s="130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2"/>
    </row>
    <row r="13" spans="1:30" ht="15" customHeight="1" x14ac:dyDescent="0.2">
      <c r="A13" s="130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2"/>
    </row>
    <row r="14" spans="1:30" ht="15" customHeight="1" x14ac:dyDescent="0.2">
      <c r="A14" s="130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2"/>
    </row>
    <row r="15" spans="1:30" ht="15" customHeight="1" x14ac:dyDescent="0.2">
      <c r="A15" s="130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2"/>
    </row>
    <row r="16" spans="1:30" ht="15" customHeight="1" x14ac:dyDescent="0.2">
      <c r="A16" s="130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2"/>
    </row>
    <row r="17" spans="1:30" ht="15" customHeight="1" x14ac:dyDescent="0.2">
      <c r="A17" s="130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2"/>
    </row>
    <row r="18" spans="1:30" ht="15" customHeight="1" x14ac:dyDescent="0.2">
      <c r="A18" s="130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2"/>
    </row>
    <row r="19" spans="1:30" ht="15" customHeight="1" x14ac:dyDescent="0.2">
      <c r="A19" s="130"/>
      <c r="B19" s="131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2"/>
    </row>
    <row r="20" spans="1:30" ht="15" customHeight="1" x14ac:dyDescent="0.2">
      <c r="A20" s="130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2"/>
    </row>
    <row r="21" spans="1:30" ht="15" customHeight="1" x14ac:dyDescent="0.2">
      <c r="A21" s="130"/>
      <c r="B21" s="131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2"/>
    </row>
    <row r="22" spans="1:30" ht="15" customHeight="1" x14ac:dyDescent="0.2">
      <c r="A22" s="130"/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2"/>
    </row>
    <row r="23" spans="1:30" ht="15" customHeight="1" x14ac:dyDescent="0.2">
      <c r="A23" s="130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2"/>
    </row>
    <row r="24" spans="1:30" ht="15" customHeight="1" x14ac:dyDescent="0.2">
      <c r="A24" s="130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2"/>
    </row>
    <row r="25" spans="1:30" ht="15" customHeight="1" x14ac:dyDescent="0.2">
      <c r="A25" s="130"/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2"/>
    </row>
    <row r="26" spans="1:30" ht="15" customHeight="1" x14ac:dyDescent="0.2">
      <c r="A26" s="130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2"/>
    </row>
    <row r="27" spans="1:30" ht="15" customHeight="1" x14ac:dyDescent="0.2">
      <c r="A27" s="130"/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2"/>
    </row>
    <row r="28" spans="1:30" ht="15" customHeight="1" x14ac:dyDescent="0.2">
      <c r="A28" s="130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2"/>
    </row>
    <row r="29" spans="1:30" ht="15" customHeight="1" x14ac:dyDescent="0.2">
      <c r="A29" s="130"/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2"/>
    </row>
    <row r="30" spans="1:30" ht="15" customHeight="1" x14ac:dyDescent="0.2">
      <c r="A30" s="130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2"/>
    </row>
    <row r="31" spans="1:30" ht="15" customHeight="1" x14ac:dyDescent="0.2">
      <c r="A31" s="130"/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2"/>
    </row>
    <row r="32" spans="1:30" ht="15" customHeight="1" x14ac:dyDescent="0.2">
      <c r="A32" s="130"/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2"/>
    </row>
    <row r="33" spans="1:30" ht="15" customHeight="1" x14ac:dyDescent="0.2">
      <c r="A33" s="130"/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2"/>
    </row>
    <row r="34" spans="1:30" ht="15" customHeight="1" x14ac:dyDescent="0.2">
      <c r="A34" s="130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2"/>
    </row>
    <row r="35" spans="1:30" ht="15" customHeight="1" x14ac:dyDescent="0.2">
      <c r="A35" s="130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2"/>
    </row>
    <row r="36" spans="1:30" ht="15" customHeight="1" x14ac:dyDescent="0.2">
      <c r="A36" s="130"/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2"/>
    </row>
    <row r="37" spans="1:30" ht="15" customHeight="1" x14ac:dyDescent="0.2">
      <c r="A37" s="130"/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2"/>
    </row>
    <row r="38" spans="1:30" ht="15" customHeight="1" x14ac:dyDescent="0.2">
      <c r="A38" s="130"/>
      <c r="B38" s="131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2"/>
    </row>
    <row r="39" spans="1:30" ht="15" customHeight="1" thickBot="1" x14ac:dyDescent="0.25">
      <c r="A39" s="133"/>
      <c r="B39" s="134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/>
      <c r="AB39" s="134"/>
      <c r="AC39" s="134"/>
      <c r="AD39" s="135"/>
    </row>
    <row r="40" spans="1:30" ht="30" customHeight="1" x14ac:dyDescent="0.2">
      <c r="A40" s="119"/>
      <c r="B40" s="120"/>
      <c r="C40" s="121"/>
      <c r="D40" s="122"/>
      <c r="E40" s="122"/>
      <c r="F40" s="123"/>
      <c r="G40" s="124"/>
      <c r="H40" s="125"/>
      <c r="I40" s="125"/>
      <c r="J40" s="125"/>
      <c r="K40" s="125"/>
      <c r="L40" s="125"/>
      <c r="M40" s="125"/>
      <c r="N40" s="125"/>
      <c r="O40" s="125"/>
      <c r="P40" s="116"/>
      <c r="Q40" s="117"/>
      <c r="R40" s="117"/>
      <c r="S40" s="117"/>
      <c r="T40" s="126"/>
      <c r="U40" s="116"/>
      <c r="V40" s="117"/>
      <c r="W40" s="117"/>
      <c r="X40" s="117"/>
      <c r="Y40" s="126"/>
      <c r="Z40" s="116"/>
      <c r="AA40" s="117"/>
      <c r="AB40" s="117"/>
      <c r="AC40" s="117"/>
      <c r="AD40" s="118"/>
    </row>
    <row r="41" spans="1:30" ht="30" customHeight="1" x14ac:dyDescent="0.2">
      <c r="A41" s="119"/>
      <c r="B41" s="120"/>
      <c r="C41" s="121"/>
      <c r="D41" s="122"/>
      <c r="E41" s="122"/>
      <c r="F41" s="123"/>
      <c r="G41" s="124"/>
      <c r="H41" s="125"/>
      <c r="I41" s="125"/>
      <c r="J41" s="125"/>
      <c r="K41" s="125"/>
      <c r="L41" s="125"/>
      <c r="M41" s="125"/>
      <c r="N41" s="125"/>
      <c r="O41" s="125"/>
      <c r="P41" s="116"/>
      <c r="Q41" s="117"/>
      <c r="R41" s="117"/>
      <c r="S41" s="117"/>
      <c r="T41" s="126"/>
      <c r="U41" s="116"/>
      <c r="V41" s="117"/>
      <c r="W41" s="117"/>
      <c r="X41" s="117"/>
      <c r="Y41" s="126"/>
      <c r="Z41" s="116"/>
      <c r="AA41" s="117"/>
      <c r="AB41" s="117"/>
      <c r="AC41" s="117"/>
      <c r="AD41" s="118"/>
    </row>
    <row r="42" spans="1:30" ht="30" customHeight="1" x14ac:dyDescent="0.2">
      <c r="A42" s="119"/>
      <c r="B42" s="120"/>
      <c r="C42" s="121"/>
      <c r="D42" s="122"/>
      <c r="E42" s="122"/>
      <c r="F42" s="123"/>
      <c r="G42" s="124"/>
      <c r="H42" s="125"/>
      <c r="I42" s="125"/>
      <c r="J42" s="125"/>
      <c r="K42" s="125"/>
      <c r="L42" s="125"/>
      <c r="M42" s="125"/>
      <c r="N42" s="125"/>
      <c r="O42" s="125"/>
      <c r="P42" s="116"/>
      <c r="Q42" s="117"/>
      <c r="R42" s="117"/>
      <c r="S42" s="117"/>
      <c r="T42" s="126"/>
      <c r="U42" s="116"/>
      <c r="V42" s="117"/>
      <c r="W42" s="117"/>
      <c r="X42" s="117"/>
      <c r="Y42" s="126"/>
      <c r="Z42" s="116"/>
      <c r="AA42" s="117"/>
      <c r="AB42" s="117"/>
      <c r="AC42" s="117"/>
      <c r="AD42" s="118"/>
    </row>
    <row r="43" spans="1:30" ht="30" customHeight="1" x14ac:dyDescent="0.2">
      <c r="A43" s="119"/>
      <c r="B43" s="120"/>
      <c r="C43" s="121"/>
      <c r="D43" s="122"/>
      <c r="E43" s="122"/>
      <c r="F43" s="123"/>
      <c r="G43" s="124"/>
      <c r="H43" s="125"/>
      <c r="I43" s="125"/>
      <c r="J43" s="125"/>
      <c r="K43" s="125"/>
      <c r="L43" s="125"/>
      <c r="M43" s="125"/>
      <c r="N43" s="125"/>
      <c r="O43" s="125"/>
      <c r="P43" s="116"/>
      <c r="Q43" s="117"/>
      <c r="R43" s="117"/>
      <c r="S43" s="117"/>
      <c r="T43" s="126"/>
      <c r="U43" s="116"/>
      <c r="V43" s="117"/>
      <c r="W43" s="117"/>
      <c r="X43" s="117"/>
      <c r="Y43" s="126"/>
      <c r="Z43" s="116"/>
      <c r="AA43" s="117"/>
      <c r="AB43" s="117"/>
      <c r="AC43" s="117"/>
      <c r="AD43" s="118"/>
    </row>
    <row r="44" spans="1:30" ht="30" customHeight="1" x14ac:dyDescent="0.2">
      <c r="A44" s="119">
        <v>2</v>
      </c>
      <c r="B44" s="120"/>
      <c r="C44" s="121">
        <v>45968</v>
      </c>
      <c r="D44" s="122"/>
      <c r="E44" s="122"/>
      <c r="F44" s="123"/>
      <c r="G44" s="124" t="s">
        <v>178</v>
      </c>
      <c r="H44" s="125"/>
      <c r="I44" s="125"/>
      <c r="J44" s="125"/>
      <c r="K44" s="125"/>
      <c r="L44" s="125"/>
      <c r="M44" s="125"/>
      <c r="N44" s="125"/>
      <c r="O44" s="125"/>
      <c r="P44" s="116" t="s">
        <v>2</v>
      </c>
      <c r="Q44" s="117"/>
      <c r="R44" s="117"/>
      <c r="S44" s="117"/>
      <c r="T44" s="126"/>
      <c r="U44" s="116" t="s">
        <v>3</v>
      </c>
      <c r="V44" s="117"/>
      <c r="W44" s="117"/>
      <c r="X44" s="117"/>
      <c r="Y44" s="126"/>
      <c r="Z44" s="116" t="s">
        <v>4</v>
      </c>
      <c r="AA44" s="117"/>
      <c r="AB44" s="117"/>
      <c r="AC44" s="117"/>
      <c r="AD44" s="118"/>
    </row>
    <row r="45" spans="1:30" ht="35.25" customHeight="1" x14ac:dyDescent="0.2">
      <c r="A45" s="119">
        <v>1</v>
      </c>
      <c r="B45" s="120"/>
      <c r="C45" s="121">
        <v>45792</v>
      </c>
      <c r="D45" s="122"/>
      <c r="E45" s="122"/>
      <c r="F45" s="123"/>
      <c r="G45" s="124" t="s">
        <v>1</v>
      </c>
      <c r="H45" s="125"/>
      <c r="I45" s="125"/>
      <c r="J45" s="125"/>
      <c r="K45" s="125"/>
      <c r="L45" s="125"/>
      <c r="M45" s="125"/>
      <c r="N45" s="125"/>
      <c r="O45" s="125"/>
      <c r="P45" s="116" t="s">
        <v>2</v>
      </c>
      <c r="Q45" s="117"/>
      <c r="R45" s="117"/>
      <c r="S45" s="117"/>
      <c r="T45" s="126"/>
      <c r="U45" s="116" t="s">
        <v>3</v>
      </c>
      <c r="V45" s="117"/>
      <c r="W45" s="117"/>
      <c r="X45" s="117"/>
      <c r="Y45" s="126"/>
      <c r="Z45" s="116" t="s">
        <v>4</v>
      </c>
      <c r="AA45" s="117"/>
      <c r="AB45" s="117"/>
      <c r="AC45" s="117"/>
      <c r="AD45" s="118"/>
    </row>
    <row r="46" spans="1:30" ht="30" customHeight="1" x14ac:dyDescent="0.2">
      <c r="A46" s="119">
        <v>0</v>
      </c>
      <c r="B46" s="120"/>
      <c r="C46" s="121">
        <v>45628</v>
      </c>
      <c r="D46" s="122"/>
      <c r="E46" s="122"/>
      <c r="F46" s="123"/>
      <c r="G46" s="124" t="s">
        <v>5</v>
      </c>
      <c r="H46" s="125"/>
      <c r="I46" s="125"/>
      <c r="J46" s="125"/>
      <c r="K46" s="125"/>
      <c r="L46" s="125"/>
      <c r="M46" s="125"/>
      <c r="N46" s="125"/>
      <c r="O46" s="125"/>
      <c r="P46" s="116" t="s">
        <v>6</v>
      </c>
      <c r="Q46" s="117"/>
      <c r="R46" s="117"/>
      <c r="S46" s="117"/>
      <c r="T46" s="126"/>
      <c r="U46" s="116" t="s">
        <v>7</v>
      </c>
      <c r="V46" s="117"/>
      <c r="W46" s="117"/>
      <c r="X46" s="117"/>
      <c r="Y46" s="126"/>
      <c r="Z46" s="116" t="s">
        <v>4</v>
      </c>
      <c r="AA46" s="117"/>
      <c r="AB46" s="117"/>
      <c r="AC46" s="117"/>
      <c r="AD46" s="118"/>
    </row>
    <row r="47" spans="1:30" ht="15" customHeight="1" thickBot="1" x14ac:dyDescent="0.25">
      <c r="A47" s="110" t="s">
        <v>8</v>
      </c>
      <c r="B47" s="111"/>
      <c r="C47" s="112" t="s">
        <v>9</v>
      </c>
      <c r="D47" s="113"/>
      <c r="E47" s="113"/>
      <c r="F47" s="114"/>
      <c r="G47" s="112" t="s">
        <v>10</v>
      </c>
      <c r="H47" s="113"/>
      <c r="I47" s="113"/>
      <c r="J47" s="113"/>
      <c r="K47" s="113"/>
      <c r="L47" s="113"/>
      <c r="M47" s="113"/>
      <c r="N47" s="113"/>
      <c r="O47" s="113"/>
      <c r="P47" s="112" t="s">
        <v>11</v>
      </c>
      <c r="Q47" s="113"/>
      <c r="R47" s="113"/>
      <c r="S47" s="113"/>
      <c r="T47" s="114"/>
      <c r="U47" s="112" t="s">
        <v>12</v>
      </c>
      <c r="V47" s="113"/>
      <c r="W47" s="113"/>
      <c r="X47" s="113"/>
      <c r="Y47" s="113"/>
      <c r="Z47" s="112" t="s">
        <v>13</v>
      </c>
      <c r="AA47" s="113"/>
      <c r="AB47" s="113"/>
      <c r="AC47" s="113"/>
      <c r="AD47" s="115"/>
    </row>
    <row r="48" spans="1:30" ht="15" customHeight="1" thickBot="1" x14ac:dyDescent="0.25">
      <c r="A48" s="107" t="s">
        <v>192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9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D94F7-54FB-4BD0-A7EA-0A2D8D83335E}">
  <sheetPr codeName="Foglio1"/>
  <dimension ref="B2:AK39"/>
  <sheetViews>
    <sheetView zoomScaleNormal="100" workbookViewId="0"/>
  </sheetViews>
  <sheetFormatPr defaultRowHeight="14.4" x14ac:dyDescent="0.3"/>
  <cols>
    <col min="1" max="1" width="2.6640625" customWidth="1"/>
    <col min="2" max="2" width="11.109375" bestFit="1" customWidth="1"/>
    <col min="3" max="3" width="25.6640625" customWidth="1"/>
    <col min="4" max="5" width="16.6640625" customWidth="1"/>
    <col min="12" max="12" width="9.33203125" bestFit="1" customWidth="1"/>
    <col min="17" max="23" width="9.109375" hidden="1" customWidth="1"/>
    <col min="35" max="35" width="10.6640625" bestFit="1" customWidth="1"/>
  </cols>
  <sheetData>
    <row r="2" spans="2:37" ht="30" customHeight="1" x14ac:dyDescent="0.3">
      <c r="B2" s="51" t="s">
        <v>14</v>
      </c>
      <c r="C2" s="35" t="s">
        <v>15</v>
      </c>
      <c r="D2" s="40" t="s">
        <v>16</v>
      </c>
      <c r="H2" s="29" t="s">
        <v>17</v>
      </c>
      <c r="I2" s="29">
        <f>C27</f>
        <v>25</v>
      </c>
      <c r="J2" s="29" t="s">
        <v>18</v>
      </c>
      <c r="K2" s="27">
        <f>I4-(C19-SQRT(C19^2-I2^2))/2-I6</f>
        <v>6.6122918275927107</v>
      </c>
      <c r="Q2" s="29" t="s">
        <v>19</v>
      </c>
      <c r="R2" s="29" t="s">
        <v>20</v>
      </c>
      <c r="S2" s="29" t="s">
        <v>21</v>
      </c>
      <c r="T2" s="29" t="s">
        <v>22</v>
      </c>
      <c r="U2" s="29" t="s">
        <v>23</v>
      </c>
      <c r="V2" s="29" t="s">
        <v>19</v>
      </c>
      <c r="W2" s="29" t="s">
        <v>24</v>
      </c>
      <c r="AI2" s="31" t="s">
        <v>25</v>
      </c>
    </row>
    <row r="3" spans="2:37" ht="30" customHeight="1" x14ac:dyDescent="0.3">
      <c r="B3" s="51" t="s">
        <v>26</v>
      </c>
      <c r="C3" s="35" t="s">
        <v>27</v>
      </c>
      <c r="D3" s="40" t="s">
        <v>16</v>
      </c>
      <c r="H3" s="29" t="s">
        <v>28</v>
      </c>
      <c r="I3" s="29">
        <f>C28</f>
        <v>14</v>
      </c>
      <c r="J3" s="29" t="s">
        <v>29</v>
      </c>
      <c r="K3" s="27">
        <f>I3-K2-2*I6</f>
        <v>5.7877081724072887</v>
      </c>
      <c r="Q3" s="29">
        <v>5.0000000000000001E-3</v>
      </c>
      <c r="R3" s="29">
        <v>3.4</v>
      </c>
      <c r="S3" s="29">
        <f t="shared" ref="S3:S29" si="0">1.953+0.1434*(0.1/Q3)-0.0021*(0.1/Q3)^2</f>
        <v>3.9809999999999999</v>
      </c>
      <c r="T3" s="29">
        <v>1.7</v>
      </c>
      <c r="U3" s="29"/>
      <c r="V3" s="48">
        <f>$C$34</f>
        <v>0.01</v>
      </c>
      <c r="W3" s="29">
        <v>0</v>
      </c>
      <c r="AI3" s="32" t="s">
        <v>30</v>
      </c>
    </row>
    <row r="4" spans="2:37" ht="30" customHeight="1" x14ac:dyDescent="0.3">
      <c r="B4" s="51" t="s">
        <v>31</v>
      </c>
      <c r="C4" s="36" cm="1">
        <f t="array" ref="C4">VLOOKUP(C2,tables!B5:F7,_xlfn.IFS(C3=tables!C4,2,C3=tables!D4,3,C3=tables!E4,4,C3=tables!F4,5),FALSE)</f>
        <v>1.2</v>
      </c>
      <c r="D4" s="42" t="s">
        <v>32</v>
      </c>
      <c r="H4" s="29" t="s">
        <v>33</v>
      </c>
      <c r="I4" s="29">
        <f>C29</f>
        <v>9</v>
      </c>
      <c r="J4" s="29" t="s">
        <v>34</v>
      </c>
      <c r="K4" s="27">
        <f>2*C4*C6/C9*C18*1000/(SQRT(C19^2-I2^2)-K2)</f>
        <v>33254.891758357997</v>
      </c>
      <c r="Q4" s="29">
        <v>7.4999999999999997E-3</v>
      </c>
      <c r="R4" s="29">
        <v>3.4</v>
      </c>
      <c r="S4" s="29">
        <f t="shared" si="0"/>
        <v>3.4916666666666667</v>
      </c>
      <c r="T4" s="29">
        <v>1.7</v>
      </c>
      <c r="U4" s="29">
        <f t="shared" ref="U4:U21" si="1">1101346.19363354*Q4^4-159464.156575113*Q4^3+8741.69034230514*Q4^2-228.485554267552*Q4+5.21083020853696</f>
        <v>3.9251194204206517</v>
      </c>
      <c r="V4" s="48">
        <f t="shared" ref="V4" si="2">$C$34</f>
        <v>0.01</v>
      </c>
      <c r="W4" s="47">
        <f>MAX(C36:C39)</f>
        <v>3.6516930054531764</v>
      </c>
      <c r="AI4" s="33" t="s">
        <v>35</v>
      </c>
    </row>
    <row r="5" spans="2:37" ht="30" customHeight="1" x14ac:dyDescent="0.3">
      <c r="B5" s="51" t="s">
        <v>36</v>
      </c>
      <c r="C5" s="35" t="s">
        <v>37</v>
      </c>
      <c r="D5" s="40" t="s">
        <v>38</v>
      </c>
      <c r="H5" s="29" t="s">
        <v>39</v>
      </c>
      <c r="I5" s="29">
        <f>C30</f>
        <v>5.4</v>
      </c>
      <c r="J5" s="29" t="s">
        <v>40</v>
      </c>
      <c r="K5" s="27">
        <f>2*C4*C6/C9*C18*1000/(SQRT(C19^2-I2^2)+K3)</f>
        <v>29236.263478458743</v>
      </c>
      <c r="Q5" s="29">
        <v>0.01</v>
      </c>
      <c r="R5" s="29">
        <v>3.4</v>
      </c>
      <c r="S5" s="29">
        <f t="shared" si="0"/>
        <v>3.177</v>
      </c>
      <c r="T5" s="29">
        <v>1.7</v>
      </c>
      <c r="U5" s="29">
        <f t="shared" si="1"/>
        <v>3.6516930054531764</v>
      </c>
      <c r="V5" s="48">
        <v>2.0799999999999999E-2</v>
      </c>
      <c r="W5" s="29">
        <v>0</v>
      </c>
      <c r="AI5" s="34" t="s">
        <v>41</v>
      </c>
    </row>
    <row r="6" spans="2:37" ht="30" customHeight="1" x14ac:dyDescent="0.3">
      <c r="B6" s="51" t="s">
        <v>42</v>
      </c>
      <c r="C6" s="36">
        <f>VLOOKUP(C5,tables!B10:F12,5,FALSE)</f>
        <v>1</v>
      </c>
      <c r="D6" s="40" t="s">
        <v>43</v>
      </c>
      <c r="H6" s="29" t="s">
        <v>44</v>
      </c>
      <c r="I6" s="29">
        <f>C31</f>
        <v>0.8</v>
      </c>
      <c r="J6" s="3" t="s">
        <v>45</v>
      </c>
      <c r="K6" s="27">
        <f>_xlfn.CEILING.MATH(SQRT(I2^2/4+(C19/2+I5)^2))</f>
        <v>57</v>
      </c>
      <c r="Q6" s="29">
        <v>1.2500000000000001E-2</v>
      </c>
      <c r="R6" s="29">
        <v>3.4</v>
      </c>
      <c r="S6" s="29">
        <f t="shared" si="0"/>
        <v>2.9658000000000002</v>
      </c>
      <c r="T6" s="29">
        <v>1.7</v>
      </c>
      <c r="U6" s="29">
        <f t="shared" si="1"/>
        <v>3.4360848001724769</v>
      </c>
      <c r="V6" s="48">
        <v>2.0799999999999999E-2</v>
      </c>
      <c r="W6" s="47">
        <v>3.4</v>
      </c>
      <c r="AI6" s="44" t="s">
        <v>46</v>
      </c>
    </row>
    <row r="7" spans="2:37" ht="30" customHeight="1" x14ac:dyDescent="0.3">
      <c r="B7" s="51" t="s">
        <v>47</v>
      </c>
      <c r="C7" s="37">
        <v>1000000</v>
      </c>
      <c r="D7" s="42" t="s">
        <v>48</v>
      </c>
      <c r="Q7" s="29">
        <v>1.4999999999999999E-2</v>
      </c>
      <c r="R7" s="29">
        <v>3.4</v>
      </c>
      <c r="S7" s="29">
        <f t="shared" si="0"/>
        <v>2.815666666666667</v>
      </c>
      <c r="T7" s="29">
        <v>1.7</v>
      </c>
      <c r="U7" s="29">
        <f t="shared" si="1"/>
        <v>3.2679913441540283</v>
      </c>
      <c r="V7" s="47"/>
      <c r="W7" s="47"/>
    </row>
    <row r="8" spans="2:37" ht="30" customHeight="1" x14ac:dyDescent="0.3">
      <c r="B8" s="51" t="s">
        <v>49</v>
      </c>
      <c r="C8" s="35" t="s">
        <v>50</v>
      </c>
      <c r="D8" s="40" t="s">
        <v>51</v>
      </c>
      <c r="Q8" s="29">
        <v>1.7500000000000002E-2</v>
      </c>
      <c r="R8" s="29">
        <v>3.4</v>
      </c>
      <c r="S8" s="29">
        <f t="shared" si="0"/>
        <v>2.7038571428571432</v>
      </c>
      <c r="T8" s="29">
        <v>1.7</v>
      </c>
      <c r="U8" s="29">
        <f t="shared" si="1"/>
        <v>3.1381416890298359</v>
      </c>
      <c r="V8" s="29"/>
      <c r="W8" s="29"/>
      <c r="AI8" s="137" t="s">
        <v>52</v>
      </c>
      <c r="AJ8" s="137"/>
      <c r="AK8" s="137"/>
    </row>
    <row r="9" spans="2:37" ht="30" customHeight="1" x14ac:dyDescent="0.3">
      <c r="B9" s="51" t="s">
        <v>53</v>
      </c>
      <c r="C9" s="36" cm="1">
        <f t="array" ref="C9">VLOOKUP(C7,tables!B16:D20,_xlfn.IFS(C8=tables!C15,2,C8=tables!D15,3),FALSE)</f>
        <v>0.4</v>
      </c>
      <c r="D9" s="40" t="s">
        <v>54</v>
      </c>
      <c r="Q9" s="29">
        <v>0.02</v>
      </c>
      <c r="R9" s="29">
        <v>3.4</v>
      </c>
      <c r="S9" s="29">
        <f t="shared" si="0"/>
        <v>2.6174999999999997</v>
      </c>
      <c r="T9" s="29">
        <v>1.7</v>
      </c>
      <c r="U9" s="29">
        <f t="shared" si="1"/>
        <v>3.0382973984884387</v>
      </c>
      <c r="V9" s="29"/>
      <c r="W9" s="29"/>
      <c r="AI9" s="56">
        <v>0</v>
      </c>
      <c r="AJ9" s="136" t="s">
        <v>55</v>
      </c>
      <c r="AK9" s="136"/>
    </row>
    <row r="10" spans="2:37" ht="30" customHeight="1" x14ac:dyDescent="0.3">
      <c r="B10" s="51" t="s">
        <v>56</v>
      </c>
      <c r="C10" s="41">
        <v>1.5</v>
      </c>
      <c r="D10" s="42" t="s">
        <v>57</v>
      </c>
      <c r="Q10" s="29">
        <v>2.2499999999999999E-2</v>
      </c>
      <c r="R10" s="29">
        <v>3.4</v>
      </c>
      <c r="S10" s="29">
        <f t="shared" si="0"/>
        <v>2.5488518518518521</v>
      </c>
      <c r="T10" s="29">
        <v>1.7</v>
      </c>
      <c r="U10" s="29">
        <f t="shared" si="1"/>
        <v>2.9612525482749037</v>
      </c>
      <c r="V10" s="29"/>
      <c r="W10" s="29"/>
      <c r="AI10" s="56">
        <v>0.5</v>
      </c>
      <c r="AJ10" s="138" t="s">
        <v>58</v>
      </c>
      <c r="AK10" s="138"/>
    </row>
    <row r="11" spans="2:37" ht="30" customHeight="1" x14ac:dyDescent="0.3">
      <c r="B11" s="51" t="s">
        <v>186</v>
      </c>
      <c r="C11" s="41">
        <v>10</v>
      </c>
      <c r="D11" s="42" t="s">
        <v>190</v>
      </c>
      <c r="Q11" s="29">
        <v>2.5000000000000001E-2</v>
      </c>
      <c r="R11" s="29">
        <v>3.4</v>
      </c>
      <c r="S11" s="29">
        <f t="shared" si="0"/>
        <v>2.4930000000000003</v>
      </c>
      <c r="T11" s="29">
        <v>1.7</v>
      </c>
      <c r="U11" s="29">
        <f t="shared" si="1"/>
        <v>2.9008337261908341</v>
      </c>
      <c r="V11" s="29"/>
      <c r="W11" s="29"/>
      <c r="AI11" s="56">
        <v>1</v>
      </c>
      <c r="AJ11" s="138" t="s">
        <v>59</v>
      </c>
      <c r="AK11" s="138"/>
    </row>
    <row r="12" spans="2:37" ht="30" customHeight="1" x14ac:dyDescent="0.3">
      <c r="F12" s="28"/>
      <c r="Q12" s="29">
        <v>2.75E-2</v>
      </c>
      <c r="R12" s="29">
        <v>3.4</v>
      </c>
      <c r="S12" s="29">
        <f t="shared" si="0"/>
        <v>2.4466859504132232</v>
      </c>
      <c r="T12" s="29">
        <v>1.7</v>
      </c>
      <c r="U12" s="29">
        <f t="shared" si="1"/>
        <v>2.8519000320943584</v>
      </c>
      <c r="V12" s="29"/>
      <c r="W12" s="29"/>
      <c r="AI12" s="58"/>
      <c r="AJ12" s="136" t="s">
        <v>55</v>
      </c>
      <c r="AK12" s="136"/>
    </row>
    <row r="13" spans="2:37" ht="30" customHeight="1" x14ac:dyDescent="0.3">
      <c r="C13" s="39" t="s">
        <v>60</v>
      </c>
      <c r="D13" s="39" t="s">
        <v>61</v>
      </c>
      <c r="E13" s="50" t="s">
        <v>62</v>
      </c>
      <c r="F13" s="30"/>
      <c r="Q13" s="29">
        <v>0.03</v>
      </c>
      <c r="R13" s="29">
        <v>3.4</v>
      </c>
      <c r="S13" s="29">
        <f t="shared" si="0"/>
        <v>2.4076666666666666</v>
      </c>
      <c r="T13" s="29">
        <v>1.7</v>
      </c>
      <c r="U13" s="29">
        <f t="shared" si="1"/>
        <v>2.8103430779001428</v>
      </c>
      <c r="V13" s="29"/>
      <c r="W13" s="29"/>
      <c r="AI13" s="57"/>
      <c r="AJ13" s="138" t="s">
        <v>59</v>
      </c>
      <c r="AK13" s="138"/>
    </row>
    <row r="14" spans="2:37" ht="30" customHeight="1" x14ac:dyDescent="0.3">
      <c r="B14" s="51" t="s">
        <v>63</v>
      </c>
      <c r="C14" s="41" t="s">
        <v>64</v>
      </c>
      <c r="D14" s="41">
        <v>200</v>
      </c>
      <c r="E14" s="41">
        <v>400</v>
      </c>
      <c r="F14" s="30"/>
      <c r="Q14" s="29">
        <v>3.2500000000000001E-2</v>
      </c>
      <c r="R14" s="29">
        <v>3.4</v>
      </c>
      <c r="S14" s="29">
        <f t="shared" si="0"/>
        <v>2.3743491124260356</v>
      </c>
      <c r="T14" s="29">
        <v>1.7</v>
      </c>
      <c r="U14" s="29">
        <f t="shared" si="1"/>
        <v>2.7730869875793802</v>
      </c>
      <c r="V14" s="29"/>
      <c r="W14" s="29"/>
    </row>
    <row r="15" spans="2:37" ht="30" customHeight="1" x14ac:dyDescent="0.3">
      <c r="B15" s="51" t="s">
        <v>65</v>
      </c>
      <c r="C15" s="41" t="s">
        <v>64</v>
      </c>
      <c r="D15" s="41">
        <v>300</v>
      </c>
      <c r="E15" s="41">
        <v>500</v>
      </c>
      <c r="F15" s="30"/>
      <c r="Q15" s="29">
        <v>3.5000000000000003E-2</v>
      </c>
      <c r="R15" s="29">
        <v>3.4</v>
      </c>
      <c r="S15" s="29">
        <f t="shared" si="0"/>
        <v>2.3455714285714282</v>
      </c>
      <c r="T15" s="29">
        <v>1.7</v>
      </c>
      <c r="U15" s="29">
        <f t="shared" si="1"/>
        <v>2.7380883971597978</v>
      </c>
      <c r="V15" s="29"/>
      <c r="W15" s="29"/>
      <c r="X15" s="29"/>
    </row>
    <row r="16" spans="2:37" ht="30" customHeight="1" x14ac:dyDescent="0.3">
      <c r="B16" s="51" t="s">
        <v>66</v>
      </c>
      <c r="C16" s="41" t="s">
        <v>64</v>
      </c>
      <c r="D16" s="41">
        <v>200</v>
      </c>
      <c r="E16" s="41">
        <v>400</v>
      </c>
      <c r="Q16" s="29">
        <v>3.7499999999999999E-2</v>
      </c>
      <c r="R16" s="29">
        <v>3.4</v>
      </c>
      <c r="S16" s="29">
        <f t="shared" si="0"/>
        <v>2.3204666666666665</v>
      </c>
      <c r="T16" s="29">
        <v>1.7</v>
      </c>
      <c r="U16" s="29">
        <f t="shared" si="1"/>
        <v>2.7043364547256541</v>
      </c>
      <c r="V16" s="29"/>
      <c r="W16" s="29"/>
      <c r="X16" s="29"/>
    </row>
    <row r="17" spans="2:24" ht="30" customHeight="1" x14ac:dyDescent="0.3">
      <c r="I17" s="152" t="s">
        <v>69</v>
      </c>
      <c r="J17" s="152"/>
      <c r="K17" s="152" t="s">
        <v>191</v>
      </c>
      <c r="L17" s="152"/>
      <c r="Q17" s="29">
        <v>0.04</v>
      </c>
      <c r="R17" s="29">
        <v>3.4</v>
      </c>
      <c r="S17" s="29">
        <f t="shared" si="0"/>
        <v>2.2983750000000001</v>
      </c>
      <c r="T17" s="29">
        <v>1.7</v>
      </c>
      <c r="U17" s="29">
        <f t="shared" si="1"/>
        <v>2.671852820417735</v>
      </c>
      <c r="V17" s="29"/>
      <c r="W17" s="29"/>
      <c r="X17" s="29"/>
    </row>
    <row r="18" spans="2:24" ht="30" customHeight="1" x14ac:dyDescent="0.3">
      <c r="B18" s="51" t="s">
        <v>67</v>
      </c>
      <c r="C18" s="41">
        <v>500</v>
      </c>
      <c r="D18" s="142" t="s">
        <v>68</v>
      </c>
      <c r="E18" s="143"/>
      <c r="G18" s="139" t="s">
        <v>72</v>
      </c>
      <c r="H18" s="140"/>
      <c r="I18" s="38">
        <f>16*C4*C6/C9*C18*1000/PI()/C35^3</f>
        <v>10.137647638259667</v>
      </c>
      <c r="J18" s="49">
        <f>I18/(D14/C10/SQRT(3))</f>
        <v>0.13169190584022281</v>
      </c>
      <c r="K18" s="38">
        <f>C11*I18*$C$9/$C$4</f>
        <v>33.79215879419889</v>
      </c>
      <c r="L18" s="49">
        <f>K18/(E14/SQRT(3))</f>
        <v>0.14632433982246981</v>
      </c>
      <c r="M18" s="141" t="s">
        <v>73</v>
      </c>
      <c r="N18" s="141"/>
      <c r="O18" s="141"/>
      <c r="P18" s="53"/>
      <c r="Q18" s="29">
        <v>4.2500000000000003E-2</v>
      </c>
      <c r="R18" s="29">
        <v>3.4</v>
      </c>
      <c r="S18" s="29">
        <f t="shared" si="0"/>
        <v>2.2787854671280279</v>
      </c>
      <c r="T18" s="29">
        <v>1.7</v>
      </c>
      <c r="U18" s="29">
        <f t="shared" si="1"/>
        <v>2.6416916664333634</v>
      </c>
      <c r="V18" s="29"/>
      <c r="W18" s="29"/>
      <c r="X18" s="29"/>
    </row>
    <row r="19" spans="2:24" ht="30" customHeight="1" x14ac:dyDescent="0.3">
      <c r="B19" s="51" t="s">
        <v>70</v>
      </c>
      <c r="C19" s="41">
        <v>100</v>
      </c>
      <c r="D19" s="142" t="s">
        <v>71</v>
      </c>
      <c r="E19" s="143"/>
      <c r="G19" s="139" t="s">
        <v>76</v>
      </c>
      <c r="H19" s="140"/>
      <c r="I19" s="38">
        <f>K4/I2/C32</f>
        <v>16.627445879179</v>
      </c>
      <c r="J19" s="49">
        <f>I19/(D15/C10/SQRT(3))</f>
        <v>0.14399790531419893</v>
      </c>
      <c r="K19" s="38">
        <f>C11*I19*$C$9/$C$4</f>
        <v>55.424819597263337</v>
      </c>
      <c r="L19" s="49">
        <f>K19/(E15/SQRT(3))</f>
        <v>0.19199720708559859</v>
      </c>
      <c r="M19" s="141" t="s">
        <v>77</v>
      </c>
      <c r="N19" s="141"/>
      <c r="O19" s="141"/>
      <c r="P19" s="53"/>
      <c r="Q19" s="29">
        <v>4.4999999999999998E-2</v>
      </c>
      <c r="R19" s="29">
        <v>3.4</v>
      </c>
      <c r="S19" s="29">
        <f t="shared" si="0"/>
        <v>2.2612962962962961</v>
      </c>
      <c r="T19" s="29">
        <v>1.7</v>
      </c>
      <c r="U19" s="29">
        <f t="shared" si="1"/>
        <v>2.6159396770263896</v>
      </c>
      <c r="V19" s="29"/>
      <c r="W19" s="29"/>
    </row>
    <row r="20" spans="2:24" ht="30" customHeight="1" x14ac:dyDescent="0.3">
      <c r="B20" s="51" t="s">
        <v>74</v>
      </c>
      <c r="C20" s="41">
        <v>137</v>
      </c>
      <c r="D20" s="142" t="s">
        <v>75</v>
      </c>
      <c r="E20" s="143"/>
      <c r="G20" s="139" t="s">
        <v>80</v>
      </c>
      <c r="H20" s="140"/>
      <c r="I20" s="38">
        <f>K4/C32/K2</f>
        <v>62.865668639251638</v>
      </c>
      <c r="J20" s="49">
        <f>I20/(MIN(D14,D15)/C10)</f>
        <v>0.47149251479438725</v>
      </c>
      <c r="K20" s="38">
        <f>C11*I20*$C$9/$C$4</f>
        <v>209.55222879750548</v>
      </c>
      <c r="L20" s="49">
        <f>K20/(MIN(E14,E15))</f>
        <v>0.5238805719937637</v>
      </c>
      <c r="M20" s="141" t="s">
        <v>81</v>
      </c>
      <c r="N20" s="141"/>
      <c r="O20" s="141"/>
      <c r="P20" s="53"/>
      <c r="Q20" s="29">
        <v>4.7500000000000001E-2</v>
      </c>
      <c r="R20" s="29">
        <v>3.4</v>
      </c>
      <c r="S20" s="29">
        <f t="shared" si="0"/>
        <v>2.2455872576177285</v>
      </c>
      <c r="T20" s="29">
        <v>1.7</v>
      </c>
      <c r="U20" s="29">
        <f t="shared" si="1"/>
        <v>2.5977160485072002</v>
      </c>
      <c r="V20" s="29"/>
      <c r="W20" s="29"/>
    </row>
    <row r="21" spans="2:24" ht="30" customHeight="1" x14ac:dyDescent="0.3">
      <c r="B21" s="51" t="s">
        <v>78</v>
      </c>
      <c r="C21" s="45">
        <f>_xlfn.CEILING.MATH(SQRT(I2^2/4+(C19/2+I5)^2))</f>
        <v>57</v>
      </c>
      <c r="D21" s="142" t="s">
        <v>79</v>
      </c>
      <c r="E21" s="143"/>
      <c r="G21" s="139" t="s">
        <v>83</v>
      </c>
      <c r="H21" s="140"/>
      <c r="I21" s="38">
        <f>K5/C32/K3</f>
        <v>63.143006280624341</v>
      </c>
      <c r="J21" s="49">
        <f>I21/(MIN(D16,D15)/C10)</f>
        <v>0.47357254710468255</v>
      </c>
      <c r="K21" s="38">
        <f>C11*I21*$C$9/$C$4</f>
        <v>210.47668760208117</v>
      </c>
      <c r="L21" s="49">
        <f>K21/(MIN(E16,E15))</f>
        <v>0.5261917190052029</v>
      </c>
      <c r="M21" s="141" t="s">
        <v>84</v>
      </c>
      <c r="N21" s="141"/>
      <c r="O21" s="141"/>
      <c r="P21" s="53"/>
      <c r="Q21" s="29">
        <v>0.05</v>
      </c>
      <c r="R21" s="29">
        <v>3.4</v>
      </c>
      <c r="S21" s="29">
        <f t="shared" si="0"/>
        <v>2.2314000000000003</v>
      </c>
      <c r="T21" s="29">
        <v>1.7</v>
      </c>
      <c r="U21" s="29">
        <f t="shared" si="1"/>
        <v>2.5911724892427141</v>
      </c>
      <c r="V21" s="29"/>
      <c r="W21" s="29"/>
    </row>
    <row r="22" spans="2:24" ht="30" customHeight="1" x14ac:dyDescent="0.3">
      <c r="B22" s="51" t="s">
        <v>82</v>
      </c>
      <c r="C22" s="45">
        <f>2*C21</f>
        <v>114</v>
      </c>
      <c r="D22" s="142" t="s">
        <v>79</v>
      </c>
      <c r="E22" s="143"/>
      <c r="G22" s="139" t="s">
        <v>86</v>
      </c>
      <c r="H22" s="140"/>
      <c r="I22" s="38">
        <f>16*C4*C6/C9*C18*1000/PI()/C19^3*C36</f>
        <v>25.974086712597316</v>
      </c>
      <c r="J22" s="49">
        <f>I22/(D14/C10)</f>
        <v>0.19480565034447986</v>
      </c>
      <c r="K22" s="38">
        <f>C11*I22*$C$9/$C$4</f>
        <v>86.580289041991065</v>
      </c>
      <c r="L22" s="49">
        <f>K22/(E14)</f>
        <v>0.21645072260497766</v>
      </c>
      <c r="M22" s="141" t="s">
        <v>87</v>
      </c>
      <c r="N22" s="141"/>
      <c r="O22" s="141"/>
      <c r="P22" s="53"/>
      <c r="Q22" s="29">
        <v>5.2499999999999998E-2</v>
      </c>
      <c r="R22" s="29">
        <v>3.4</v>
      </c>
      <c r="S22" s="29">
        <f t="shared" si="0"/>
        <v>2.21852380952381</v>
      </c>
      <c r="T22" s="29">
        <v>1.7</v>
      </c>
      <c r="U22" s="29"/>
      <c r="V22" s="29"/>
      <c r="W22" s="29"/>
    </row>
    <row r="23" spans="2:24" ht="30" customHeight="1" x14ac:dyDescent="0.3">
      <c r="B23" s="153" t="s">
        <v>65</v>
      </c>
      <c r="C23" s="41" t="s">
        <v>189</v>
      </c>
      <c r="D23" s="144" t="s">
        <v>85</v>
      </c>
      <c r="E23" s="145"/>
      <c r="G23" s="139" t="s">
        <v>90</v>
      </c>
      <c r="H23" s="140"/>
      <c r="I23" s="38">
        <f>16*C4*C6/C9*C18*1000/PI()/C19^3*C37</f>
        <v>12.987043356298658</v>
      </c>
      <c r="J23" s="49">
        <f>I23/(D14/C10/SQRT(3))</f>
        <v>0.16870664199906835</v>
      </c>
      <c r="K23" s="38">
        <f>C11*I23*$C$9/$C$4</f>
        <v>43.290144520995533</v>
      </c>
      <c r="L23" s="49">
        <f>K23/(E14/SQRT(3))</f>
        <v>0.1874518244434093</v>
      </c>
      <c r="M23" s="141" t="s">
        <v>91</v>
      </c>
      <c r="N23" s="141"/>
      <c r="O23" s="141"/>
      <c r="P23" s="53"/>
      <c r="Q23" s="29">
        <v>5.5E-2</v>
      </c>
      <c r="R23" s="29">
        <v>3.4</v>
      </c>
      <c r="S23" s="29">
        <f t="shared" si="0"/>
        <v>2.206785123966942</v>
      </c>
      <c r="T23" s="29">
        <v>1.7</v>
      </c>
      <c r="U23" s="29"/>
      <c r="V23" s="29"/>
      <c r="W23" s="29"/>
    </row>
    <row r="24" spans="2:24" ht="30" customHeight="1" x14ac:dyDescent="0.3">
      <c r="B24" s="154"/>
      <c r="C24" s="105" t="b">
        <v>0</v>
      </c>
      <c r="D24" s="144" t="s">
        <v>185</v>
      </c>
      <c r="E24" s="145"/>
      <c r="G24" s="139" t="s">
        <v>92</v>
      </c>
      <c r="H24" s="140"/>
      <c r="I24" s="38">
        <f>16*C4*C6/C9*C18*1000/PI()/C19^3*C39</f>
        <v>27.896879638654678</v>
      </c>
      <c r="J24" s="49">
        <f>I24/(D14/C10)</f>
        <v>0.20922659728991008</v>
      </c>
      <c r="K24" s="38">
        <f>C11*I24*$C$9/$C$4</f>
        <v>92.989598795515604</v>
      </c>
      <c r="L24" s="49">
        <f>K24/(E14)</f>
        <v>0.23247399698878901</v>
      </c>
      <c r="M24" s="141" t="s">
        <v>93</v>
      </c>
      <c r="N24" s="141"/>
      <c r="O24" s="141"/>
      <c r="P24" s="53"/>
      <c r="Q24" s="29">
        <v>5.7500000000000002E-2</v>
      </c>
      <c r="R24" s="29">
        <v>3.4</v>
      </c>
      <c r="S24" s="29">
        <f t="shared" si="0"/>
        <v>2.1960396975425329</v>
      </c>
      <c r="T24" s="29">
        <v>1.7</v>
      </c>
      <c r="U24" s="29"/>
      <c r="V24" s="29"/>
      <c r="W24" s="29"/>
    </row>
    <row r="25" spans="2:24" ht="30" customHeight="1" x14ac:dyDescent="0.3">
      <c r="B25" s="51" t="s">
        <v>184</v>
      </c>
      <c r="C25" s="106">
        <f>VLOOKUP($C$23,'key dimensions'!$B$4:$I$37,2,FALSE)</f>
        <v>85</v>
      </c>
      <c r="D25" s="144" t="s">
        <v>188</v>
      </c>
      <c r="E25" s="145"/>
      <c r="G25" s="139" t="s">
        <v>95</v>
      </c>
      <c r="H25" s="140"/>
      <c r="I25" s="38">
        <f>16*C4*C6/C9*C18*1000/PI()/C19^3*C39</f>
        <v>27.896879638654678</v>
      </c>
      <c r="J25" s="49">
        <f>I25/(D14/C10/SQRT(3))</f>
        <v>0.362391096800877</v>
      </c>
      <c r="K25" s="38">
        <f>C11*I25*$C$9/$C$4</f>
        <v>92.989598795515604</v>
      </c>
      <c r="L25" s="49">
        <f>K25/(E14/SQRT(3))</f>
        <v>0.40265677422319673</v>
      </c>
      <c r="M25" s="141" t="s">
        <v>96</v>
      </c>
      <c r="N25" s="141"/>
      <c r="O25" s="141"/>
      <c r="P25" s="53"/>
      <c r="Q25" s="29">
        <v>0.06</v>
      </c>
      <c r="R25" s="29">
        <v>3.4</v>
      </c>
      <c r="S25" s="29">
        <f t="shared" si="0"/>
        <v>2.1861666666666668</v>
      </c>
      <c r="T25" s="29">
        <v>1.7</v>
      </c>
      <c r="U25" s="29"/>
      <c r="V25" s="29"/>
      <c r="W25" s="29"/>
    </row>
    <row r="26" spans="2:24" ht="30" customHeight="1" x14ac:dyDescent="0.3">
      <c r="B26" s="51" t="s">
        <v>184</v>
      </c>
      <c r="C26" s="106">
        <f>VLOOKUP($C$23,'key dimensions'!$B$4:$I$37,3,FALSE)</f>
        <v>95</v>
      </c>
      <c r="D26" s="144" t="s">
        <v>187</v>
      </c>
      <c r="E26" s="145"/>
      <c r="Q26" s="29">
        <v>6.25E-2</v>
      </c>
      <c r="R26" s="29">
        <v>3.4</v>
      </c>
      <c r="S26" s="29">
        <f t="shared" si="0"/>
        <v>2.1770640000000001</v>
      </c>
      <c r="T26" s="29">
        <v>1.7</v>
      </c>
      <c r="U26" s="29"/>
      <c r="V26" s="29"/>
      <c r="W26" s="29"/>
    </row>
    <row r="27" spans="2:24" ht="30" customHeight="1" x14ac:dyDescent="0.3">
      <c r="B27" s="51" t="s">
        <v>17</v>
      </c>
      <c r="C27" s="106">
        <f>VLOOKUP($C$23,'key dimensions'!$B$4:$I$37,4,FALSE)</f>
        <v>25</v>
      </c>
      <c r="D27" s="146" t="s">
        <v>89</v>
      </c>
      <c r="E27" s="147"/>
      <c r="Q27" s="29">
        <v>6.5000000000000002E-2</v>
      </c>
      <c r="R27" s="29">
        <v>3.4</v>
      </c>
      <c r="S27" s="29">
        <f t="shared" si="0"/>
        <v>2.1686449704142015</v>
      </c>
      <c r="T27" s="29">
        <v>1.7</v>
      </c>
      <c r="U27" s="29"/>
      <c r="V27" s="29"/>
      <c r="W27" s="29"/>
    </row>
    <row r="28" spans="2:24" ht="30" customHeight="1" x14ac:dyDescent="0.3">
      <c r="B28" s="51" t="s">
        <v>28</v>
      </c>
      <c r="C28" s="106">
        <f>VLOOKUP($C$23,'key dimensions'!$B$4:$I$37,5,FALSE)</f>
        <v>14</v>
      </c>
      <c r="D28" s="148"/>
      <c r="E28" s="149"/>
      <c r="Q28" s="29">
        <v>6.7500000000000004E-2</v>
      </c>
      <c r="R28" s="29">
        <v>3.4</v>
      </c>
      <c r="S28" s="29">
        <f t="shared" si="0"/>
        <v>2.1608353909465023</v>
      </c>
      <c r="T28" s="29">
        <v>1.7</v>
      </c>
      <c r="U28" s="29"/>
      <c r="V28" s="29"/>
      <c r="W28" s="29"/>
    </row>
    <row r="29" spans="2:24" ht="30" customHeight="1" x14ac:dyDescent="0.3">
      <c r="B29" s="51" t="s">
        <v>94</v>
      </c>
      <c r="C29" s="106">
        <f>VLOOKUP($C$23,'key dimensions'!$B$4:$I$37,6,FALSE)</f>
        <v>9</v>
      </c>
      <c r="D29" s="148"/>
      <c r="E29" s="149"/>
      <c r="Q29" s="29">
        <v>7.0000000000000007E-2</v>
      </c>
      <c r="R29" s="29">
        <v>3.4</v>
      </c>
      <c r="S29" s="29">
        <f t="shared" si="0"/>
        <v>2.1535714285714285</v>
      </c>
      <c r="T29" s="29">
        <v>1.7</v>
      </c>
      <c r="U29" s="29"/>
      <c r="V29" s="29"/>
      <c r="W29" s="29"/>
    </row>
    <row r="30" spans="2:24" ht="30" customHeight="1" x14ac:dyDescent="0.3">
      <c r="B30" s="51" t="s">
        <v>97</v>
      </c>
      <c r="C30" s="106">
        <f>VLOOKUP($C$23,'key dimensions'!$B$4:$I$37,7,FALSE)</f>
        <v>5.4</v>
      </c>
      <c r="D30" s="148"/>
      <c r="E30" s="149"/>
    </row>
    <row r="31" spans="2:24" ht="30" customHeight="1" x14ac:dyDescent="0.3">
      <c r="B31" s="51" t="s">
        <v>44</v>
      </c>
      <c r="C31" s="106">
        <f>VLOOKUP($C$23,'key dimensions'!$B$4:$I$37,8,FALSE)</f>
        <v>0.8</v>
      </c>
      <c r="D31" s="150"/>
      <c r="E31" s="151"/>
    </row>
    <row r="32" spans="2:24" ht="30" customHeight="1" x14ac:dyDescent="0.3">
      <c r="B32" s="51" t="s">
        <v>98</v>
      </c>
      <c r="C32" s="41">
        <v>80</v>
      </c>
      <c r="D32" s="142" t="s">
        <v>99</v>
      </c>
      <c r="E32" s="143"/>
    </row>
    <row r="33" spans="2:5" ht="30" customHeight="1" x14ac:dyDescent="0.3">
      <c r="B33" s="51" t="s">
        <v>100</v>
      </c>
      <c r="C33" s="41">
        <v>1</v>
      </c>
      <c r="D33" s="142" t="s">
        <v>101</v>
      </c>
      <c r="E33" s="143"/>
    </row>
    <row r="34" spans="2:5" ht="30" customHeight="1" x14ac:dyDescent="0.3">
      <c r="B34" s="51" t="s">
        <v>102</v>
      </c>
      <c r="C34" s="104">
        <f>C33/C19</f>
        <v>0.01</v>
      </c>
      <c r="D34" s="142" t="s">
        <v>103</v>
      </c>
      <c r="E34" s="143"/>
    </row>
    <row r="35" spans="2:5" ht="30" customHeight="1" x14ac:dyDescent="0.3">
      <c r="B35" s="51" t="s">
        <v>104</v>
      </c>
      <c r="C35" s="45">
        <f>C19-I4</f>
        <v>91</v>
      </c>
      <c r="D35" s="142" t="s">
        <v>105</v>
      </c>
      <c r="E35" s="143"/>
    </row>
    <row r="36" spans="2:5" ht="30" customHeight="1" x14ac:dyDescent="0.3">
      <c r="B36" s="51" t="s">
        <v>106</v>
      </c>
      <c r="C36" s="46">
        <v>3.4</v>
      </c>
      <c r="D36" s="142" t="s">
        <v>107</v>
      </c>
      <c r="E36" s="143"/>
    </row>
    <row r="37" spans="2:5" ht="30" customHeight="1" x14ac:dyDescent="0.3">
      <c r="B37" s="51" t="s">
        <v>108</v>
      </c>
      <c r="C37" s="46">
        <v>1.7</v>
      </c>
      <c r="D37" s="142" t="s">
        <v>109</v>
      </c>
      <c r="E37" s="143"/>
    </row>
    <row r="38" spans="2:5" ht="30" customHeight="1" x14ac:dyDescent="0.3">
      <c r="B38" s="51" t="s">
        <v>110</v>
      </c>
      <c r="C38" s="45">
        <f>1.953+0.1434*(0.1/C33*C19)-0.0021*(0.1/C33*C19)^2</f>
        <v>3.177</v>
      </c>
      <c r="D38" s="144" t="s">
        <v>111</v>
      </c>
      <c r="E38" s="145"/>
    </row>
    <row r="39" spans="2:5" ht="30" customHeight="1" x14ac:dyDescent="0.3">
      <c r="B39" s="51" t="s">
        <v>110</v>
      </c>
      <c r="C39" s="46">
        <f>1101346.19363354*(C33/C19)^4-159464.156575113*(C33/C19)^3+8741.69034230514*(C33/C19)^2-228.485554267552*(C33/C19)+5.21083020853696</f>
        <v>3.6516930054531764</v>
      </c>
      <c r="D39" s="144" t="s">
        <v>112</v>
      </c>
      <c r="E39" s="145"/>
    </row>
  </sheetData>
  <mergeCells count="43">
    <mergeCell ref="B23:B24"/>
    <mergeCell ref="D24:E24"/>
    <mergeCell ref="M22:O22"/>
    <mergeCell ref="M23:O23"/>
    <mergeCell ref="M24:O24"/>
    <mergeCell ref="M25:O25"/>
    <mergeCell ref="I17:J17"/>
    <mergeCell ref="K17:L17"/>
    <mergeCell ref="M18:O18"/>
    <mergeCell ref="M19:O19"/>
    <mergeCell ref="M20:O20"/>
    <mergeCell ref="D39:E39"/>
    <mergeCell ref="G25:H25"/>
    <mergeCell ref="D37:E37"/>
    <mergeCell ref="D38:E38"/>
    <mergeCell ref="G22:H22"/>
    <mergeCell ref="D36:E36"/>
    <mergeCell ref="D35:E35"/>
    <mergeCell ref="D33:E33"/>
    <mergeCell ref="G23:H23"/>
    <mergeCell ref="D34:E34"/>
    <mergeCell ref="G24:H24"/>
    <mergeCell ref="D25:E25"/>
    <mergeCell ref="D26:E26"/>
    <mergeCell ref="D18:E18"/>
    <mergeCell ref="D19:E19"/>
    <mergeCell ref="D20:E20"/>
    <mergeCell ref="D23:E23"/>
    <mergeCell ref="D32:E32"/>
    <mergeCell ref="D21:E21"/>
    <mergeCell ref="D27:E31"/>
    <mergeCell ref="D22:E22"/>
    <mergeCell ref="AJ13:AK13"/>
    <mergeCell ref="G18:H18"/>
    <mergeCell ref="G19:H19"/>
    <mergeCell ref="G20:H20"/>
    <mergeCell ref="G21:H21"/>
    <mergeCell ref="M21:O21"/>
    <mergeCell ref="AJ12:AK12"/>
    <mergeCell ref="AI8:AK8"/>
    <mergeCell ref="AJ9:AK9"/>
    <mergeCell ref="AJ10:AK10"/>
    <mergeCell ref="AJ11:AK11"/>
  </mergeCells>
  <phoneticPr fontId="17" type="noConversion"/>
  <conditionalFormatting sqref="C20">
    <cfRule type="iconSet" priority="8">
      <iconSet iconSet="3Symbols">
        <cfvo type="percent" val="0"/>
        <cfvo type="formula" val="1.2*$C$22"/>
        <cfvo type="formula" val="1.25*$C$22"/>
      </iconSet>
    </cfRule>
  </conditionalFormatting>
  <conditionalFormatting sqref="C34">
    <cfRule type="cellIs" dxfId="2" priority="6" operator="notBetween">
      <formula>0.005</formula>
      <formula>0.07</formula>
    </cfRule>
  </conditionalFormatting>
  <conditionalFormatting sqref="J18:J25">
    <cfRule type="iconSet" priority="10">
      <iconSet iconSet="3Symbols" reverse="1">
        <cfvo type="percent" val="0"/>
        <cfvo type="num" val="0.8"/>
        <cfvo type="num" val="1"/>
      </iconSet>
    </cfRule>
  </conditionalFormatting>
  <conditionalFormatting sqref="L18:L25">
    <cfRule type="iconSet" priority="5">
      <iconSet iconSet="3Symbols" reverse="1">
        <cfvo type="percent" val="0"/>
        <cfvo type="num" val="0.8"/>
        <cfvo type="num" val="1"/>
      </iconSet>
    </cfRule>
  </conditionalFormatting>
  <conditionalFormatting sqref="AI9:AI11">
    <cfRule type="iconSet" priority="4">
      <iconSet iconSet="3Symbols" showValue="0">
        <cfvo type="percent" val="0"/>
        <cfvo type="num" val="0.5"/>
        <cfvo type="num" val="1"/>
      </iconSet>
    </cfRule>
  </conditionalFormatting>
  <conditionalFormatting sqref="C27:C31">
    <cfRule type="expression" dxfId="1" priority="2">
      <formula>$C$24</formula>
    </cfRule>
  </conditionalFormatting>
  <conditionalFormatting sqref="C23">
    <cfRule type="expression" dxfId="0" priority="1">
      <formula>$C$24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709D32F-C520-439C-9F88-ADD784BDDC47}">
          <x14:formula1>
            <xm:f>tables!$C$15:$D$15</xm:f>
          </x14:formula1>
          <xm:sqref>C8</xm:sqref>
        </x14:dataValidation>
        <x14:dataValidation type="list" allowBlank="1" showInputMessage="1" showErrorMessage="1" xr:uid="{46C6717B-CE6A-43B6-8A96-8E7901522BEA}">
          <x14:formula1>
            <xm:f>tables!$B$16:$B$20</xm:f>
          </x14:formula1>
          <xm:sqref>C7</xm:sqref>
        </x14:dataValidation>
        <x14:dataValidation type="list" allowBlank="1" showInputMessage="1" showErrorMessage="1" xr:uid="{E5345D99-84D6-4BD1-B03A-E42D85139F07}">
          <x14:formula1>
            <xm:f>tables!$B$10:$B$12</xm:f>
          </x14:formula1>
          <xm:sqref>C5</xm:sqref>
        </x14:dataValidation>
        <x14:dataValidation type="list" allowBlank="1" showInputMessage="1" showErrorMessage="1" xr:uid="{9AAAE42C-589E-449E-880E-EC35F7276234}">
          <x14:formula1>
            <xm:f>tables!$C$4:$F$4</xm:f>
          </x14:formula1>
          <xm:sqref>C3</xm:sqref>
        </x14:dataValidation>
        <x14:dataValidation type="list" allowBlank="1" showInputMessage="1" showErrorMessage="1" xr:uid="{0C3CE5E2-2643-48C7-8788-B2D6B5284251}">
          <x14:formula1>
            <xm:f>tables!$B$5:$B$7</xm:f>
          </x14:formula1>
          <xm:sqref>C2</xm:sqref>
        </x14:dataValidation>
        <x14:dataValidation type="list" allowBlank="1" showInputMessage="1" showErrorMessage="1" xr:uid="{C850E37F-0451-4B9D-980A-D515492859DA}">
          <x14:formula1>
            <xm:f>'key dimensions'!$B$4:$B$38</xm:f>
          </x14:formula1>
          <xm:sqref>C23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45569-A03B-47F6-A145-DB9EB599368B}">
  <sheetPr codeName="Foglio3"/>
  <dimension ref="B2:J20"/>
  <sheetViews>
    <sheetView workbookViewId="0"/>
  </sheetViews>
  <sheetFormatPr defaultRowHeight="14.4" x14ac:dyDescent="0.3"/>
  <cols>
    <col min="1" max="1" width="2.6640625" customWidth="1"/>
    <col min="2" max="2" width="27.109375" bestFit="1" customWidth="1"/>
    <col min="3" max="6" width="23.6640625" customWidth="1"/>
  </cols>
  <sheetData>
    <row r="2" spans="2:10" ht="35.1" customHeight="1" x14ac:dyDescent="0.3">
      <c r="B2" s="158" t="s">
        <v>113</v>
      </c>
      <c r="C2" s="159"/>
      <c r="D2" s="159"/>
      <c r="E2" s="159"/>
      <c r="F2" s="160"/>
    </row>
    <row r="3" spans="2:10" ht="35.1" customHeight="1" x14ac:dyDescent="0.3">
      <c r="B3" s="2"/>
      <c r="C3" s="155" t="s">
        <v>26</v>
      </c>
      <c r="D3" s="156"/>
      <c r="E3" s="156"/>
      <c r="F3" s="157"/>
    </row>
    <row r="4" spans="2:10" ht="35.1" customHeight="1" x14ac:dyDescent="0.3">
      <c r="B4" s="6" t="s">
        <v>14</v>
      </c>
      <c r="C4" s="4" t="s">
        <v>114</v>
      </c>
      <c r="D4" s="95" t="s">
        <v>27</v>
      </c>
      <c r="E4" s="6" t="s">
        <v>115</v>
      </c>
      <c r="F4" s="5" t="s">
        <v>116</v>
      </c>
    </row>
    <row r="5" spans="2:10" ht="35.1" customHeight="1" x14ac:dyDescent="0.3">
      <c r="B5" s="93" t="s">
        <v>15</v>
      </c>
      <c r="C5" s="94">
        <v>1</v>
      </c>
      <c r="D5" s="93">
        <v>1.2</v>
      </c>
      <c r="E5" s="7">
        <v>1.5</v>
      </c>
      <c r="F5" s="8">
        <v>1.8</v>
      </c>
    </row>
    <row r="6" spans="2:10" ht="35.1" customHeight="1" x14ac:dyDescent="0.3">
      <c r="B6" s="9" t="s">
        <v>117</v>
      </c>
      <c r="C6" s="10">
        <v>1.2</v>
      </c>
      <c r="D6" s="9">
        <v>1.3</v>
      </c>
      <c r="E6" s="9">
        <v>1.8</v>
      </c>
      <c r="F6" s="11">
        <v>2.1</v>
      </c>
    </row>
    <row r="7" spans="2:10" ht="35.1" customHeight="1" x14ac:dyDescent="0.3">
      <c r="B7" s="12" t="s">
        <v>118</v>
      </c>
      <c r="C7" s="13">
        <v>2</v>
      </c>
      <c r="D7" s="12">
        <v>2.2000000000000002</v>
      </c>
      <c r="E7" s="12">
        <v>2.4</v>
      </c>
      <c r="F7" s="14">
        <v>2.8</v>
      </c>
    </row>
    <row r="8" spans="2:10" ht="35.1" customHeight="1" x14ac:dyDescent="0.3">
      <c r="B8" s="3"/>
      <c r="C8" s="3"/>
      <c r="D8" s="3"/>
      <c r="E8" s="3"/>
      <c r="F8" s="3"/>
    </row>
    <row r="9" spans="2:10" ht="35.1" customHeight="1" x14ac:dyDescent="0.3">
      <c r="B9" s="158" t="s">
        <v>119</v>
      </c>
      <c r="C9" s="159"/>
      <c r="D9" s="159"/>
      <c r="E9" s="159"/>
      <c r="F9" s="160"/>
      <c r="G9" s="24"/>
      <c r="H9" s="24"/>
      <c r="I9" s="24"/>
      <c r="J9" s="24"/>
    </row>
    <row r="10" spans="2:10" ht="45" customHeight="1" x14ac:dyDescent="0.3">
      <c r="B10" s="96" t="s">
        <v>37</v>
      </c>
      <c r="C10" s="161" t="s">
        <v>120</v>
      </c>
      <c r="D10" s="162"/>
      <c r="E10" s="163"/>
      <c r="F10" s="97">
        <v>1</v>
      </c>
    </row>
    <row r="11" spans="2:10" ht="45" customHeight="1" x14ac:dyDescent="0.3">
      <c r="B11" s="25" t="s">
        <v>121</v>
      </c>
      <c r="C11" s="164" t="s">
        <v>122</v>
      </c>
      <c r="D11" s="165"/>
      <c r="E11" s="166"/>
      <c r="F11" s="11">
        <v>3</v>
      </c>
    </row>
    <row r="12" spans="2:10" ht="45" customHeight="1" x14ac:dyDescent="0.3">
      <c r="B12" s="26" t="s">
        <v>123</v>
      </c>
      <c r="C12" s="167" t="s">
        <v>124</v>
      </c>
      <c r="D12" s="168"/>
      <c r="E12" s="169"/>
      <c r="F12" s="14">
        <v>9</v>
      </c>
    </row>
    <row r="13" spans="2:10" ht="35.1" customHeight="1" x14ac:dyDescent="0.3">
      <c r="B13" s="3"/>
      <c r="C13" s="3"/>
      <c r="D13" s="3"/>
      <c r="E13" s="3"/>
      <c r="F13" s="3"/>
    </row>
    <row r="14" spans="2:10" ht="15.6" x14ac:dyDescent="0.3">
      <c r="B14" s="158" t="s">
        <v>125</v>
      </c>
      <c r="C14" s="159"/>
      <c r="D14" s="160"/>
    </row>
    <row r="15" spans="2:10" x14ac:dyDescent="0.3">
      <c r="B15" s="6" t="s">
        <v>47</v>
      </c>
      <c r="C15" s="4" t="s">
        <v>50</v>
      </c>
      <c r="D15" s="6" t="s">
        <v>126</v>
      </c>
    </row>
    <row r="16" spans="2:10" x14ac:dyDescent="0.3">
      <c r="B16" s="21">
        <v>1000</v>
      </c>
      <c r="C16" s="15">
        <v>1.8</v>
      </c>
      <c r="D16" s="16">
        <v>1.8</v>
      </c>
    </row>
    <row r="17" spans="2:4" x14ac:dyDescent="0.3">
      <c r="B17" s="22">
        <v>10000</v>
      </c>
      <c r="C17" s="17">
        <v>1</v>
      </c>
      <c r="D17" s="18">
        <v>1</v>
      </c>
    </row>
    <row r="18" spans="2:4" x14ac:dyDescent="0.3">
      <c r="B18" s="22">
        <v>100000</v>
      </c>
      <c r="C18" s="17">
        <v>0.5</v>
      </c>
      <c r="D18" s="18">
        <v>0.4</v>
      </c>
    </row>
    <row r="19" spans="2:4" x14ac:dyDescent="0.3">
      <c r="B19" s="98">
        <v>1000000</v>
      </c>
      <c r="C19" s="99">
        <v>0.4</v>
      </c>
      <c r="D19" s="100">
        <v>0.3</v>
      </c>
    </row>
    <row r="20" spans="2:4" x14ac:dyDescent="0.3">
      <c r="B20" s="23">
        <v>10000000</v>
      </c>
      <c r="C20" s="19">
        <v>0.3</v>
      </c>
      <c r="D20" s="20">
        <v>0.2</v>
      </c>
    </row>
  </sheetData>
  <mergeCells count="7">
    <mergeCell ref="C3:F3"/>
    <mergeCell ref="B2:F2"/>
    <mergeCell ref="B9:F9"/>
    <mergeCell ref="B14:D14"/>
    <mergeCell ref="C10:E10"/>
    <mergeCell ref="C11:E11"/>
    <mergeCell ref="C12:E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DB3C-1B5B-40E9-A8E6-22157288BBAF}">
  <sheetPr codeName="Foglio4"/>
  <dimension ref="B2:M38"/>
  <sheetViews>
    <sheetView workbookViewId="0"/>
  </sheetViews>
  <sheetFormatPr defaultRowHeight="14.4" x14ac:dyDescent="0.3"/>
  <cols>
    <col min="1" max="1" width="2.6640625" customWidth="1"/>
    <col min="2" max="2" width="7.6640625" bestFit="1" customWidth="1"/>
    <col min="3" max="3" width="10.88671875" bestFit="1" customWidth="1"/>
    <col min="4" max="4" width="11.109375" bestFit="1" customWidth="1"/>
  </cols>
  <sheetData>
    <row r="2" spans="2:9" ht="30" customHeight="1" x14ac:dyDescent="0.3">
      <c r="B2" s="158" t="s">
        <v>127</v>
      </c>
      <c r="C2" s="159"/>
      <c r="D2" s="159"/>
      <c r="E2" s="159"/>
      <c r="F2" s="159"/>
      <c r="G2" s="159"/>
      <c r="H2" s="159"/>
      <c r="I2" s="160"/>
    </row>
    <row r="3" spans="2:9" ht="15.6" x14ac:dyDescent="0.3">
      <c r="B3" s="6" t="s">
        <v>128</v>
      </c>
      <c r="C3" s="6" t="s">
        <v>129</v>
      </c>
      <c r="D3" s="6" t="s">
        <v>130</v>
      </c>
      <c r="E3" s="6" t="s">
        <v>17</v>
      </c>
      <c r="F3" s="6" t="s">
        <v>28</v>
      </c>
      <c r="G3" s="6" t="s">
        <v>33</v>
      </c>
      <c r="H3" s="6" t="s">
        <v>39</v>
      </c>
      <c r="I3" s="6" t="s">
        <v>44</v>
      </c>
    </row>
    <row r="4" spans="2:9" x14ac:dyDescent="0.3">
      <c r="B4" s="43" t="str">
        <f t="shared" ref="B4:B37" si="0">E4&amp;"x"&amp;F4</f>
        <v>2x2</v>
      </c>
      <c r="C4" s="43">
        <v>6</v>
      </c>
      <c r="D4" s="43">
        <v>8</v>
      </c>
      <c r="E4" s="43">
        <v>2</v>
      </c>
      <c r="F4" s="43">
        <v>2</v>
      </c>
      <c r="G4" s="43">
        <v>1.2</v>
      </c>
      <c r="H4" s="43">
        <v>1</v>
      </c>
      <c r="I4" s="43">
        <v>0.25</v>
      </c>
    </row>
    <row r="5" spans="2:9" x14ac:dyDescent="0.3">
      <c r="B5" s="43" t="str">
        <f t="shared" si="0"/>
        <v>3x3</v>
      </c>
      <c r="C5" s="43">
        <v>8</v>
      </c>
      <c r="D5" s="43">
        <v>10</v>
      </c>
      <c r="E5" s="43">
        <v>3</v>
      </c>
      <c r="F5" s="43">
        <v>3</v>
      </c>
      <c r="G5" s="43">
        <v>1.8</v>
      </c>
      <c r="H5" s="43">
        <v>1.4</v>
      </c>
      <c r="I5" s="43">
        <v>0.25</v>
      </c>
    </row>
    <row r="6" spans="2:9" x14ac:dyDescent="0.3">
      <c r="B6" s="43" t="str">
        <f t="shared" si="0"/>
        <v>4x4</v>
      </c>
      <c r="C6" s="43">
        <v>10</v>
      </c>
      <c r="D6" s="43">
        <v>12</v>
      </c>
      <c r="E6" s="43">
        <v>4</v>
      </c>
      <c r="F6" s="43">
        <v>4</v>
      </c>
      <c r="G6" s="43">
        <v>2.5</v>
      </c>
      <c r="H6" s="43">
        <v>1.8</v>
      </c>
      <c r="I6" s="43">
        <v>0.25</v>
      </c>
    </row>
    <row r="7" spans="2:9" x14ac:dyDescent="0.3">
      <c r="B7" s="43" t="str">
        <f t="shared" si="0"/>
        <v>5x5</v>
      </c>
      <c r="C7" s="43">
        <v>12</v>
      </c>
      <c r="D7" s="43">
        <v>17</v>
      </c>
      <c r="E7" s="43">
        <v>5</v>
      </c>
      <c r="F7" s="43">
        <v>5</v>
      </c>
      <c r="G7" s="43">
        <v>3</v>
      </c>
      <c r="H7" s="43">
        <v>2.2999999999999998</v>
      </c>
      <c r="I7" s="43">
        <v>0.4</v>
      </c>
    </row>
    <row r="8" spans="2:9" x14ac:dyDescent="0.3">
      <c r="B8" s="43" t="str">
        <f t="shared" si="0"/>
        <v>6x4</v>
      </c>
      <c r="C8" s="43">
        <v>17</v>
      </c>
      <c r="D8" s="43">
        <v>22</v>
      </c>
      <c r="E8" s="43">
        <v>6</v>
      </c>
      <c r="F8" s="43">
        <v>4</v>
      </c>
      <c r="G8" s="43">
        <v>2.5</v>
      </c>
      <c r="H8" s="43">
        <v>1.8</v>
      </c>
      <c r="I8" s="43">
        <v>0.4</v>
      </c>
    </row>
    <row r="9" spans="2:9" x14ac:dyDescent="0.3">
      <c r="B9" s="43" t="str">
        <f t="shared" si="0"/>
        <v>6x5</v>
      </c>
      <c r="C9" s="43">
        <v>17</v>
      </c>
      <c r="D9" s="43">
        <v>22</v>
      </c>
      <c r="E9" s="43">
        <v>6</v>
      </c>
      <c r="F9" s="43">
        <v>5</v>
      </c>
      <c r="G9" s="43">
        <v>3</v>
      </c>
      <c r="H9" s="43">
        <v>2.2999999999999998</v>
      </c>
      <c r="I9" s="43">
        <v>0.4</v>
      </c>
    </row>
    <row r="10" spans="2:9" x14ac:dyDescent="0.3">
      <c r="B10" s="43" t="str">
        <f t="shared" si="0"/>
        <v>6x6</v>
      </c>
      <c r="C10" s="43">
        <v>17</v>
      </c>
      <c r="D10" s="43">
        <v>22</v>
      </c>
      <c r="E10" s="43">
        <v>6</v>
      </c>
      <c r="F10" s="43">
        <v>6</v>
      </c>
      <c r="G10" s="43">
        <v>3.5</v>
      </c>
      <c r="H10" s="43">
        <v>3.5</v>
      </c>
      <c r="I10" s="43">
        <v>0.4</v>
      </c>
    </row>
    <row r="11" spans="2:9" x14ac:dyDescent="0.3">
      <c r="B11" s="43" t="str">
        <f t="shared" si="0"/>
        <v>8x5</v>
      </c>
      <c r="C11" s="43">
        <v>22</v>
      </c>
      <c r="D11" s="43">
        <v>30</v>
      </c>
      <c r="E11" s="43">
        <v>8</v>
      </c>
      <c r="F11" s="43">
        <v>5</v>
      </c>
      <c r="G11" s="43">
        <v>3</v>
      </c>
      <c r="H11" s="43">
        <v>2.2999999999999998</v>
      </c>
      <c r="I11" s="43">
        <v>0.4</v>
      </c>
    </row>
    <row r="12" spans="2:9" x14ac:dyDescent="0.3">
      <c r="B12" s="43" t="str">
        <f t="shared" si="0"/>
        <v>8x6</v>
      </c>
      <c r="C12" s="43">
        <v>22</v>
      </c>
      <c r="D12" s="43">
        <v>30</v>
      </c>
      <c r="E12" s="43">
        <v>8</v>
      </c>
      <c r="F12" s="43">
        <v>6</v>
      </c>
      <c r="G12" s="43">
        <v>3.5</v>
      </c>
      <c r="H12" s="43">
        <v>2.8</v>
      </c>
      <c r="I12" s="43">
        <v>0.4</v>
      </c>
    </row>
    <row r="13" spans="2:9" x14ac:dyDescent="0.3">
      <c r="B13" s="43" t="str">
        <f t="shared" si="0"/>
        <v>8x7</v>
      </c>
      <c r="C13" s="43">
        <v>22</v>
      </c>
      <c r="D13" s="43">
        <v>30</v>
      </c>
      <c r="E13" s="43">
        <v>8</v>
      </c>
      <c r="F13" s="43">
        <v>7</v>
      </c>
      <c r="G13" s="43">
        <v>4</v>
      </c>
      <c r="H13" s="43">
        <v>3.3</v>
      </c>
      <c r="I13" s="43">
        <v>0.4</v>
      </c>
    </row>
    <row r="14" spans="2:9" x14ac:dyDescent="0.3">
      <c r="B14" s="43" t="str">
        <f t="shared" si="0"/>
        <v>8x8</v>
      </c>
      <c r="C14" s="43">
        <v>22</v>
      </c>
      <c r="D14" s="43">
        <v>30</v>
      </c>
      <c r="E14" s="43">
        <v>8</v>
      </c>
      <c r="F14" s="43">
        <v>8</v>
      </c>
      <c r="G14" s="43">
        <v>5</v>
      </c>
      <c r="H14" s="43">
        <v>3.3</v>
      </c>
      <c r="I14" s="43">
        <v>0.6</v>
      </c>
    </row>
    <row r="15" spans="2:9" x14ac:dyDescent="0.3">
      <c r="B15" s="43" t="str">
        <f t="shared" si="0"/>
        <v>10x8</v>
      </c>
      <c r="C15" s="43">
        <v>30</v>
      </c>
      <c r="D15" s="43">
        <v>38</v>
      </c>
      <c r="E15" s="43">
        <v>10</v>
      </c>
      <c r="F15" s="43">
        <v>8</v>
      </c>
      <c r="G15" s="43">
        <v>5</v>
      </c>
      <c r="H15" s="43">
        <v>3.3</v>
      </c>
      <c r="I15" s="43">
        <v>0.6</v>
      </c>
    </row>
    <row r="16" spans="2:9" x14ac:dyDescent="0.3">
      <c r="B16" s="43" t="str">
        <f t="shared" si="0"/>
        <v>10x10</v>
      </c>
      <c r="C16" s="43">
        <v>30</v>
      </c>
      <c r="D16" s="43">
        <v>38</v>
      </c>
      <c r="E16" s="43">
        <v>10</v>
      </c>
      <c r="F16" s="43">
        <v>10</v>
      </c>
      <c r="G16" s="43">
        <v>6</v>
      </c>
      <c r="H16" s="43">
        <v>4.3</v>
      </c>
      <c r="I16" s="43">
        <v>0.6</v>
      </c>
    </row>
    <row r="17" spans="2:13" x14ac:dyDescent="0.3">
      <c r="B17" s="43" t="str">
        <f t="shared" si="0"/>
        <v>12x8</v>
      </c>
      <c r="C17" s="43">
        <v>38</v>
      </c>
      <c r="D17" s="43">
        <v>44</v>
      </c>
      <c r="E17" s="43">
        <v>12</v>
      </c>
      <c r="F17" s="43">
        <v>8</v>
      </c>
      <c r="G17" s="43">
        <v>5</v>
      </c>
      <c r="H17" s="43">
        <v>3.3</v>
      </c>
      <c r="I17" s="43">
        <v>0.6</v>
      </c>
    </row>
    <row r="18" spans="2:13" x14ac:dyDescent="0.3">
      <c r="B18" s="43" t="str">
        <f t="shared" si="0"/>
        <v>12x12</v>
      </c>
      <c r="C18" s="43">
        <v>38</v>
      </c>
      <c r="D18" s="43">
        <v>44</v>
      </c>
      <c r="E18" s="43">
        <v>12</v>
      </c>
      <c r="F18" s="43">
        <v>12</v>
      </c>
      <c r="G18" s="43">
        <v>7.5</v>
      </c>
      <c r="H18" s="43">
        <v>4.9000000000000004</v>
      </c>
      <c r="I18" s="43">
        <v>0.6</v>
      </c>
      <c r="M18" s="1"/>
    </row>
    <row r="19" spans="2:13" x14ac:dyDescent="0.3">
      <c r="B19" s="43" t="str">
        <f t="shared" si="0"/>
        <v>14x9</v>
      </c>
      <c r="C19" s="43">
        <v>44</v>
      </c>
      <c r="D19" s="43">
        <v>50</v>
      </c>
      <c r="E19" s="43">
        <v>14</v>
      </c>
      <c r="F19" s="43">
        <v>9</v>
      </c>
      <c r="G19" s="43">
        <v>5.5</v>
      </c>
      <c r="H19" s="43">
        <v>3.8</v>
      </c>
      <c r="I19" s="43">
        <v>0.6</v>
      </c>
    </row>
    <row r="20" spans="2:13" x14ac:dyDescent="0.3">
      <c r="B20" s="43" t="str">
        <f t="shared" si="0"/>
        <v>14x14</v>
      </c>
      <c r="C20" s="43">
        <v>44</v>
      </c>
      <c r="D20" s="43">
        <v>50</v>
      </c>
      <c r="E20" s="43">
        <v>14</v>
      </c>
      <c r="F20" s="43">
        <v>14</v>
      </c>
      <c r="G20" s="43">
        <v>9</v>
      </c>
      <c r="H20" s="43">
        <v>5.4</v>
      </c>
      <c r="I20" s="43">
        <v>0.6</v>
      </c>
    </row>
    <row r="21" spans="2:13" x14ac:dyDescent="0.3">
      <c r="B21" s="43" t="str">
        <f t="shared" si="0"/>
        <v>16x10</v>
      </c>
      <c r="C21" s="43">
        <v>50</v>
      </c>
      <c r="D21" s="43">
        <v>58</v>
      </c>
      <c r="E21" s="43">
        <v>16</v>
      </c>
      <c r="F21" s="43">
        <v>10</v>
      </c>
      <c r="G21" s="43">
        <v>6</v>
      </c>
      <c r="H21" s="43">
        <v>4.3</v>
      </c>
      <c r="I21" s="43">
        <v>0.6</v>
      </c>
    </row>
    <row r="22" spans="2:13" x14ac:dyDescent="0.3">
      <c r="B22" s="43" t="str">
        <f t="shared" si="0"/>
        <v>18x11</v>
      </c>
      <c r="C22" s="43">
        <v>58</v>
      </c>
      <c r="D22" s="43">
        <v>65</v>
      </c>
      <c r="E22" s="43">
        <v>18</v>
      </c>
      <c r="F22" s="43">
        <v>11</v>
      </c>
      <c r="G22" s="43">
        <v>7</v>
      </c>
      <c r="H22" s="43">
        <v>4.4000000000000004</v>
      </c>
      <c r="I22" s="43">
        <v>0.6</v>
      </c>
    </row>
    <row r="23" spans="2:13" x14ac:dyDescent="0.3">
      <c r="B23" s="43" t="str">
        <f t="shared" si="0"/>
        <v>20x12</v>
      </c>
      <c r="C23" s="43">
        <v>65</v>
      </c>
      <c r="D23" s="43">
        <v>75</v>
      </c>
      <c r="E23" s="43">
        <v>20</v>
      </c>
      <c r="F23" s="43">
        <v>12</v>
      </c>
      <c r="G23" s="43">
        <v>7.5</v>
      </c>
      <c r="H23" s="43">
        <v>4.9000000000000004</v>
      </c>
      <c r="I23" s="43">
        <v>0.8</v>
      </c>
    </row>
    <row r="24" spans="2:13" x14ac:dyDescent="0.3">
      <c r="B24" s="43" t="str">
        <f t="shared" si="0"/>
        <v>22x14</v>
      </c>
      <c r="C24" s="43">
        <v>75</v>
      </c>
      <c r="D24" s="43">
        <v>85</v>
      </c>
      <c r="E24" s="43">
        <v>22</v>
      </c>
      <c r="F24" s="43">
        <v>14</v>
      </c>
      <c r="G24" s="43">
        <v>9</v>
      </c>
      <c r="H24" s="43">
        <v>5.4</v>
      </c>
      <c r="I24" s="43">
        <v>0.8</v>
      </c>
    </row>
    <row r="25" spans="2:13" x14ac:dyDescent="0.3">
      <c r="B25" s="43" t="str">
        <f t="shared" si="0"/>
        <v>25x14</v>
      </c>
      <c r="C25" s="43">
        <v>85</v>
      </c>
      <c r="D25" s="43">
        <v>95</v>
      </c>
      <c r="E25" s="43">
        <v>25</v>
      </c>
      <c r="F25" s="43">
        <v>14</v>
      </c>
      <c r="G25" s="43">
        <v>9</v>
      </c>
      <c r="H25" s="43">
        <v>5.4</v>
      </c>
      <c r="I25" s="43">
        <v>0.8</v>
      </c>
    </row>
    <row r="26" spans="2:13" x14ac:dyDescent="0.3">
      <c r="B26" s="43" t="str">
        <f t="shared" si="0"/>
        <v>28x16</v>
      </c>
      <c r="C26" s="43">
        <v>95</v>
      </c>
      <c r="D26" s="43">
        <v>110</v>
      </c>
      <c r="E26" s="43">
        <v>28</v>
      </c>
      <c r="F26" s="43">
        <v>16</v>
      </c>
      <c r="G26" s="43">
        <v>10</v>
      </c>
      <c r="H26" s="43">
        <v>6.4</v>
      </c>
      <c r="I26" s="43">
        <v>0.8</v>
      </c>
    </row>
    <row r="27" spans="2:13" x14ac:dyDescent="0.3">
      <c r="B27" s="43" t="str">
        <f t="shared" si="0"/>
        <v>32x18</v>
      </c>
      <c r="C27" s="43">
        <v>110</v>
      </c>
      <c r="D27" s="43">
        <v>130</v>
      </c>
      <c r="E27" s="43">
        <v>32</v>
      </c>
      <c r="F27" s="43">
        <v>18</v>
      </c>
      <c r="G27" s="43">
        <v>11</v>
      </c>
      <c r="H27" s="43">
        <v>7.4</v>
      </c>
      <c r="I27" s="43">
        <v>0.8</v>
      </c>
    </row>
    <row r="28" spans="2:13" x14ac:dyDescent="0.3">
      <c r="B28" s="43" t="str">
        <f t="shared" si="0"/>
        <v>36x20</v>
      </c>
      <c r="C28" s="43">
        <v>130</v>
      </c>
      <c r="D28" s="43">
        <v>150</v>
      </c>
      <c r="E28" s="43">
        <v>36</v>
      </c>
      <c r="F28" s="43">
        <v>20</v>
      </c>
      <c r="G28" s="43">
        <v>12</v>
      </c>
      <c r="H28" s="43">
        <v>8.4</v>
      </c>
      <c r="I28" s="43">
        <v>1.2</v>
      </c>
    </row>
    <row r="29" spans="2:13" x14ac:dyDescent="0.3">
      <c r="B29" s="43" t="str">
        <f t="shared" si="0"/>
        <v>40x22</v>
      </c>
      <c r="C29" s="43">
        <v>150</v>
      </c>
      <c r="D29" s="43">
        <v>170</v>
      </c>
      <c r="E29" s="43">
        <v>40</v>
      </c>
      <c r="F29" s="43">
        <v>22</v>
      </c>
      <c r="G29" s="43">
        <v>13</v>
      </c>
      <c r="H29" s="43">
        <v>9.4</v>
      </c>
      <c r="I29" s="43">
        <v>1.2</v>
      </c>
    </row>
    <row r="30" spans="2:13" x14ac:dyDescent="0.3">
      <c r="B30" s="43" t="str">
        <f t="shared" si="0"/>
        <v>45x25</v>
      </c>
      <c r="C30" s="43">
        <v>170</v>
      </c>
      <c r="D30" s="43">
        <v>200</v>
      </c>
      <c r="E30" s="43">
        <v>45</v>
      </c>
      <c r="F30" s="43">
        <v>25</v>
      </c>
      <c r="G30" s="43">
        <v>15</v>
      </c>
      <c r="H30" s="43">
        <v>10.4</v>
      </c>
      <c r="I30" s="43">
        <v>1.2</v>
      </c>
    </row>
    <row r="31" spans="2:13" x14ac:dyDescent="0.3">
      <c r="B31" s="43" t="str">
        <f t="shared" si="0"/>
        <v>50x28</v>
      </c>
      <c r="C31" s="43">
        <v>200</v>
      </c>
      <c r="D31" s="43">
        <v>230</v>
      </c>
      <c r="E31" s="43">
        <v>50</v>
      </c>
      <c r="F31" s="43">
        <v>28</v>
      </c>
      <c r="G31" s="43">
        <v>17</v>
      </c>
      <c r="H31" s="43">
        <v>11.4</v>
      </c>
      <c r="I31" s="43">
        <v>1.2</v>
      </c>
    </row>
    <row r="32" spans="2:13" x14ac:dyDescent="0.3">
      <c r="B32" s="43" t="str">
        <f t="shared" si="0"/>
        <v>56x32</v>
      </c>
      <c r="C32" s="43">
        <v>230</v>
      </c>
      <c r="D32" s="43">
        <v>260</v>
      </c>
      <c r="E32" s="43">
        <v>56</v>
      </c>
      <c r="F32" s="43">
        <v>32</v>
      </c>
      <c r="G32" s="43">
        <v>20</v>
      </c>
      <c r="H32" s="43">
        <v>12.4</v>
      </c>
      <c r="I32" s="43">
        <v>1.6</v>
      </c>
    </row>
    <row r="33" spans="2:9" x14ac:dyDescent="0.3">
      <c r="B33" s="43" t="str">
        <f t="shared" si="0"/>
        <v>63x32</v>
      </c>
      <c r="C33" s="43">
        <v>260</v>
      </c>
      <c r="D33" s="43">
        <v>290</v>
      </c>
      <c r="E33" s="43">
        <v>63</v>
      </c>
      <c r="F33" s="43">
        <v>32</v>
      </c>
      <c r="G33" s="43">
        <v>20</v>
      </c>
      <c r="H33" s="43">
        <v>12.4</v>
      </c>
      <c r="I33" s="43">
        <v>1.6</v>
      </c>
    </row>
    <row r="34" spans="2:9" x14ac:dyDescent="0.3">
      <c r="B34" s="43" t="str">
        <f t="shared" si="0"/>
        <v>70x36</v>
      </c>
      <c r="C34" s="43">
        <v>290</v>
      </c>
      <c r="D34" s="43">
        <v>330</v>
      </c>
      <c r="E34" s="43">
        <v>70</v>
      </c>
      <c r="F34" s="43">
        <v>36</v>
      </c>
      <c r="G34" s="43">
        <v>22</v>
      </c>
      <c r="H34" s="43">
        <v>14.4</v>
      </c>
      <c r="I34" s="43">
        <v>1.6</v>
      </c>
    </row>
    <row r="35" spans="2:9" x14ac:dyDescent="0.3">
      <c r="B35" s="43" t="str">
        <f t="shared" si="0"/>
        <v>80x40</v>
      </c>
      <c r="C35" s="43">
        <v>330</v>
      </c>
      <c r="D35" s="43">
        <v>380</v>
      </c>
      <c r="E35" s="43">
        <v>80</v>
      </c>
      <c r="F35" s="43">
        <v>40</v>
      </c>
      <c r="G35" s="43">
        <v>25</v>
      </c>
      <c r="H35" s="43">
        <v>15.4</v>
      </c>
      <c r="I35" s="43">
        <v>3</v>
      </c>
    </row>
    <row r="36" spans="2:9" x14ac:dyDescent="0.3">
      <c r="B36" s="43" t="str">
        <f t="shared" si="0"/>
        <v>90x45</v>
      </c>
      <c r="C36" s="43">
        <v>380</v>
      </c>
      <c r="D36" s="43">
        <v>440</v>
      </c>
      <c r="E36" s="43">
        <v>90</v>
      </c>
      <c r="F36" s="43">
        <v>45</v>
      </c>
      <c r="G36" s="43">
        <v>28</v>
      </c>
      <c r="H36" s="43">
        <v>17.399999999999999</v>
      </c>
      <c r="I36" s="43">
        <v>3</v>
      </c>
    </row>
    <row r="37" spans="2:9" x14ac:dyDescent="0.3">
      <c r="B37" s="43" t="str">
        <f t="shared" si="0"/>
        <v>100x50</v>
      </c>
      <c r="C37" s="43">
        <v>440</v>
      </c>
      <c r="D37" s="43">
        <v>500</v>
      </c>
      <c r="E37" s="43">
        <v>100</v>
      </c>
      <c r="F37" s="43">
        <v>50</v>
      </c>
      <c r="G37" s="43">
        <v>31</v>
      </c>
      <c r="H37" s="43">
        <v>19.5</v>
      </c>
      <c r="I37" s="43">
        <v>3</v>
      </c>
    </row>
    <row r="38" spans="2:9" x14ac:dyDescent="0.3">
      <c r="B38" s="1" t="s">
        <v>183</v>
      </c>
    </row>
  </sheetData>
  <mergeCells count="1">
    <mergeCell ref="B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62D5-8981-4D2A-A8A9-59390F597191}">
  <sheetPr codeName="Foglio5"/>
  <dimension ref="B2:T34"/>
  <sheetViews>
    <sheetView zoomScale="110" zoomScaleNormal="110" workbookViewId="0"/>
  </sheetViews>
  <sheetFormatPr defaultRowHeight="14.4" x14ac:dyDescent="0.3"/>
  <cols>
    <col min="1" max="1" width="2.6640625" customWidth="1"/>
    <col min="4" max="4" width="12" bestFit="1" customWidth="1"/>
    <col min="5" max="5" width="2.6640625" customWidth="1"/>
  </cols>
  <sheetData>
    <row r="2" spans="2:20" ht="15.6" x14ac:dyDescent="0.35">
      <c r="B2" s="54" t="s">
        <v>19</v>
      </c>
      <c r="C2" s="54" t="s">
        <v>131</v>
      </c>
      <c r="D2" s="54" t="s">
        <v>132</v>
      </c>
      <c r="P2" s="55" t="s">
        <v>133</v>
      </c>
      <c r="Q2" s="55" t="s">
        <v>134</v>
      </c>
      <c r="R2" s="55" t="s">
        <v>135</v>
      </c>
      <c r="S2" s="55" t="s">
        <v>136</v>
      </c>
      <c r="T2" s="55" t="s">
        <v>137</v>
      </c>
    </row>
    <row r="3" spans="2:20" x14ac:dyDescent="0.3">
      <c r="B3" s="52">
        <v>7.3081324382056698E-3</v>
      </c>
      <c r="C3" s="52">
        <v>3.9651307742441602</v>
      </c>
      <c r="D3" s="52">
        <f>1101346.19363354*(B3)^4-159464.156575113*(B3)^3+8741.69034230514*(B3)^2-228.485554267552*(B3)+5.21083020853696</f>
        <v>3.948810473013733</v>
      </c>
      <c r="P3" s="1" cm="1">
        <f t="array" ref="P3:T3">LINEST(C3:C34, B3:B34^{1,2,3,4}, TRUE,FALSE)</f>
        <v>1101346.1936335359</v>
      </c>
      <c r="Q3" s="1">
        <v>-159464.15657511295</v>
      </c>
      <c r="R3" s="1">
        <v>8741.6903423051372</v>
      </c>
      <c r="S3" s="1">
        <v>-228.48555426755186</v>
      </c>
      <c r="T3" s="1">
        <v>5.2108302085369571</v>
      </c>
    </row>
    <row r="4" spans="2:20" x14ac:dyDescent="0.3">
      <c r="B4" s="52">
        <v>7.8443371550634307E-3</v>
      </c>
      <c r="C4" s="52">
        <v>3.8864524032005998</v>
      </c>
      <c r="D4" s="52">
        <f t="shared" ref="D4:D34" si="0">1101346.19363354*(B4)^4-159464.156575113*(B4)^3+8741.69034230514*(B4)^2-228.485554267552*(B4)+5.21083020853696</f>
        <v>3.883618673566124</v>
      </c>
    </row>
    <row r="5" spans="2:20" x14ac:dyDescent="0.3">
      <c r="B5" s="52">
        <v>8.3805418719211794E-3</v>
      </c>
      <c r="C5" s="52">
        <v>3.8200327018663698</v>
      </c>
      <c r="D5" s="52">
        <f t="shared" si="0"/>
        <v>3.8215297149923964</v>
      </c>
    </row>
    <row r="6" spans="2:20" x14ac:dyDescent="0.3">
      <c r="B6" s="52">
        <v>8.9167465887789298E-3</v>
      </c>
      <c r="C6" s="52">
        <v>3.7538358854359499</v>
      </c>
      <c r="D6" s="52">
        <f t="shared" si="0"/>
        <v>3.7624291506129408</v>
      </c>
    </row>
    <row r="7" spans="2:20" x14ac:dyDescent="0.3">
      <c r="B7" s="52">
        <v>9.6540280744583495E-3</v>
      </c>
      <c r="C7" s="52">
        <v>3.6793477505839398</v>
      </c>
      <c r="D7" s="52">
        <f t="shared" si="0"/>
        <v>3.6858395232713583</v>
      </c>
    </row>
    <row r="8" spans="2:20" x14ac:dyDescent="0.3">
      <c r="B8" s="52">
        <v>1.03242839705305E-2</v>
      </c>
      <c r="C8" s="52">
        <v>3.6103425843655499</v>
      </c>
      <c r="D8" s="52">
        <f t="shared" si="0"/>
        <v>3.6206914645790067</v>
      </c>
    </row>
    <row r="9" spans="2:20" x14ac:dyDescent="0.3">
      <c r="B9" s="52">
        <v>1.11956166354243E-2</v>
      </c>
      <c r="C9" s="52">
        <v>3.5369688740325702</v>
      </c>
      <c r="D9" s="52">
        <f t="shared" si="0"/>
        <v>3.5420230811784839</v>
      </c>
    </row>
    <row r="10" spans="2:20" x14ac:dyDescent="0.3">
      <c r="B10" s="52">
        <v>1.1865872531496501E-2</v>
      </c>
      <c r="C10" s="52">
        <v>3.4790187990429802</v>
      </c>
      <c r="D10" s="52">
        <f t="shared" si="0"/>
        <v>3.4858867493525132</v>
      </c>
    </row>
    <row r="11" spans="2:20" x14ac:dyDescent="0.3">
      <c r="B11" s="52">
        <v>1.2971685775317101E-2</v>
      </c>
      <c r="C11" s="52">
        <v>3.40448885473895</v>
      </c>
      <c r="D11" s="52">
        <f t="shared" si="0"/>
        <v>3.4010285248389271</v>
      </c>
    </row>
    <row r="12" spans="2:20" x14ac:dyDescent="0.3">
      <c r="B12" s="52">
        <v>1.4010691398927499E-2</v>
      </c>
      <c r="C12" s="52">
        <v>3.3323605323385399</v>
      </c>
      <c r="D12" s="52">
        <f t="shared" si="0"/>
        <v>3.3294446456019982</v>
      </c>
    </row>
    <row r="13" spans="2:20" x14ac:dyDescent="0.3">
      <c r="B13" s="52">
        <v>1.5150126422250301E-2</v>
      </c>
      <c r="C13" s="52">
        <v>3.2652403355923498</v>
      </c>
      <c r="D13" s="52">
        <f t="shared" si="0"/>
        <v>3.2592016225835887</v>
      </c>
    </row>
    <row r="14" spans="2:20" x14ac:dyDescent="0.3">
      <c r="B14" s="52">
        <v>1.6222535855965801E-2</v>
      </c>
      <c r="C14" s="52">
        <v>3.2063987209875302</v>
      </c>
      <c r="D14" s="52">
        <f t="shared" si="0"/>
        <v>3.2002499040747638</v>
      </c>
    </row>
    <row r="15" spans="2:20" x14ac:dyDescent="0.3">
      <c r="B15" s="52">
        <v>1.74960220585029E-2</v>
      </c>
      <c r="C15" s="52">
        <v>3.14469144333377</v>
      </c>
      <c r="D15" s="52">
        <f t="shared" si="0"/>
        <v>3.1383224208340597</v>
      </c>
    </row>
    <row r="16" spans="2:20" x14ac:dyDescent="0.3">
      <c r="B16" s="52">
        <v>1.8836533850647302E-2</v>
      </c>
      <c r="C16" s="52">
        <v>3.0865184834403698</v>
      </c>
      <c r="D16" s="52">
        <f t="shared" si="0"/>
        <v>3.081513508908305</v>
      </c>
    </row>
    <row r="17" spans="2:4" x14ac:dyDescent="0.3">
      <c r="B17" s="52">
        <v>2.0284487788683699E-2</v>
      </c>
      <c r="C17" s="52">
        <v>3.0301806231939898</v>
      </c>
      <c r="D17" s="52">
        <f t="shared" si="0"/>
        <v>3.0285051395369393</v>
      </c>
    </row>
    <row r="18" spans="2:4" x14ac:dyDescent="0.3">
      <c r="B18" s="52">
        <v>2.1417019050525302E-2</v>
      </c>
      <c r="C18" s="52">
        <v>2.9835456578819399</v>
      </c>
      <c r="D18" s="52">
        <f t="shared" si="0"/>
        <v>2.9922482881678532</v>
      </c>
    </row>
    <row r="19" spans="2:4" x14ac:dyDescent="0.3">
      <c r="B19" s="52">
        <v>2.2891582021884099E-2</v>
      </c>
      <c r="C19" s="52">
        <v>2.9501129223110198</v>
      </c>
      <c r="D19" s="52">
        <f t="shared" si="0"/>
        <v>2.9508338677614052</v>
      </c>
    </row>
    <row r="20" spans="2:4" x14ac:dyDescent="0.3">
      <c r="B20" s="52">
        <v>2.43326321984393E-2</v>
      </c>
      <c r="C20" s="52">
        <v>2.9159289015277499</v>
      </c>
      <c r="D20" s="52">
        <f t="shared" si="0"/>
        <v>2.9156446745104354</v>
      </c>
    </row>
    <row r="21" spans="2:4" x14ac:dyDescent="0.3">
      <c r="B21" s="52">
        <v>2.5701869243272502E-2</v>
      </c>
      <c r="C21" s="52">
        <v>2.88429819428712</v>
      </c>
      <c r="D21" s="52">
        <f t="shared" si="0"/>
        <v>2.8861323307829609</v>
      </c>
    </row>
    <row r="22" spans="2:4" x14ac:dyDescent="0.3">
      <c r="B22" s="52">
        <v>2.69466301931208E-2</v>
      </c>
      <c r="C22" s="52">
        <v>2.8617549783021499</v>
      </c>
      <c r="D22" s="52">
        <f t="shared" si="0"/>
        <v>2.8619676716183107</v>
      </c>
    </row>
    <row r="23" spans="2:4" x14ac:dyDescent="0.3">
      <c r="B23" s="52">
        <v>2.8555244343694101E-2</v>
      </c>
      <c r="C23" s="52">
        <v>2.8345842471715001</v>
      </c>
      <c r="D23" s="52">
        <f t="shared" si="0"/>
        <v>2.8336606093305567</v>
      </c>
    </row>
    <row r="24" spans="2:4" x14ac:dyDescent="0.3">
      <c r="B24" s="52">
        <v>3.0364935263089001E-2</v>
      </c>
      <c r="C24" s="52">
        <v>2.8050148499332201</v>
      </c>
      <c r="D24" s="52">
        <f t="shared" si="0"/>
        <v>2.804696617336651</v>
      </c>
    </row>
    <row r="25" spans="2:4" x14ac:dyDescent="0.3">
      <c r="B25" s="52">
        <v>3.2174626182483901E-2</v>
      </c>
      <c r="C25" s="52">
        <v>2.77722853192539</v>
      </c>
      <c r="D25" s="52">
        <f t="shared" si="0"/>
        <v>2.7777747829439265</v>
      </c>
    </row>
    <row r="26" spans="2:4" x14ac:dyDescent="0.3">
      <c r="B26" s="52">
        <v>3.3984317101878901E-2</v>
      </c>
      <c r="C26" s="52">
        <v>2.7504526254814801</v>
      </c>
      <c r="D26" s="52">
        <f t="shared" si="0"/>
        <v>2.7521231384996074</v>
      </c>
    </row>
    <row r="27" spans="2:4" x14ac:dyDescent="0.3">
      <c r="B27" s="52">
        <v>3.5861033610880999E-2</v>
      </c>
      <c r="C27" s="52">
        <v>2.7247762845630099</v>
      </c>
      <c r="D27" s="52">
        <f t="shared" si="0"/>
        <v>2.7263435576219335</v>
      </c>
    </row>
    <row r="28" spans="2:4" x14ac:dyDescent="0.3">
      <c r="B28" s="52">
        <v>3.7670724530275902E-2</v>
      </c>
      <c r="C28" s="52">
        <v>2.70025894514434</v>
      </c>
      <c r="D28" s="52">
        <f t="shared" si="0"/>
        <v>2.7020715110484304</v>
      </c>
    </row>
    <row r="29" spans="2:4" x14ac:dyDescent="0.3">
      <c r="B29" s="52">
        <v>3.9547441039278E-2</v>
      </c>
      <c r="C29" s="52">
        <v>2.6764845554050098</v>
      </c>
      <c r="D29" s="52">
        <f t="shared" si="0"/>
        <v>2.6776054302992787</v>
      </c>
    </row>
    <row r="30" spans="2:4" x14ac:dyDescent="0.3">
      <c r="B30" s="52">
        <v>4.1424157548280202E-2</v>
      </c>
      <c r="C30" s="52">
        <v>2.6547904247678802</v>
      </c>
      <c r="D30" s="52">
        <f t="shared" si="0"/>
        <v>2.6542763049034086</v>
      </c>
    </row>
    <row r="31" spans="2:4" x14ac:dyDescent="0.3">
      <c r="B31" s="52">
        <v>4.33008740572823E-2</v>
      </c>
      <c r="C31" s="52">
        <v>2.63458219348946</v>
      </c>
      <c r="D31" s="52">
        <f t="shared" si="0"/>
        <v>2.6328333571062199</v>
      </c>
    </row>
    <row r="32" spans="2:4" x14ac:dyDescent="0.3">
      <c r="B32" s="52">
        <v>4.5244616155891697E-2</v>
      </c>
      <c r="C32" s="52">
        <v>2.61859391638977</v>
      </c>
      <c r="D32" s="52">
        <f t="shared" si="0"/>
        <v>2.6137651593404669</v>
      </c>
    </row>
    <row r="33" spans="2:4" x14ac:dyDescent="0.3">
      <c r="B33" s="52">
        <v>4.7121332664893802E-2</v>
      </c>
      <c r="C33" s="52">
        <v>2.6030811270848599</v>
      </c>
      <c r="D33" s="52">
        <f t="shared" si="0"/>
        <v>2.5998399094296119</v>
      </c>
    </row>
    <row r="34" spans="2:4" x14ac:dyDescent="0.3">
      <c r="B34" s="52">
        <v>4.89980491738959E-2</v>
      </c>
      <c r="C34" s="52">
        <v>2.5864984902416799</v>
      </c>
      <c r="D34" s="52">
        <f t="shared" si="0"/>
        <v>2.5920838046592269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D02DA-F2DD-46A7-B4A8-DD94023B08C8}">
  <sheetPr codeName="Foglio6">
    <pageSetUpPr fitToPage="1"/>
  </sheetPr>
  <dimension ref="A1:V49"/>
  <sheetViews>
    <sheetView zoomScaleNormal="100" workbookViewId="0"/>
  </sheetViews>
  <sheetFormatPr defaultRowHeight="13.2" x14ac:dyDescent="0.25"/>
  <cols>
    <col min="1" max="1" width="38" style="74" customWidth="1"/>
    <col min="2" max="2" width="13.109375" style="74" bestFit="1" customWidth="1"/>
    <col min="3" max="3" width="19.33203125" style="74" customWidth="1"/>
    <col min="4" max="4" width="10.6640625" style="74" customWidth="1"/>
    <col min="5" max="5" width="21.44140625" style="74" customWidth="1"/>
    <col min="6" max="256" width="9.109375" style="74"/>
    <col min="257" max="257" width="38" style="74" customWidth="1"/>
    <col min="258" max="258" width="13.109375" style="74" bestFit="1" customWidth="1"/>
    <col min="259" max="259" width="19.33203125" style="74" customWidth="1"/>
    <col min="260" max="260" width="10.6640625" style="74" customWidth="1"/>
    <col min="261" max="261" width="21.44140625" style="74" customWidth="1"/>
    <col min="262" max="512" width="9.109375" style="74"/>
    <col min="513" max="513" width="38" style="74" customWidth="1"/>
    <col min="514" max="514" width="13.109375" style="74" bestFit="1" customWidth="1"/>
    <col min="515" max="515" width="19.33203125" style="74" customWidth="1"/>
    <col min="516" max="516" width="10.6640625" style="74" customWidth="1"/>
    <col min="517" max="517" width="21.44140625" style="74" customWidth="1"/>
    <col min="518" max="768" width="9.109375" style="74"/>
    <col min="769" max="769" width="38" style="74" customWidth="1"/>
    <col min="770" max="770" width="13.109375" style="74" bestFit="1" customWidth="1"/>
    <col min="771" max="771" width="19.33203125" style="74" customWidth="1"/>
    <col min="772" max="772" width="10.6640625" style="74" customWidth="1"/>
    <col min="773" max="773" width="21.44140625" style="74" customWidth="1"/>
    <col min="774" max="1024" width="9.109375" style="74"/>
    <col min="1025" max="1025" width="38" style="74" customWidth="1"/>
    <col min="1026" max="1026" width="13.109375" style="74" bestFit="1" customWidth="1"/>
    <col min="1027" max="1027" width="19.33203125" style="74" customWidth="1"/>
    <col min="1028" max="1028" width="10.6640625" style="74" customWidth="1"/>
    <col min="1029" max="1029" width="21.44140625" style="74" customWidth="1"/>
    <col min="1030" max="1280" width="9.109375" style="74"/>
    <col min="1281" max="1281" width="38" style="74" customWidth="1"/>
    <col min="1282" max="1282" width="13.109375" style="74" bestFit="1" customWidth="1"/>
    <col min="1283" max="1283" width="19.33203125" style="74" customWidth="1"/>
    <col min="1284" max="1284" width="10.6640625" style="74" customWidth="1"/>
    <col min="1285" max="1285" width="21.44140625" style="74" customWidth="1"/>
    <col min="1286" max="1536" width="9.109375" style="74"/>
    <col min="1537" max="1537" width="38" style="74" customWidth="1"/>
    <col min="1538" max="1538" width="13.109375" style="74" bestFit="1" customWidth="1"/>
    <col min="1539" max="1539" width="19.33203125" style="74" customWidth="1"/>
    <col min="1540" max="1540" width="10.6640625" style="74" customWidth="1"/>
    <col min="1541" max="1541" width="21.44140625" style="74" customWidth="1"/>
    <col min="1542" max="1792" width="9.109375" style="74"/>
    <col min="1793" max="1793" width="38" style="74" customWidth="1"/>
    <col min="1794" max="1794" width="13.109375" style="74" bestFit="1" customWidth="1"/>
    <col min="1795" max="1795" width="19.33203125" style="74" customWidth="1"/>
    <col min="1796" max="1796" width="10.6640625" style="74" customWidth="1"/>
    <col min="1797" max="1797" width="21.44140625" style="74" customWidth="1"/>
    <col min="1798" max="2048" width="9.109375" style="74"/>
    <col min="2049" max="2049" width="38" style="74" customWidth="1"/>
    <col min="2050" max="2050" width="13.109375" style="74" bestFit="1" customWidth="1"/>
    <col min="2051" max="2051" width="19.33203125" style="74" customWidth="1"/>
    <col min="2052" max="2052" width="10.6640625" style="74" customWidth="1"/>
    <col min="2053" max="2053" width="21.44140625" style="74" customWidth="1"/>
    <col min="2054" max="2304" width="9.109375" style="74"/>
    <col min="2305" max="2305" width="38" style="74" customWidth="1"/>
    <col min="2306" max="2306" width="13.109375" style="74" bestFit="1" customWidth="1"/>
    <col min="2307" max="2307" width="19.33203125" style="74" customWidth="1"/>
    <col min="2308" max="2308" width="10.6640625" style="74" customWidth="1"/>
    <col min="2309" max="2309" width="21.44140625" style="74" customWidth="1"/>
    <col min="2310" max="2560" width="9.109375" style="74"/>
    <col min="2561" max="2561" width="38" style="74" customWidth="1"/>
    <col min="2562" max="2562" width="13.109375" style="74" bestFit="1" customWidth="1"/>
    <col min="2563" max="2563" width="19.33203125" style="74" customWidth="1"/>
    <col min="2564" max="2564" width="10.6640625" style="74" customWidth="1"/>
    <col min="2565" max="2565" width="21.44140625" style="74" customWidth="1"/>
    <col min="2566" max="2816" width="9.109375" style="74"/>
    <col min="2817" max="2817" width="38" style="74" customWidth="1"/>
    <col min="2818" max="2818" width="13.109375" style="74" bestFit="1" customWidth="1"/>
    <col min="2819" max="2819" width="19.33203125" style="74" customWidth="1"/>
    <col min="2820" max="2820" width="10.6640625" style="74" customWidth="1"/>
    <col min="2821" max="2821" width="21.44140625" style="74" customWidth="1"/>
    <col min="2822" max="3072" width="9.109375" style="74"/>
    <col min="3073" max="3073" width="38" style="74" customWidth="1"/>
    <col min="3074" max="3074" width="13.109375" style="74" bestFit="1" customWidth="1"/>
    <col min="3075" max="3075" width="19.33203125" style="74" customWidth="1"/>
    <col min="3076" max="3076" width="10.6640625" style="74" customWidth="1"/>
    <col min="3077" max="3077" width="21.44140625" style="74" customWidth="1"/>
    <col min="3078" max="3328" width="9.109375" style="74"/>
    <col min="3329" max="3329" width="38" style="74" customWidth="1"/>
    <col min="3330" max="3330" width="13.109375" style="74" bestFit="1" customWidth="1"/>
    <col min="3331" max="3331" width="19.33203125" style="74" customWidth="1"/>
    <col min="3332" max="3332" width="10.6640625" style="74" customWidth="1"/>
    <col min="3333" max="3333" width="21.44140625" style="74" customWidth="1"/>
    <col min="3334" max="3584" width="9.109375" style="74"/>
    <col min="3585" max="3585" width="38" style="74" customWidth="1"/>
    <col min="3586" max="3586" width="13.109375" style="74" bestFit="1" customWidth="1"/>
    <col min="3587" max="3587" width="19.33203125" style="74" customWidth="1"/>
    <col min="3588" max="3588" width="10.6640625" style="74" customWidth="1"/>
    <col min="3589" max="3589" width="21.44140625" style="74" customWidth="1"/>
    <col min="3590" max="3840" width="9.109375" style="74"/>
    <col min="3841" max="3841" width="38" style="74" customWidth="1"/>
    <col min="3842" max="3842" width="13.109375" style="74" bestFit="1" customWidth="1"/>
    <col min="3843" max="3843" width="19.33203125" style="74" customWidth="1"/>
    <col min="3844" max="3844" width="10.6640625" style="74" customWidth="1"/>
    <col min="3845" max="3845" width="21.44140625" style="74" customWidth="1"/>
    <col min="3846" max="4096" width="9.109375" style="74"/>
    <col min="4097" max="4097" width="38" style="74" customWidth="1"/>
    <col min="4098" max="4098" width="13.109375" style="74" bestFit="1" customWidth="1"/>
    <col min="4099" max="4099" width="19.33203125" style="74" customWidth="1"/>
    <col min="4100" max="4100" width="10.6640625" style="74" customWidth="1"/>
    <col min="4101" max="4101" width="21.44140625" style="74" customWidth="1"/>
    <col min="4102" max="4352" width="9.109375" style="74"/>
    <col min="4353" max="4353" width="38" style="74" customWidth="1"/>
    <col min="4354" max="4354" width="13.109375" style="74" bestFit="1" customWidth="1"/>
    <col min="4355" max="4355" width="19.33203125" style="74" customWidth="1"/>
    <col min="4356" max="4356" width="10.6640625" style="74" customWidth="1"/>
    <col min="4357" max="4357" width="21.44140625" style="74" customWidth="1"/>
    <col min="4358" max="4608" width="9.109375" style="74"/>
    <col min="4609" max="4609" width="38" style="74" customWidth="1"/>
    <col min="4610" max="4610" width="13.109375" style="74" bestFit="1" customWidth="1"/>
    <col min="4611" max="4611" width="19.33203125" style="74" customWidth="1"/>
    <col min="4612" max="4612" width="10.6640625" style="74" customWidth="1"/>
    <col min="4613" max="4613" width="21.44140625" style="74" customWidth="1"/>
    <col min="4614" max="4864" width="9.109375" style="74"/>
    <col min="4865" max="4865" width="38" style="74" customWidth="1"/>
    <col min="4866" max="4866" width="13.109375" style="74" bestFit="1" customWidth="1"/>
    <col min="4867" max="4867" width="19.33203125" style="74" customWidth="1"/>
    <col min="4868" max="4868" width="10.6640625" style="74" customWidth="1"/>
    <col min="4869" max="4869" width="21.44140625" style="74" customWidth="1"/>
    <col min="4870" max="5120" width="9.109375" style="74"/>
    <col min="5121" max="5121" width="38" style="74" customWidth="1"/>
    <col min="5122" max="5122" width="13.109375" style="74" bestFit="1" customWidth="1"/>
    <col min="5123" max="5123" width="19.33203125" style="74" customWidth="1"/>
    <col min="5124" max="5124" width="10.6640625" style="74" customWidth="1"/>
    <col min="5125" max="5125" width="21.44140625" style="74" customWidth="1"/>
    <col min="5126" max="5376" width="9.109375" style="74"/>
    <col min="5377" max="5377" width="38" style="74" customWidth="1"/>
    <col min="5378" max="5378" width="13.109375" style="74" bestFit="1" customWidth="1"/>
    <col min="5379" max="5379" width="19.33203125" style="74" customWidth="1"/>
    <col min="5380" max="5380" width="10.6640625" style="74" customWidth="1"/>
    <col min="5381" max="5381" width="21.44140625" style="74" customWidth="1"/>
    <col min="5382" max="5632" width="9.109375" style="74"/>
    <col min="5633" max="5633" width="38" style="74" customWidth="1"/>
    <col min="5634" max="5634" width="13.109375" style="74" bestFit="1" customWidth="1"/>
    <col min="5635" max="5635" width="19.33203125" style="74" customWidth="1"/>
    <col min="5636" max="5636" width="10.6640625" style="74" customWidth="1"/>
    <col min="5637" max="5637" width="21.44140625" style="74" customWidth="1"/>
    <col min="5638" max="5888" width="9.109375" style="74"/>
    <col min="5889" max="5889" width="38" style="74" customWidth="1"/>
    <col min="5890" max="5890" width="13.109375" style="74" bestFit="1" customWidth="1"/>
    <col min="5891" max="5891" width="19.33203125" style="74" customWidth="1"/>
    <col min="5892" max="5892" width="10.6640625" style="74" customWidth="1"/>
    <col min="5893" max="5893" width="21.44140625" style="74" customWidth="1"/>
    <col min="5894" max="6144" width="9.109375" style="74"/>
    <col min="6145" max="6145" width="38" style="74" customWidth="1"/>
    <col min="6146" max="6146" width="13.109375" style="74" bestFit="1" customWidth="1"/>
    <col min="6147" max="6147" width="19.33203125" style="74" customWidth="1"/>
    <col min="6148" max="6148" width="10.6640625" style="74" customWidth="1"/>
    <col min="6149" max="6149" width="21.44140625" style="74" customWidth="1"/>
    <col min="6150" max="6400" width="9.109375" style="74"/>
    <col min="6401" max="6401" width="38" style="74" customWidth="1"/>
    <col min="6402" max="6402" width="13.109375" style="74" bestFit="1" customWidth="1"/>
    <col min="6403" max="6403" width="19.33203125" style="74" customWidth="1"/>
    <col min="6404" max="6404" width="10.6640625" style="74" customWidth="1"/>
    <col min="6405" max="6405" width="21.44140625" style="74" customWidth="1"/>
    <col min="6406" max="6656" width="9.109375" style="74"/>
    <col min="6657" max="6657" width="38" style="74" customWidth="1"/>
    <col min="6658" max="6658" width="13.109375" style="74" bestFit="1" customWidth="1"/>
    <col min="6659" max="6659" width="19.33203125" style="74" customWidth="1"/>
    <col min="6660" max="6660" width="10.6640625" style="74" customWidth="1"/>
    <col min="6661" max="6661" width="21.44140625" style="74" customWidth="1"/>
    <col min="6662" max="6912" width="9.109375" style="74"/>
    <col min="6913" max="6913" width="38" style="74" customWidth="1"/>
    <col min="6914" max="6914" width="13.109375" style="74" bestFit="1" customWidth="1"/>
    <col min="6915" max="6915" width="19.33203125" style="74" customWidth="1"/>
    <col min="6916" max="6916" width="10.6640625" style="74" customWidth="1"/>
    <col min="6917" max="6917" width="21.44140625" style="74" customWidth="1"/>
    <col min="6918" max="7168" width="9.109375" style="74"/>
    <col min="7169" max="7169" width="38" style="74" customWidth="1"/>
    <col min="7170" max="7170" width="13.109375" style="74" bestFit="1" customWidth="1"/>
    <col min="7171" max="7171" width="19.33203125" style="74" customWidth="1"/>
    <col min="7172" max="7172" width="10.6640625" style="74" customWidth="1"/>
    <col min="7173" max="7173" width="21.44140625" style="74" customWidth="1"/>
    <col min="7174" max="7424" width="9.109375" style="74"/>
    <col min="7425" max="7425" width="38" style="74" customWidth="1"/>
    <col min="7426" max="7426" width="13.109375" style="74" bestFit="1" customWidth="1"/>
    <col min="7427" max="7427" width="19.33203125" style="74" customWidth="1"/>
    <col min="7428" max="7428" width="10.6640625" style="74" customWidth="1"/>
    <col min="7429" max="7429" width="21.44140625" style="74" customWidth="1"/>
    <col min="7430" max="7680" width="9.109375" style="74"/>
    <col min="7681" max="7681" width="38" style="74" customWidth="1"/>
    <col min="7682" max="7682" width="13.109375" style="74" bestFit="1" customWidth="1"/>
    <col min="7683" max="7683" width="19.33203125" style="74" customWidth="1"/>
    <col min="7684" max="7684" width="10.6640625" style="74" customWidth="1"/>
    <col min="7685" max="7685" width="21.44140625" style="74" customWidth="1"/>
    <col min="7686" max="7936" width="9.109375" style="74"/>
    <col min="7937" max="7937" width="38" style="74" customWidth="1"/>
    <col min="7938" max="7938" width="13.109375" style="74" bestFit="1" customWidth="1"/>
    <col min="7939" max="7939" width="19.33203125" style="74" customWidth="1"/>
    <col min="7940" max="7940" width="10.6640625" style="74" customWidth="1"/>
    <col min="7941" max="7941" width="21.44140625" style="74" customWidth="1"/>
    <col min="7942" max="8192" width="9.109375" style="74"/>
    <col min="8193" max="8193" width="38" style="74" customWidth="1"/>
    <col min="8194" max="8194" width="13.109375" style="74" bestFit="1" customWidth="1"/>
    <col min="8195" max="8195" width="19.33203125" style="74" customWidth="1"/>
    <col min="8196" max="8196" width="10.6640625" style="74" customWidth="1"/>
    <col min="8197" max="8197" width="21.44140625" style="74" customWidth="1"/>
    <col min="8198" max="8448" width="9.109375" style="74"/>
    <col min="8449" max="8449" width="38" style="74" customWidth="1"/>
    <col min="8450" max="8450" width="13.109375" style="74" bestFit="1" customWidth="1"/>
    <col min="8451" max="8451" width="19.33203125" style="74" customWidth="1"/>
    <col min="8452" max="8452" width="10.6640625" style="74" customWidth="1"/>
    <col min="8453" max="8453" width="21.44140625" style="74" customWidth="1"/>
    <col min="8454" max="8704" width="9.109375" style="74"/>
    <col min="8705" max="8705" width="38" style="74" customWidth="1"/>
    <col min="8706" max="8706" width="13.109375" style="74" bestFit="1" customWidth="1"/>
    <col min="8707" max="8707" width="19.33203125" style="74" customWidth="1"/>
    <col min="8708" max="8708" width="10.6640625" style="74" customWidth="1"/>
    <col min="8709" max="8709" width="21.44140625" style="74" customWidth="1"/>
    <col min="8710" max="8960" width="9.109375" style="74"/>
    <col min="8961" max="8961" width="38" style="74" customWidth="1"/>
    <col min="8962" max="8962" width="13.109375" style="74" bestFit="1" customWidth="1"/>
    <col min="8963" max="8963" width="19.33203125" style="74" customWidth="1"/>
    <col min="8964" max="8964" width="10.6640625" style="74" customWidth="1"/>
    <col min="8965" max="8965" width="21.44140625" style="74" customWidth="1"/>
    <col min="8966" max="9216" width="9.109375" style="74"/>
    <col min="9217" max="9217" width="38" style="74" customWidth="1"/>
    <col min="9218" max="9218" width="13.109375" style="74" bestFit="1" customWidth="1"/>
    <col min="9219" max="9219" width="19.33203125" style="74" customWidth="1"/>
    <col min="9220" max="9220" width="10.6640625" style="74" customWidth="1"/>
    <col min="9221" max="9221" width="21.44140625" style="74" customWidth="1"/>
    <col min="9222" max="9472" width="9.109375" style="74"/>
    <col min="9473" max="9473" width="38" style="74" customWidth="1"/>
    <col min="9474" max="9474" width="13.109375" style="74" bestFit="1" customWidth="1"/>
    <col min="9475" max="9475" width="19.33203125" style="74" customWidth="1"/>
    <col min="9476" max="9476" width="10.6640625" style="74" customWidth="1"/>
    <col min="9477" max="9477" width="21.44140625" style="74" customWidth="1"/>
    <col min="9478" max="9728" width="9.109375" style="74"/>
    <col min="9729" max="9729" width="38" style="74" customWidth="1"/>
    <col min="9730" max="9730" width="13.109375" style="74" bestFit="1" customWidth="1"/>
    <col min="9731" max="9731" width="19.33203125" style="74" customWidth="1"/>
    <col min="9732" max="9732" width="10.6640625" style="74" customWidth="1"/>
    <col min="9733" max="9733" width="21.44140625" style="74" customWidth="1"/>
    <col min="9734" max="9984" width="9.109375" style="74"/>
    <col min="9985" max="9985" width="38" style="74" customWidth="1"/>
    <col min="9986" max="9986" width="13.109375" style="74" bestFit="1" customWidth="1"/>
    <col min="9987" max="9987" width="19.33203125" style="74" customWidth="1"/>
    <col min="9988" max="9988" width="10.6640625" style="74" customWidth="1"/>
    <col min="9989" max="9989" width="21.44140625" style="74" customWidth="1"/>
    <col min="9990" max="10240" width="9.109375" style="74"/>
    <col min="10241" max="10241" width="38" style="74" customWidth="1"/>
    <col min="10242" max="10242" width="13.109375" style="74" bestFit="1" customWidth="1"/>
    <col min="10243" max="10243" width="19.33203125" style="74" customWidth="1"/>
    <col min="10244" max="10244" width="10.6640625" style="74" customWidth="1"/>
    <col min="10245" max="10245" width="21.44140625" style="74" customWidth="1"/>
    <col min="10246" max="10496" width="9.109375" style="74"/>
    <col min="10497" max="10497" width="38" style="74" customWidth="1"/>
    <col min="10498" max="10498" width="13.109375" style="74" bestFit="1" customWidth="1"/>
    <col min="10499" max="10499" width="19.33203125" style="74" customWidth="1"/>
    <col min="10500" max="10500" width="10.6640625" style="74" customWidth="1"/>
    <col min="10501" max="10501" width="21.44140625" style="74" customWidth="1"/>
    <col min="10502" max="10752" width="9.109375" style="74"/>
    <col min="10753" max="10753" width="38" style="74" customWidth="1"/>
    <col min="10754" max="10754" width="13.109375" style="74" bestFit="1" customWidth="1"/>
    <col min="10755" max="10755" width="19.33203125" style="74" customWidth="1"/>
    <col min="10756" max="10756" width="10.6640625" style="74" customWidth="1"/>
    <col min="10757" max="10757" width="21.44140625" style="74" customWidth="1"/>
    <col min="10758" max="11008" width="9.109375" style="74"/>
    <col min="11009" max="11009" width="38" style="74" customWidth="1"/>
    <col min="11010" max="11010" width="13.109375" style="74" bestFit="1" customWidth="1"/>
    <col min="11011" max="11011" width="19.33203125" style="74" customWidth="1"/>
    <col min="11012" max="11012" width="10.6640625" style="74" customWidth="1"/>
    <col min="11013" max="11013" width="21.44140625" style="74" customWidth="1"/>
    <col min="11014" max="11264" width="9.109375" style="74"/>
    <col min="11265" max="11265" width="38" style="74" customWidth="1"/>
    <col min="11266" max="11266" width="13.109375" style="74" bestFit="1" customWidth="1"/>
    <col min="11267" max="11267" width="19.33203125" style="74" customWidth="1"/>
    <col min="11268" max="11268" width="10.6640625" style="74" customWidth="1"/>
    <col min="11269" max="11269" width="21.44140625" style="74" customWidth="1"/>
    <col min="11270" max="11520" width="9.109375" style="74"/>
    <col min="11521" max="11521" width="38" style="74" customWidth="1"/>
    <col min="11522" max="11522" width="13.109375" style="74" bestFit="1" customWidth="1"/>
    <col min="11523" max="11523" width="19.33203125" style="74" customWidth="1"/>
    <col min="11524" max="11524" width="10.6640625" style="74" customWidth="1"/>
    <col min="11525" max="11525" width="21.44140625" style="74" customWidth="1"/>
    <col min="11526" max="11776" width="9.109375" style="74"/>
    <col min="11777" max="11777" width="38" style="74" customWidth="1"/>
    <col min="11778" max="11778" width="13.109375" style="74" bestFit="1" customWidth="1"/>
    <col min="11779" max="11779" width="19.33203125" style="74" customWidth="1"/>
    <col min="11780" max="11780" width="10.6640625" style="74" customWidth="1"/>
    <col min="11781" max="11781" width="21.44140625" style="74" customWidth="1"/>
    <col min="11782" max="12032" width="9.109375" style="74"/>
    <col min="12033" max="12033" width="38" style="74" customWidth="1"/>
    <col min="12034" max="12034" width="13.109375" style="74" bestFit="1" customWidth="1"/>
    <col min="12035" max="12035" width="19.33203125" style="74" customWidth="1"/>
    <col min="12036" max="12036" width="10.6640625" style="74" customWidth="1"/>
    <col min="12037" max="12037" width="21.44140625" style="74" customWidth="1"/>
    <col min="12038" max="12288" width="9.109375" style="74"/>
    <col min="12289" max="12289" width="38" style="74" customWidth="1"/>
    <col min="12290" max="12290" width="13.109375" style="74" bestFit="1" customWidth="1"/>
    <col min="12291" max="12291" width="19.33203125" style="74" customWidth="1"/>
    <col min="12292" max="12292" width="10.6640625" style="74" customWidth="1"/>
    <col min="12293" max="12293" width="21.44140625" style="74" customWidth="1"/>
    <col min="12294" max="12544" width="9.109375" style="74"/>
    <col min="12545" max="12545" width="38" style="74" customWidth="1"/>
    <col min="12546" max="12546" width="13.109375" style="74" bestFit="1" customWidth="1"/>
    <col min="12547" max="12547" width="19.33203125" style="74" customWidth="1"/>
    <col min="12548" max="12548" width="10.6640625" style="74" customWidth="1"/>
    <col min="12549" max="12549" width="21.44140625" style="74" customWidth="1"/>
    <col min="12550" max="12800" width="9.109375" style="74"/>
    <col min="12801" max="12801" width="38" style="74" customWidth="1"/>
    <col min="12802" max="12802" width="13.109375" style="74" bestFit="1" customWidth="1"/>
    <col min="12803" max="12803" width="19.33203125" style="74" customWidth="1"/>
    <col min="12804" max="12804" width="10.6640625" style="74" customWidth="1"/>
    <col min="12805" max="12805" width="21.44140625" style="74" customWidth="1"/>
    <col min="12806" max="13056" width="9.109375" style="74"/>
    <col min="13057" max="13057" width="38" style="74" customWidth="1"/>
    <col min="13058" max="13058" width="13.109375" style="74" bestFit="1" customWidth="1"/>
    <col min="13059" max="13059" width="19.33203125" style="74" customWidth="1"/>
    <col min="13060" max="13060" width="10.6640625" style="74" customWidth="1"/>
    <col min="13061" max="13061" width="21.44140625" style="74" customWidth="1"/>
    <col min="13062" max="13312" width="9.109375" style="74"/>
    <col min="13313" max="13313" width="38" style="74" customWidth="1"/>
    <col min="13314" max="13314" width="13.109375" style="74" bestFit="1" customWidth="1"/>
    <col min="13315" max="13315" width="19.33203125" style="74" customWidth="1"/>
    <col min="13316" max="13316" width="10.6640625" style="74" customWidth="1"/>
    <col min="13317" max="13317" width="21.44140625" style="74" customWidth="1"/>
    <col min="13318" max="13568" width="9.109375" style="74"/>
    <col min="13569" max="13569" width="38" style="74" customWidth="1"/>
    <col min="13570" max="13570" width="13.109375" style="74" bestFit="1" customWidth="1"/>
    <col min="13571" max="13571" width="19.33203125" style="74" customWidth="1"/>
    <col min="13572" max="13572" width="10.6640625" style="74" customWidth="1"/>
    <col min="13573" max="13573" width="21.44140625" style="74" customWidth="1"/>
    <col min="13574" max="13824" width="9.109375" style="74"/>
    <col min="13825" max="13825" width="38" style="74" customWidth="1"/>
    <col min="13826" max="13826" width="13.109375" style="74" bestFit="1" customWidth="1"/>
    <col min="13827" max="13827" width="19.33203125" style="74" customWidth="1"/>
    <col min="13828" max="13828" width="10.6640625" style="74" customWidth="1"/>
    <col min="13829" max="13829" width="21.44140625" style="74" customWidth="1"/>
    <col min="13830" max="14080" width="9.109375" style="74"/>
    <col min="14081" max="14081" width="38" style="74" customWidth="1"/>
    <col min="14082" max="14082" width="13.109375" style="74" bestFit="1" customWidth="1"/>
    <col min="14083" max="14083" width="19.33203125" style="74" customWidth="1"/>
    <col min="14084" max="14084" width="10.6640625" style="74" customWidth="1"/>
    <col min="14085" max="14085" width="21.44140625" style="74" customWidth="1"/>
    <col min="14086" max="14336" width="9.109375" style="74"/>
    <col min="14337" max="14337" width="38" style="74" customWidth="1"/>
    <col min="14338" max="14338" width="13.109375" style="74" bestFit="1" customWidth="1"/>
    <col min="14339" max="14339" width="19.33203125" style="74" customWidth="1"/>
    <col min="14340" max="14340" width="10.6640625" style="74" customWidth="1"/>
    <col min="14341" max="14341" width="21.44140625" style="74" customWidth="1"/>
    <col min="14342" max="14592" width="9.109375" style="74"/>
    <col min="14593" max="14593" width="38" style="74" customWidth="1"/>
    <col min="14594" max="14594" width="13.109375" style="74" bestFit="1" customWidth="1"/>
    <col min="14595" max="14595" width="19.33203125" style="74" customWidth="1"/>
    <col min="14596" max="14596" width="10.6640625" style="74" customWidth="1"/>
    <col min="14597" max="14597" width="21.44140625" style="74" customWidth="1"/>
    <col min="14598" max="14848" width="9.109375" style="74"/>
    <col min="14849" max="14849" width="38" style="74" customWidth="1"/>
    <col min="14850" max="14850" width="13.109375" style="74" bestFit="1" customWidth="1"/>
    <col min="14851" max="14851" width="19.33203125" style="74" customWidth="1"/>
    <col min="14852" max="14852" width="10.6640625" style="74" customWidth="1"/>
    <col min="14853" max="14853" width="21.44140625" style="74" customWidth="1"/>
    <col min="14854" max="15104" width="9.109375" style="74"/>
    <col min="15105" max="15105" width="38" style="74" customWidth="1"/>
    <col min="15106" max="15106" width="13.109375" style="74" bestFit="1" customWidth="1"/>
    <col min="15107" max="15107" width="19.33203125" style="74" customWidth="1"/>
    <col min="15108" max="15108" width="10.6640625" style="74" customWidth="1"/>
    <col min="15109" max="15109" width="21.44140625" style="74" customWidth="1"/>
    <col min="15110" max="15360" width="9.109375" style="74"/>
    <col min="15361" max="15361" width="38" style="74" customWidth="1"/>
    <col min="15362" max="15362" width="13.109375" style="74" bestFit="1" customWidth="1"/>
    <col min="15363" max="15363" width="19.33203125" style="74" customWidth="1"/>
    <col min="15364" max="15364" width="10.6640625" style="74" customWidth="1"/>
    <col min="15365" max="15365" width="21.44140625" style="74" customWidth="1"/>
    <col min="15366" max="15616" width="9.109375" style="74"/>
    <col min="15617" max="15617" width="38" style="74" customWidth="1"/>
    <col min="15618" max="15618" width="13.109375" style="74" bestFit="1" customWidth="1"/>
    <col min="15619" max="15619" width="19.33203125" style="74" customWidth="1"/>
    <col min="15620" max="15620" width="10.6640625" style="74" customWidth="1"/>
    <col min="15621" max="15621" width="21.44140625" style="74" customWidth="1"/>
    <col min="15622" max="15872" width="9.109375" style="74"/>
    <col min="15873" max="15873" width="38" style="74" customWidth="1"/>
    <col min="15874" max="15874" width="13.109375" style="74" bestFit="1" customWidth="1"/>
    <col min="15875" max="15875" width="19.33203125" style="74" customWidth="1"/>
    <col min="15876" max="15876" width="10.6640625" style="74" customWidth="1"/>
    <col min="15877" max="15877" width="21.44140625" style="74" customWidth="1"/>
    <col min="15878" max="16128" width="9.109375" style="74"/>
    <col min="16129" max="16129" width="38" style="74" customWidth="1"/>
    <col min="16130" max="16130" width="13.109375" style="74" bestFit="1" customWidth="1"/>
    <col min="16131" max="16131" width="19.33203125" style="74" customWidth="1"/>
    <col min="16132" max="16132" width="10.6640625" style="74" customWidth="1"/>
    <col min="16133" max="16133" width="21.44140625" style="74" customWidth="1"/>
    <col min="16134" max="16384" width="9.109375" style="74"/>
  </cols>
  <sheetData>
    <row r="1" spans="1:14" ht="13.8" thickBot="1" x14ac:dyDescent="0.3"/>
    <row r="2" spans="1:14" x14ac:dyDescent="0.25">
      <c r="A2" s="207"/>
      <c r="B2" s="210" t="s">
        <v>138</v>
      </c>
      <c r="C2" s="211"/>
      <c r="D2" s="216" t="s">
        <v>139</v>
      </c>
      <c r="E2" s="218"/>
    </row>
    <row r="3" spans="1:14" ht="13.8" thickBot="1" x14ac:dyDescent="0.3">
      <c r="A3" s="208"/>
      <c r="B3" s="212"/>
      <c r="C3" s="213"/>
      <c r="D3" s="217"/>
      <c r="E3" s="219"/>
    </row>
    <row r="4" spans="1:14" x14ac:dyDescent="0.25">
      <c r="A4" s="208"/>
      <c r="B4" s="212"/>
      <c r="C4" s="213"/>
      <c r="D4" s="216" t="s">
        <v>140</v>
      </c>
      <c r="E4" s="218"/>
    </row>
    <row r="5" spans="1:14" ht="13.8" thickBot="1" x14ac:dyDescent="0.3">
      <c r="A5" s="208"/>
      <c r="B5" s="212"/>
      <c r="C5" s="213"/>
      <c r="D5" s="217"/>
      <c r="E5" s="219"/>
    </row>
    <row r="6" spans="1:14" x14ac:dyDescent="0.25">
      <c r="A6" s="208"/>
      <c r="B6" s="212"/>
      <c r="C6" s="213"/>
      <c r="D6" s="216" t="s">
        <v>141</v>
      </c>
      <c r="E6" s="218"/>
    </row>
    <row r="7" spans="1:14" ht="13.8" thickBot="1" x14ac:dyDescent="0.3">
      <c r="A7" s="209"/>
      <c r="B7" s="214"/>
      <c r="C7" s="215"/>
      <c r="D7" s="217"/>
      <c r="E7" s="219"/>
    </row>
    <row r="8" spans="1:14" x14ac:dyDescent="0.25">
      <c r="D8" s="75"/>
      <c r="E8" s="75"/>
    </row>
    <row r="9" spans="1:14" x14ac:dyDescent="0.25">
      <c r="A9" s="204" t="s">
        <v>142</v>
      </c>
      <c r="B9" s="204"/>
      <c r="C9" s="205"/>
      <c r="D9" s="206"/>
      <c r="E9" s="206"/>
      <c r="F9" s="170"/>
      <c r="G9" s="171"/>
      <c r="H9" s="171"/>
      <c r="I9" s="171"/>
      <c r="J9" s="171"/>
      <c r="K9" s="171"/>
      <c r="L9" s="171"/>
      <c r="M9" s="171"/>
      <c r="N9" s="172"/>
    </row>
    <row r="10" spans="1:14" x14ac:dyDescent="0.25">
      <c r="A10" s="90" t="s">
        <v>143</v>
      </c>
      <c r="B10" s="80"/>
      <c r="C10" s="76" t="s">
        <v>144</v>
      </c>
      <c r="D10" s="200" t="s">
        <v>145</v>
      </c>
      <c r="E10" s="201"/>
      <c r="F10" s="173"/>
      <c r="G10" s="174"/>
      <c r="H10" s="174"/>
      <c r="I10" s="174"/>
      <c r="J10" s="174"/>
      <c r="K10" s="174"/>
      <c r="L10" s="174"/>
      <c r="M10" s="174"/>
      <c r="N10" s="175"/>
    </row>
    <row r="11" spans="1:14" x14ac:dyDescent="0.25">
      <c r="A11" s="91" t="s">
        <v>146</v>
      </c>
      <c r="B11" s="81"/>
      <c r="C11" s="85" t="s">
        <v>147</v>
      </c>
      <c r="D11" s="202">
        <f>'key calculator'!C18</f>
        <v>500</v>
      </c>
      <c r="E11" s="203"/>
      <c r="F11" s="173"/>
      <c r="G11" s="174"/>
      <c r="H11" s="174"/>
      <c r="I11" s="174"/>
      <c r="J11" s="174"/>
      <c r="K11" s="174"/>
      <c r="L11" s="174"/>
      <c r="M11" s="174"/>
      <c r="N11" s="175"/>
    </row>
    <row r="12" spans="1:14" x14ac:dyDescent="0.25">
      <c r="A12" s="90" t="s">
        <v>148</v>
      </c>
      <c r="B12" s="77"/>
      <c r="C12" s="86"/>
      <c r="D12" s="182"/>
      <c r="E12" s="183"/>
      <c r="F12" s="173"/>
      <c r="G12" s="174"/>
      <c r="H12" s="174"/>
      <c r="I12" s="174"/>
      <c r="J12" s="174"/>
      <c r="K12" s="174"/>
      <c r="L12" s="174"/>
      <c r="M12" s="174"/>
      <c r="N12" s="175"/>
    </row>
    <row r="13" spans="1:14" x14ac:dyDescent="0.25">
      <c r="A13" s="91" t="s">
        <v>149</v>
      </c>
      <c r="B13" s="81"/>
      <c r="C13" s="85" t="s">
        <v>88</v>
      </c>
      <c r="D13" s="181" t="str">
        <f>'key calculator'!C23</f>
        <v>25x14</v>
      </c>
      <c r="E13" s="180"/>
      <c r="F13" s="173"/>
      <c r="G13" s="174"/>
      <c r="H13" s="174"/>
      <c r="I13" s="174"/>
      <c r="J13" s="174"/>
      <c r="K13" s="174"/>
      <c r="L13" s="174"/>
      <c r="M13" s="174"/>
      <c r="N13" s="175"/>
    </row>
    <row r="14" spans="1:14" x14ac:dyDescent="0.25">
      <c r="A14" s="91" t="s">
        <v>136</v>
      </c>
      <c r="B14" s="81"/>
      <c r="C14" s="85" t="s">
        <v>150</v>
      </c>
      <c r="D14" s="179">
        <f>'key calculator'!$I2</f>
        <v>25</v>
      </c>
      <c r="E14" s="180"/>
      <c r="F14" s="173"/>
      <c r="G14" s="174"/>
      <c r="H14" s="174"/>
      <c r="I14" s="174"/>
      <c r="J14" s="174"/>
      <c r="K14" s="174"/>
      <c r="L14" s="174"/>
      <c r="M14" s="174"/>
      <c r="N14" s="175"/>
    </row>
    <row r="15" spans="1:14" x14ac:dyDescent="0.25">
      <c r="A15" s="91" t="s">
        <v>151</v>
      </c>
      <c r="B15" s="81"/>
      <c r="C15" s="85" t="s">
        <v>150</v>
      </c>
      <c r="D15" s="179">
        <f>'key calculator'!$I3</f>
        <v>14</v>
      </c>
      <c r="E15" s="180"/>
      <c r="F15" s="173"/>
      <c r="G15" s="174"/>
      <c r="H15" s="174"/>
      <c r="I15" s="174"/>
      <c r="J15" s="174"/>
      <c r="K15" s="174"/>
      <c r="L15" s="174"/>
      <c r="M15" s="174"/>
      <c r="N15" s="175"/>
    </row>
    <row r="16" spans="1:14" ht="15.6" x14ac:dyDescent="0.35">
      <c r="A16" s="91" t="s">
        <v>152</v>
      </c>
      <c r="B16" s="81"/>
      <c r="C16" s="85" t="s">
        <v>150</v>
      </c>
      <c r="D16" s="179">
        <f>'key calculator'!$I4</f>
        <v>9</v>
      </c>
      <c r="E16" s="180"/>
      <c r="F16" s="173"/>
      <c r="G16" s="174"/>
      <c r="H16" s="174"/>
      <c r="I16" s="174"/>
      <c r="J16" s="174"/>
      <c r="K16" s="174"/>
      <c r="L16" s="174"/>
      <c r="M16" s="174"/>
      <c r="N16" s="175"/>
    </row>
    <row r="17" spans="1:22" ht="15.6" x14ac:dyDescent="0.35">
      <c r="A17" s="91" t="s">
        <v>153</v>
      </c>
      <c r="B17" s="81"/>
      <c r="C17" s="85" t="s">
        <v>150</v>
      </c>
      <c r="D17" s="179">
        <f>'key calculator'!$I5</f>
        <v>5.4</v>
      </c>
      <c r="E17" s="180"/>
      <c r="F17" s="173"/>
      <c r="G17" s="174"/>
      <c r="H17" s="174"/>
      <c r="I17" s="174"/>
      <c r="J17" s="174"/>
      <c r="K17" s="174"/>
      <c r="L17" s="174"/>
      <c r="M17" s="174"/>
      <c r="N17" s="175"/>
    </row>
    <row r="18" spans="1:22" x14ac:dyDescent="0.25">
      <c r="A18" s="91" t="s">
        <v>154</v>
      </c>
      <c r="B18" s="81"/>
      <c r="C18" s="85" t="s">
        <v>150</v>
      </c>
      <c r="D18" s="179">
        <f>'key calculator'!$I6</f>
        <v>0.8</v>
      </c>
      <c r="E18" s="180"/>
      <c r="F18" s="173"/>
      <c r="G18" s="174"/>
      <c r="H18" s="174"/>
      <c r="I18" s="174"/>
      <c r="J18" s="174"/>
      <c r="K18" s="174"/>
      <c r="L18" s="174"/>
      <c r="M18" s="174"/>
      <c r="N18" s="175"/>
    </row>
    <row r="19" spans="1:22" x14ac:dyDescent="0.25">
      <c r="A19" s="91" t="s">
        <v>155</v>
      </c>
      <c r="B19" s="81"/>
      <c r="C19" s="85" t="s">
        <v>150</v>
      </c>
      <c r="D19" s="181">
        <f>'key calculator'!C32</f>
        <v>80</v>
      </c>
      <c r="E19" s="180"/>
      <c r="F19" s="173"/>
      <c r="G19" s="174"/>
      <c r="H19" s="174"/>
      <c r="I19" s="174"/>
      <c r="J19" s="174"/>
      <c r="K19" s="174"/>
      <c r="L19" s="174"/>
      <c r="M19" s="174"/>
      <c r="N19" s="175"/>
    </row>
    <row r="20" spans="1:22" x14ac:dyDescent="0.25">
      <c r="A20" s="90" t="s">
        <v>156</v>
      </c>
      <c r="B20" s="77"/>
      <c r="C20" s="86"/>
      <c r="D20" s="182"/>
      <c r="E20" s="183"/>
      <c r="F20" s="173"/>
      <c r="G20" s="174"/>
      <c r="H20" s="174"/>
      <c r="I20" s="174"/>
      <c r="J20" s="174"/>
      <c r="K20" s="174"/>
      <c r="L20" s="174"/>
      <c r="M20" s="174"/>
      <c r="N20" s="175"/>
    </row>
    <row r="21" spans="1:22" x14ac:dyDescent="0.25">
      <c r="A21" s="91" t="s">
        <v>157</v>
      </c>
      <c r="B21" s="81"/>
      <c r="C21" s="85" t="s">
        <v>150</v>
      </c>
      <c r="D21" s="181">
        <f>'key calculator'!C20</f>
        <v>137</v>
      </c>
      <c r="E21" s="180"/>
      <c r="F21" s="173"/>
      <c r="G21" s="174"/>
      <c r="H21" s="174"/>
      <c r="I21" s="174"/>
      <c r="J21" s="174"/>
      <c r="K21" s="174"/>
      <c r="L21" s="174"/>
      <c r="M21" s="174"/>
      <c r="N21" s="175"/>
    </row>
    <row r="22" spans="1:22" x14ac:dyDescent="0.25">
      <c r="A22" s="91" t="s">
        <v>158</v>
      </c>
      <c r="B22" s="81"/>
      <c r="C22" s="85" t="s">
        <v>150</v>
      </c>
      <c r="D22" s="181">
        <f>'key calculator'!C22</f>
        <v>114</v>
      </c>
      <c r="E22" s="180"/>
      <c r="F22" s="173"/>
      <c r="G22" s="174"/>
      <c r="H22" s="174"/>
      <c r="I22" s="174"/>
      <c r="J22" s="174"/>
      <c r="K22" s="174"/>
      <c r="L22" s="174"/>
      <c r="M22" s="174"/>
      <c r="N22" s="175"/>
    </row>
    <row r="23" spans="1:22" ht="13.8" x14ac:dyDescent="0.3">
      <c r="A23" s="90" t="s">
        <v>159</v>
      </c>
      <c r="B23" s="77"/>
      <c r="C23" s="86"/>
      <c r="D23" s="182"/>
      <c r="E23" s="183"/>
      <c r="F23" s="173"/>
      <c r="G23" s="174"/>
      <c r="H23" s="174"/>
      <c r="I23" s="174"/>
      <c r="J23" s="174"/>
      <c r="K23" s="174"/>
      <c r="L23" s="174"/>
      <c r="M23" s="174"/>
      <c r="N23" s="175"/>
      <c r="V23" s="101"/>
    </row>
    <row r="24" spans="1:22" x14ac:dyDescent="0.25">
      <c r="A24" s="91" t="s">
        <v>160</v>
      </c>
      <c r="B24" s="83"/>
      <c r="C24" s="85" t="s">
        <v>88</v>
      </c>
      <c r="D24" s="181" t="str">
        <f>'key calculator'!C14</f>
        <v>steel</v>
      </c>
      <c r="E24" s="180"/>
      <c r="F24" s="173"/>
      <c r="G24" s="174"/>
      <c r="H24" s="174"/>
      <c r="I24" s="174"/>
      <c r="J24" s="174"/>
      <c r="K24" s="174"/>
      <c r="L24" s="174"/>
      <c r="M24" s="174"/>
      <c r="N24" s="175"/>
    </row>
    <row r="25" spans="1:22" x14ac:dyDescent="0.25">
      <c r="A25" s="87" t="s">
        <v>161</v>
      </c>
      <c r="B25" s="83"/>
      <c r="C25" s="88" t="s">
        <v>88</v>
      </c>
      <c r="D25" s="199" t="str">
        <f>'key calculator'!C16</f>
        <v>steel</v>
      </c>
      <c r="E25" s="187"/>
      <c r="F25" s="173"/>
      <c r="G25" s="174"/>
      <c r="H25" s="174"/>
      <c r="I25" s="174"/>
      <c r="J25" s="174"/>
      <c r="K25" s="174"/>
      <c r="L25" s="174"/>
      <c r="M25" s="174"/>
      <c r="N25" s="175"/>
    </row>
    <row r="26" spans="1:22" x14ac:dyDescent="0.25">
      <c r="A26" s="87" t="s">
        <v>162</v>
      </c>
      <c r="B26" s="83"/>
      <c r="C26" s="88" t="s">
        <v>88</v>
      </c>
      <c r="D26" s="199" t="str">
        <f>'key calculator'!C15</f>
        <v>steel</v>
      </c>
      <c r="E26" s="187"/>
      <c r="F26" s="173"/>
      <c r="G26" s="174"/>
      <c r="H26" s="174"/>
      <c r="I26" s="174"/>
      <c r="J26" s="174"/>
      <c r="K26" s="174"/>
      <c r="L26" s="174"/>
      <c r="M26" s="174"/>
      <c r="N26" s="175"/>
    </row>
    <row r="27" spans="1:22" x14ac:dyDescent="0.25">
      <c r="A27" s="90" t="s">
        <v>163</v>
      </c>
      <c r="B27" s="84"/>
      <c r="C27" s="89"/>
      <c r="D27" s="184"/>
      <c r="E27" s="185"/>
      <c r="F27" s="173"/>
      <c r="G27" s="174"/>
      <c r="H27" s="174"/>
      <c r="I27" s="174"/>
      <c r="J27" s="174"/>
      <c r="K27" s="174"/>
      <c r="L27" s="174"/>
      <c r="M27" s="174"/>
      <c r="N27" s="175"/>
    </row>
    <row r="28" spans="1:22" x14ac:dyDescent="0.25">
      <c r="A28" s="87" t="s">
        <v>164</v>
      </c>
      <c r="B28" s="83"/>
      <c r="C28" s="88" t="s">
        <v>165</v>
      </c>
      <c r="D28" s="186">
        <f>'key calculator'!D14/'key calculator'!C10/SQRT(3)</f>
        <v>76.980035891950109</v>
      </c>
      <c r="E28" s="187"/>
      <c r="F28" s="173"/>
      <c r="G28" s="174"/>
      <c r="H28" s="174"/>
      <c r="I28" s="174"/>
      <c r="J28" s="174"/>
      <c r="K28" s="174"/>
      <c r="L28" s="174"/>
      <c r="M28" s="174"/>
      <c r="N28" s="175"/>
    </row>
    <row r="29" spans="1:22" x14ac:dyDescent="0.25">
      <c r="A29" s="87" t="s">
        <v>166</v>
      </c>
      <c r="B29" s="83"/>
      <c r="C29" s="88" t="s">
        <v>165</v>
      </c>
      <c r="D29" s="186">
        <f>'key calculator'!D14/'key calculator'!C10</f>
        <v>133.33333333333334</v>
      </c>
      <c r="E29" s="187"/>
      <c r="F29" s="173"/>
      <c r="G29" s="174"/>
      <c r="H29" s="174"/>
      <c r="I29" s="174"/>
      <c r="J29" s="174"/>
      <c r="K29" s="174"/>
      <c r="L29" s="174"/>
      <c r="M29" s="174"/>
      <c r="N29" s="175"/>
    </row>
    <row r="30" spans="1:22" x14ac:dyDescent="0.25">
      <c r="A30" s="87" t="s">
        <v>167</v>
      </c>
      <c r="B30" s="83"/>
      <c r="C30" s="88" t="s">
        <v>165</v>
      </c>
      <c r="D30" s="186">
        <f>'key calculator'!D15/'key calculator'!C10</f>
        <v>200</v>
      </c>
      <c r="E30" s="187"/>
      <c r="F30" s="173"/>
      <c r="G30" s="174"/>
      <c r="H30" s="174"/>
      <c r="I30" s="174"/>
      <c r="J30" s="174"/>
      <c r="K30" s="174"/>
      <c r="L30" s="174"/>
      <c r="M30" s="174"/>
      <c r="N30" s="175"/>
    </row>
    <row r="31" spans="1:22" x14ac:dyDescent="0.25">
      <c r="A31" s="87" t="s">
        <v>168</v>
      </c>
      <c r="B31" s="83"/>
      <c r="C31" s="88" t="s">
        <v>165</v>
      </c>
      <c r="D31" s="186">
        <f>'key calculator'!D15/'key calculator'!C10/SQRT(3)</f>
        <v>115.47005383792516</v>
      </c>
      <c r="E31" s="187"/>
      <c r="F31" s="173"/>
      <c r="G31" s="174"/>
      <c r="H31" s="174"/>
      <c r="I31" s="174"/>
      <c r="J31" s="174"/>
      <c r="K31" s="174"/>
      <c r="L31" s="174"/>
      <c r="M31" s="174"/>
      <c r="N31" s="175"/>
    </row>
    <row r="32" spans="1:22" x14ac:dyDescent="0.25">
      <c r="A32" s="87" t="s">
        <v>169</v>
      </c>
      <c r="B32" s="83"/>
      <c r="C32" s="88" t="s">
        <v>165</v>
      </c>
      <c r="D32" s="186">
        <f>'key calculator'!D16/'key calculator'!C10</f>
        <v>133.33333333333334</v>
      </c>
      <c r="E32" s="187"/>
      <c r="F32" s="173"/>
      <c r="G32" s="174"/>
      <c r="H32" s="174"/>
      <c r="I32" s="174"/>
      <c r="J32" s="174"/>
      <c r="K32" s="174"/>
      <c r="L32" s="174"/>
      <c r="M32" s="174"/>
      <c r="N32" s="175"/>
    </row>
    <row r="33" spans="1:14" x14ac:dyDescent="0.25">
      <c r="A33" s="92" t="s">
        <v>170</v>
      </c>
      <c r="B33" s="84"/>
      <c r="C33" s="89"/>
      <c r="D33" s="184"/>
      <c r="E33" s="185"/>
      <c r="F33" s="173"/>
      <c r="G33" s="174"/>
      <c r="H33" s="174"/>
      <c r="I33" s="174"/>
      <c r="J33" s="174"/>
      <c r="K33" s="174"/>
      <c r="L33" s="174"/>
      <c r="M33" s="174"/>
      <c r="N33" s="175"/>
    </row>
    <row r="34" spans="1:14" x14ac:dyDescent="0.25">
      <c r="A34" s="87" t="s">
        <v>171</v>
      </c>
      <c r="B34" s="83"/>
      <c r="C34" s="88" t="s">
        <v>165</v>
      </c>
      <c r="D34" s="192">
        <f>'key calculator'!I18</f>
        <v>10.137647638259667</v>
      </c>
      <c r="E34" s="193"/>
      <c r="F34" s="173"/>
      <c r="G34" s="174"/>
      <c r="H34" s="174"/>
      <c r="I34" s="174"/>
      <c r="J34" s="174"/>
      <c r="K34" s="174"/>
      <c r="L34" s="174"/>
      <c r="M34" s="174"/>
      <c r="N34" s="175"/>
    </row>
    <row r="35" spans="1:14" x14ac:dyDescent="0.25">
      <c r="A35" s="87" t="s">
        <v>172</v>
      </c>
      <c r="B35" s="83"/>
      <c r="C35" s="88" t="s">
        <v>165</v>
      </c>
      <c r="D35" s="192">
        <f>'key calculator'!I19</f>
        <v>16.627445879179</v>
      </c>
      <c r="E35" s="193"/>
      <c r="F35" s="173"/>
      <c r="G35" s="174"/>
      <c r="H35" s="174"/>
      <c r="I35" s="174"/>
      <c r="J35" s="174"/>
      <c r="K35" s="174"/>
      <c r="L35" s="174"/>
      <c r="M35" s="174"/>
      <c r="N35" s="175"/>
    </row>
    <row r="36" spans="1:14" x14ac:dyDescent="0.25">
      <c r="A36" s="87" t="s">
        <v>173</v>
      </c>
      <c r="B36" s="83"/>
      <c r="C36" s="88" t="s">
        <v>165</v>
      </c>
      <c r="D36" s="194">
        <f>'key calculator'!I20</f>
        <v>62.865668639251638</v>
      </c>
      <c r="E36" s="193"/>
      <c r="F36" s="173"/>
      <c r="G36" s="174"/>
      <c r="H36" s="174"/>
      <c r="I36" s="174"/>
      <c r="J36" s="174"/>
      <c r="K36" s="174"/>
      <c r="L36" s="174"/>
      <c r="M36" s="174"/>
      <c r="N36" s="175"/>
    </row>
    <row r="37" spans="1:14" x14ac:dyDescent="0.25">
      <c r="A37" s="87" t="s">
        <v>174</v>
      </c>
      <c r="B37" s="83"/>
      <c r="C37" s="88" t="s">
        <v>165</v>
      </c>
      <c r="D37" s="188">
        <f>'key calculator'!I21</f>
        <v>63.143006280624341</v>
      </c>
      <c r="E37" s="189"/>
      <c r="F37" s="173"/>
      <c r="G37" s="174"/>
      <c r="H37" s="174"/>
      <c r="I37" s="174"/>
      <c r="J37" s="174"/>
      <c r="K37" s="174"/>
      <c r="L37" s="174"/>
      <c r="M37" s="174"/>
      <c r="N37" s="175"/>
    </row>
    <row r="38" spans="1:14" x14ac:dyDescent="0.25">
      <c r="A38" s="92" t="s">
        <v>175</v>
      </c>
      <c r="B38" s="84"/>
      <c r="C38" s="89"/>
      <c r="D38" s="184"/>
      <c r="E38" s="185"/>
      <c r="F38" s="173"/>
      <c r="G38" s="174"/>
      <c r="H38" s="174"/>
      <c r="I38" s="174"/>
      <c r="J38" s="174"/>
      <c r="K38" s="174"/>
      <c r="L38" s="174"/>
      <c r="M38" s="174"/>
      <c r="N38" s="175"/>
    </row>
    <row r="39" spans="1:14" x14ac:dyDescent="0.25">
      <c r="A39" s="87" t="s">
        <v>171</v>
      </c>
      <c r="B39" s="83"/>
      <c r="C39" s="88" t="s">
        <v>165</v>
      </c>
      <c r="D39" s="192">
        <f>'key calculator'!K18</f>
        <v>33.79215879419889</v>
      </c>
      <c r="E39" s="193"/>
      <c r="F39" s="173"/>
      <c r="G39" s="174"/>
      <c r="H39" s="174"/>
      <c r="I39" s="174"/>
      <c r="J39" s="174"/>
      <c r="K39" s="174"/>
      <c r="L39" s="174"/>
      <c r="M39" s="174"/>
      <c r="N39" s="175"/>
    </row>
    <row r="40" spans="1:14" x14ac:dyDescent="0.25">
      <c r="A40" s="87" t="s">
        <v>172</v>
      </c>
      <c r="B40" s="83"/>
      <c r="C40" s="88" t="s">
        <v>165</v>
      </c>
      <c r="D40" s="192">
        <f>'key calculator'!K19</f>
        <v>55.424819597263337</v>
      </c>
      <c r="E40" s="193"/>
      <c r="F40" s="173"/>
      <c r="G40" s="174"/>
      <c r="H40" s="174"/>
      <c r="I40" s="174"/>
      <c r="J40" s="174"/>
      <c r="K40" s="174"/>
      <c r="L40" s="174"/>
      <c r="M40" s="174"/>
      <c r="N40" s="175"/>
    </row>
    <row r="41" spans="1:14" x14ac:dyDescent="0.25">
      <c r="A41" s="87" t="s">
        <v>173</v>
      </c>
      <c r="B41" s="83"/>
      <c r="C41" s="88" t="s">
        <v>165</v>
      </c>
      <c r="D41" s="194">
        <f>'key calculator'!K20</f>
        <v>209.55222879750548</v>
      </c>
      <c r="E41" s="193"/>
      <c r="F41" s="173"/>
      <c r="G41" s="174"/>
      <c r="H41" s="174"/>
      <c r="I41" s="174"/>
      <c r="J41" s="174"/>
      <c r="K41" s="174"/>
      <c r="L41" s="174"/>
      <c r="M41" s="174"/>
      <c r="N41" s="175"/>
    </row>
    <row r="42" spans="1:14" x14ac:dyDescent="0.25">
      <c r="A42" s="87" t="s">
        <v>174</v>
      </c>
      <c r="B42" s="83"/>
      <c r="C42" s="88" t="s">
        <v>165</v>
      </c>
      <c r="D42" s="188">
        <f>'key calculator'!K21</f>
        <v>210.47668760208117</v>
      </c>
      <c r="E42" s="189"/>
      <c r="F42" s="173"/>
      <c r="G42" s="174"/>
      <c r="H42" s="174"/>
      <c r="I42" s="174"/>
      <c r="J42" s="174"/>
      <c r="K42" s="174"/>
      <c r="L42" s="174"/>
      <c r="M42" s="174"/>
      <c r="N42" s="175"/>
    </row>
    <row r="43" spans="1:14" x14ac:dyDescent="0.25">
      <c r="A43" s="92" t="s">
        <v>176</v>
      </c>
      <c r="B43" s="84"/>
      <c r="C43" s="89"/>
      <c r="D43" s="195"/>
      <c r="E43" s="196"/>
      <c r="F43" s="173"/>
      <c r="G43" s="174"/>
      <c r="H43" s="174"/>
      <c r="I43" s="174"/>
      <c r="J43" s="174"/>
      <c r="K43" s="174"/>
      <c r="L43" s="174"/>
      <c r="M43" s="174"/>
      <c r="N43" s="175"/>
    </row>
    <row r="44" spans="1:14" ht="21" x14ac:dyDescent="0.25">
      <c r="A44" s="102" t="s">
        <v>177</v>
      </c>
      <c r="B44" s="103"/>
      <c r="C44" s="102" t="s">
        <v>88</v>
      </c>
      <c r="D44" s="197" t="str">
        <f>IF(AND(D21&gt;D22,('key calculator'!J18&lt;1),('key calculator'!J19&lt;1),('key calculator'!J20&lt;1),('key calculator'!J21&lt;1),('key calculator'!J22&lt;1),('key calculator'!J23&lt;1),('key calculator'!J24&lt;1),('key calculator'!J25&lt;1),('key calculator'!L18&lt;1),('key calculator'!L19&lt;1),('key calculator'!L20&lt;1),('key calculator'!L21&lt;1),('key calculator'!L22&lt;1),('key calculator'!L23&lt;1),('key calculator'!L24&lt;1),('key calculator'!L25&lt;1)),"☑","⮽")</f>
        <v>☑</v>
      </c>
      <c r="E44" s="198"/>
      <c r="F44" s="173"/>
      <c r="G44" s="174"/>
      <c r="H44" s="174"/>
      <c r="I44" s="174"/>
      <c r="J44" s="174"/>
      <c r="K44" s="174"/>
      <c r="L44" s="174"/>
      <c r="M44" s="174"/>
      <c r="N44" s="175"/>
    </row>
    <row r="45" spans="1:14" ht="13.8" x14ac:dyDescent="0.3">
      <c r="A45" s="78" t="s">
        <v>5</v>
      </c>
      <c r="B45" s="79"/>
      <c r="C45" s="78"/>
      <c r="D45" s="82"/>
      <c r="E45" s="78"/>
      <c r="F45" s="173"/>
      <c r="G45" s="174"/>
      <c r="H45" s="174"/>
      <c r="I45" s="174"/>
      <c r="J45" s="174"/>
      <c r="K45" s="174"/>
      <c r="L45" s="174"/>
      <c r="M45" s="174"/>
      <c r="N45" s="175"/>
    </row>
    <row r="46" spans="1:14" ht="13.8" x14ac:dyDescent="0.3">
      <c r="A46" s="78" t="s">
        <v>1</v>
      </c>
      <c r="B46" s="79"/>
      <c r="C46" s="78"/>
      <c r="D46" s="82"/>
      <c r="E46" s="78"/>
      <c r="F46" s="173"/>
      <c r="G46" s="174"/>
      <c r="H46" s="174"/>
      <c r="I46" s="174"/>
      <c r="J46" s="174"/>
      <c r="K46" s="174"/>
      <c r="L46" s="174"/>
      <c r="M46" s="174"/>
      <c r="N46" s="175"/>
    </row>
    <row r="47" spans="1:14" ht="13.8" x14ac:dyDescent="0.3">
      <c r="A47" s="78" t="s">
        <v>178</v>
      </c>
      <c r="B47" s="79"/>
      <c r="C47" s="78"/>
      <c r="D47" s="82"/>
      <c r="E47" s="78"/>
      <c r="F47" s="173"/>
      <c r="G47" s="174"/>
      <c r="H47" s="174"/>
      <c r="I47" s="174"/>
      <c r="J47" s="174"/>
      <c r="K47" s="174"/>
      <c r="L47" s="174"/>
      <c r="M47" s="174"/>
      <c r="N47" s="175"/>
    </row>
    <row r="48" spans="1:14" x14ac:dyDescent="0.25">
      <c r="A48" s="190" t="s">
        <v>10</v>
      </c>
      <c r="B48" s="190" t="s">
        <v>179</v>
      </c>
      <c r="C48" s="190" t="s">
        <v>180</v>
      </c>
      <c r="D48" s="191" t="s">
        <v>181</v>
      </c>
      <c r="E48" s="190" t="s">
        <v>182</v>
      </c>
      <c r="F48" s="173"/>
      <c r="G48" s="174"/>
      <c r="H48" s="174"/>
      <c r="I48" s="174"/>
      <c r="J48" s="174"/>
      <c r="K48" s="174"/>
      <c r="L48" s="174"/>
      <c r="M48" s="174"/>
      <c r="N48" s="175"/>
    </row>
    <row r="49" spans="1:14" x14ac:dyDescent="0.25">
      <c r="A49" s="190"/>
      <c r="B49" s="190"/>
      <c r="C49" s="190"/>
      <c r="D49" s="191"/>
      <c r="E49" s="190"/>
      <c r="F49" s="176"/>
      <c r="G49" s="177"/>
      <c r="H49" s="177"/>
      <c r="I49" s="177"/>
      <c r="J49" s="177"/>
      <c r="K49" s="177"/>
      <c r="L49" s="177"/>
      <c r="M49" s="177"/>
      <c r="N49" s="178"/>
    </row>
  </sheetData>
  <mergeCells count="51">
    <mergeCell ref="A2:A7"/>
    <mergeCell ref="B2:C7"/>
    <mergeCell ref="D2:D3"/>
    <mergeCell ref="E2:E3"/>
    <mergeCell ref="D4:D5"/>
    <mergeCell ref="E4:E5"/>
    <mergeCell ref="D6:D7"/>
    <mergeCell ref="E6:E7"/>
    <mergeCell ref="D10:E10"/>
    <mergeCell ref="D11:E11"/>
    <mergeCell ref="D13:E13"/>
    <mergeCell ref="A9:B9"/>
    <mergeCell ref="C9:E9"/>
    <mergeCell ref="D12:E12"/>
    <mergeCell ref="D34:E34"/>
    <mergeCell ref="D35:E35"/>
    <mergeCell ref="D36:E36"/>
    <mergeCell ref="D24:E24"/>
    <mergeCell ref="D25:E25"/>
    <mergeCell ref="D26:E26"/>
    <mergeCell ref="D28:E28"/>
    <mergeCell ref="D30:E30"/>
    <mergeCell ref="D37:E37"/>
    <mergeCell ref="A48:A49"/>
    <mergeCell ref="B48:B49"/>
    <mergeCell ref="C48:C49"/>
    <mergeCell ref="D48:D49"/>
    <mergeCell ref="E48:E49"/>
    <mergeCell ref="D38:E38"/>
    <mergeCell ref="D39:E39"/>
    <mergeCell ref="D40:E40"/>
    <mergeCell ref="D41:E41"/>
    <mergeCell ref="D42:E42"/>
    <mergeCell ref="D43:E43"/>
    <mergeCell ref="D44:E44"/>
    <mergeCell ref="F9:N49"/>
    <mergeCell ref="D14:E14"/>
    <mergeCell ref="D15:E15"/>
    <mergeCell ref="D16:E16"/>
    <mergeCell ref="D17:E17"/>
    <mergeCell ref="D18:E18"/>
    <mergeCell ref="D19:E19"/>
    <mergeCell ref="D23:E23"/>
    <mergeCell ref="D27:E27"/>
    <mergeCell ref="D33:E33"/>
    <mergeCell ref="D31:E31"/>
    <mergeCell ref="D29:E29"/>
    <mergeCell ref="D32:E32"/>
    <mergeCell ref="D20:E20"/>
    <mergeCell ref="D22:E22"/>
    <mergeCell ref="D21:E21"/>
  </mergeCells>
  <pageMargins left="0.7" right="0.7" top="0.75" bottom="0.75" header="0.3" footer="0.3"/>
  <pageSetup paperSize="9" scale="47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9D221D-5F08-4FA4-B4C4-F81FE11A4A59}">
  <ds:schemaRefs>
    <ds:schemaRef ds:uri="2710bc8b-17c9-4e36-a567-5a8748d28b44"/>
    <ds:schemaRef ds:uri="http://schemas.microsoft.com/office/2006/documentManagement/types"/>
    <ds:schemaRef ds:uri="http://purl.org/dc/elements/1.1/"/>
    <ds:schemaRef ds:uri="f16ae08e-32aa-43c4-955b-813e13c9303e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734C2A3-1A15-4C14-8DC9-7D5FF8043695}"/>
</file>

<file path=customXml/itemProps3.xml><?xml version="1.0" encoding="utf-8"?>
<ds:datastoreItem xmlns:ds="http://schemas.openxmlformats.org/officeDocument/2006/customXml" ds:itemID="{F2F2CB9D-810B-40D5-97AB-A539C05847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content</vt:lpstr>
      <vt:lpstr>key calculator</vt:lpstr>
      <vt:lpstr>tables</vt:lpstr>
      <vt:lpstr>key dimensions</vt:lpstr>
      <vt:lpstr>SCF</vt:lpstr>
      <vt:lpstr>Report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Arianna Banfi</cp:lastModifiedBy>
  <cp:revision/>
  <dcterms:created xsi:type="dcterms:W3CDTF">2025-05-09T13:51:54Z</dcterms:created>
  <dcterms:modified xsi:type="dcterms:W3CDTF">2025-11-11T14:10:18Z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